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filterPrivacy="1" codeName="ThisWorkbook"/>
  <xr:revisionPtr revIDLastSave="0" documentId="8_{F14495F9-89E4-435A-BB36-489FB37FBF43}" xr6:coauthVersionLast="47" xr6:coauthVersionMax="47" xr10:uidLastSave="{00000000-0000-0000-0000-000000000000}"/>
  <bookViews>
    <workbookView xWindow="-28920" yWindow="-4065" windowWidth="29040" windowHeight="15840" xr2:uid="{5505BBD9-F504-42CE-B6AE-DD36DA53F7EA}"/>
  </bookViews>
  <sheets>
    <sheet name="Summary Tables" sheetId="22" r:id="rId1"/>
    <sheet name="Housing Trajectory" sheetId="69" r:id="rId2"/>
    <sheet name="Conventional Supply" sheetId="28" r:id="rId3"/>
    <sheet name="Non-Self-Contained Supply" sheetId="72" r:id="rId4"/>
    <sheet name="Conventional Supply Assumptions" sheetId="70" r:id="rId5"/>
    <sheet name="Non-Self-Contained Assumptions" sheetId="71" r:id="rId6"/>
    <sheet name="Abbreviations" sheetId="67" r:id="rId7"/>
    <sheet name="1a Conv" sheetId="32" state="hidden" r:id="rId8"/>
    <sheet name="1a NSC" sheetId="33" state="hidden" r:id="rId9"/>
    <sheet name="1c" sheetId="34" state="hidden" r:id="rId10"/>
    <sheet name="2 NB" sheetId="35" state="hidden" r:id="rId11"/>
    <sheet name="2 CON" sheetId="36" state="hidden" r:id="rId12"/>
    <sheet name="3" sheetId="37" state="hidden" r:id="rId13"/>
    <sheet name="4" sheetId="38" state="hidden" r:id="rId14"/>
    <sheet name="5 Perm" sheetId="39" state="hidden" r:id="rId15"/>
    <sheet name="5 Star" sheetId="40" state="hidden" r:id="rId16"/>
    <sheet name="6 PeNB" sheetId="42" state="hidden" r:id="rId17"/>
    <sheet name="6 PeCO" sheetId="65" state="hidden" r:id="rId18"/>
    <sheet name="6 StNB" sheetId="43" state="hidden" r:id="rId19"/>
    <sheet name="6 StCO" sheetId="66" state="hidden" r:id="rId20"/>
    <sheet name="7 Perm" sheetId="44" state="hidden" r:id="rId21"/>
    <sheet name="7 Star" sheetId="45" state="hidden" r:id="rId22"/>
    <sheet name="8b and 8c" sheetId="46" state="hidden" r:id="rId23"/>
    <sheet name="12" sheetId="49" state="hidden" r:id="rId24"/>
    <sheet name="13" sheetId="50" state="hidden" r:id="rId25"/>
    <sheet name="14 Cent" sheetId="52" state="hidden" r:id="rId26"/>
    <sheet name="14 Clap" sheetId="53" state="hidden" r:id="rId27"/>
    <sheet name="14 Nine" sheetId="54" state="hidden" r:id="rId28"/>
    <sheet name="14 Tham" sheetId="55" state="hidden" r:id="rId29"/>
    <sheet name="14 Wand" sheetId="56" state="hidden" r:id="rId30"/>
    <sheet name="14 East" sheetId="58" state="hidden" r:id="rId31"/>
    <sheet name="15" sheetId="59" state="hidden" r:id="rId32"/>
    <sheet name="16" sheetId="60" state="hidden" r:id="rId33"/>
    <sheet name="17" sheetId="61" state="hidden" r:id="rId34"/>
    <sheet name="18" sheetId="62" state="hidden" r:id="rId35"/>
    <sheet name="19" sheetId="63" state="hidden" r:id="rId36"/>
    <sheet name="20" sheetId="64" state="hidden" r:id="rId37"/>
  </sheets>
  <definedNames>
    <definedName name="_xlnm._FilterDatabase" localSheetId="2" hidden="1">'Conventional Supply'!$A$1:$CU$1206</definedName>
    <definedName name="_xlnm._FilterDatabase" localSheetId="3" hidden="1">'Non-Self-Contained Supply'!$A$1:$BL$38</definedName>
    <definedName name="_xlnm._FilterDatabase" localSheetId="0" hidden="1">'Summary Tables'!$A$270:$E$294</definedName>
    <definedName name="_xlnm.Print_Area" localSheetId="6">Abbreviations!$A$1:$B$89</definedName>
    <definedName name="_xlnm.Print_Area" localSheetId="1">'Housing Trajectory'!$A$1:$U$70</definedName>
    <definedName name="_xlnm.Print_Area" localSheetId="5">'Non-Self-Contained Assumptions'!$A$1:$C$13</definedName>
    <definedName name="_xlnm.Print_Area" localSheetId="0">'Summary Tables'!$A$1:$Q$351</definedName>
    <definedName name="_xlnm.Print_Titles" localSheetId="2">'Conventional Supply'!$A:$C,'Conventional Supply'!$1:$1</definedName>
    <definedName name="_xlnm.Print_Titles" localSheetId="5">'Non-Self-Contained Assumptions'!$3:$3</definedName>
  </definedNames>
  <calcPr calcId="191028"/>
  <pivotCaches>
    <pivotCache cacheId="7552" r:id="rId38"/>
    <pivotCache cacheId="7553" r:id="rId3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22" l="1"/>
  <c r="D33" i="22"/>
  <c r="D32" i="22"/>
  <c r="F10" i="22"/>
  <c r="F9" i="22"/>
  <c r="CU3" i="28" l="1"/>
  <c r="CU4" i="28"/>
  <c r="CU5" i="28"/>
  <c r="CU6" i="28"/>
  <c r="CU7" i="28"/>
  <c r="CU8" i="28"/>
  <c r="CU9" i="28"/>
  <c r="CU10" i="28"/>
  <c r="CU11" i="28"/>
  <c r="CU12" i="28"/>
  <c r="CU13" i="28"/>
  <c r="CU14" i="28"/>
  <c r="CU15" i="28"/>
  <c r="CU16" i="28"/>
  <c r="CU17" i="28"/>
  <c r="CU18" i="28"/>
  <c r="CU19" i="28"/>
  <c r="CU20" i="28"/>
  <c r="CU21" i="28"/>
  <c r="CU22" i="28"/>
  <c r="CU23" i="28"/>
  <c r="CU24" i="28"/>
  <c r="CU25" i="28"/>
  <c r="CU26" i="28"/>
  <c r="CU27" i="28"/>
  <c r="CU28" i="28"/>
  <c r="CU29" i="28"/>
  <c r="CU30" i="28"/>
  <c r="CU31" i="28"/>
  <c r="CU32" i="28"/>
  <c r="CU33" i="28"/>
  <c r="CU34" i="28"/>
  <c r="CU35" i="28"/>
  <c r="CU36" i="28"/>
  <c r="CU37" i="28"/>
  <c r="CU38" i="28"/>
  <c r="CU39" i="28"/>
  <c r="CU40" i="28"/>
  <c r="CU41" i="28"/>
  <c r="CU42" i="28"/>
  <c r="CU43" i="28"/>
  <c r="CU44" i="28"/>
  <c r="CU45" i="28"/>
  <c r="CU46" i="28"/>
  <c r="CU47" i="28"/>
  <c r="CU48" i="28"/>
  <c r="CU49" i="28"/>
  <c r="CU50" i="28"/>
  <c r="CU51" i="28"/>
  <c r="CU52" i="28"/>
  <c r="CU53" i="28"/>
  <c r="CU54" i="28"/>
  <c r="CU55" i="28"/>
  <c r="CU56" i="28"/>
  <c r="CU57" i="28"/>
  <c r="CU58" i="28"/>
  <c r="CU59" i="28"/>
  <c r="CU60" i="28"/>
  <c r="CU61" i="28"/>
  <c r="CU62" i="28"/>
  <c r="CU63" i="28"/>
  <c r="CU64" i="28"/>
  <c r="CU65" i="28"/>
  <c r="CU66" i="28"/>
  <c r="CU67" i="28"/>
  <c r="CU68" i="28"/>
  <c r="CU69" i="28"/>
  <c r="CU70" i="28"/>
  <c r="CU71" i="28"/>
  <c r="CU72" i="28"/>
  <c r="CU73" i="28"/>
  <c r="CU74" i="28"/>
  <c r="CU75" i="28"/>
  <c r="CU76" i="28"/>
  <c r="CU77" i="28"/>
  <c r="CU78" i="28"/>
  <c r="CU79" i="28"/>
  <c r="CU80" i="28"/>
  <c r="CU81" i="28"/>
  <c r="CU82" i="28"/>
  <c r="CU83" i="28"/>
  <c r="CU84" i="28"/>
  <c r="CU85" i="28"/>
  <c r="CU86" i="28"/>
  <c r="CU87" i="28"/>
  <c r="CU88" i="28"/>
  <c r="CU89" i="28"/>
  <c r="CU90" i="28"/>
  <c r="CU91" i="28"/>
  <c r="CU92" i="28"/>
  <c r="CU93" i="28"/>
  <c r="CU94" i="28"/>
  <c r="CU95" i="28"/>
  <c r="CU96" i="28"/>
  <c r="CU97" i="28"/>
  <c r="CU98" i="28"/>
  <c r="CU99" i="28"/>
  <c r="CU100" i="28"/>
  <c r="CU101" i="28"/>
  <c r="CU102" i="28"/>
  <c r="CU103" i="28"/>
  <c r="CU104" i="28"/>
  <c r="CU105" i="28"/>
  <c r="CU106" i="28"/>
  <c r="CU107" i="28"/>
  <c r="CU108" i="28"/>
  <c r="CU109" i="28"/>
  <c r="CU110" i="28"/>
  <c r="CU111" i="28"/>
  <c r="CU112" i="28"/>
  <c r="CU113" i="28"/>
  <c r="CU114" i="28"/>
  <c r="CU115" i="28"/>
  <c r="CU116" i="28"/>
  <c r="CU117" i="28"/>
  <c r="CU118" i="28"/>
  <c r="CU119" i="28"/>
  <c r="CU120" i="28"/>
  <c r="CU121" i="28"/>
  <c r="CU122" i="28"/>
  <c r="CU123" i="28"/>
  <c r="CU124" i="28"/>
  <c r="CU125" i="28"/>
  <c r="CU126" i="28"/>
  <c r="CU127" i="28"/>
  <c r="CU128" i="28"/>
  <c r="CU129" i="28"/>
  <c r="CU130" i="28"/>
  <c r="CU131" i="28"/>
  <c r="CU132" i="28"/>
  <c r="CU133" i="28"/>
  <c r="CU134" i="28"/>
  <c r="CU135" i="28"/>
  <c r="CU136" i="28"/>
  <c r="CU137" i="28"/>
  <c r="CU138" i="28"/>
  <c r="CU139" i="28"/>
  <c r="CU140" i="28"/>
  <c r="CU141" i="28"/>
  <c r="CU142" i="28"/>
  <c r="CU143" i="28"/>
  <c r="CU144" i="28"/>
  <c r="CU145" i="28"/>
  <c r="CU146" i="28"/>
  <c r="CU147" i="28"/>
  <c r="CU148" i="28"/>
  <c r="CU149" i="28"/>
  <c r="CU150" i="28"/>
  <c r="CU151" i="28"/>
  <c r="CU152" i="28"/>
  <c r="CU153" i="28"/>
  <c r="CU154" i="28"/>
  <c r="CU155" i="28"/>
  <c r="CU156" i="28"/>
  <c r="CU157" i="28"/>
  <c r="CU158" i="28"/>
  <c r="CU159" i="28"/>
  <c r="CU160" i="28"/>
  <c r="CU161" i="28"/>
  <c r="CU162" i="28"/>
  <c r="CU163" i="28"/>
  <c r="CU164" i="28"/>
  <c r="CU165" i="28"/>
  <c r="CU166" i="28"/>
  <c r="CU167" i="28"/>
  <c r="CU168" i="28"/>
  <c r="CU169" i="28"/>
  <c r="CU170" i="28"/>
  <c r="CU171" i="28"/>
  <c r="CU172" i="28"/>
  <c r="CU173" i="28"/>
  <c r="CU174" i="28"/>
  <c r="CU175" i="28"/>
  <c r="CU176" i="28"/>
  <c r="CU177" i="28"/>
  <c r="CU178" i="28"/>
  <c r="CU179" i="28"/>
  <c r="CU180" i="28"/>
  <c r="CU181" i="28"/>
  <c r="CU182" i="28"/>
  <c r="CU183" i="28"/>
  <c r="CU184" i="28"/>
  <c r="CU185" i="28"/>
  <c r="CU186" i="28"/>
  <c r="CU187" i="28"/>
  <c r="CU188" i="28"/>
  <c r="CU189" i="28"/>
  <c r="CU190" i="28"/>
  <c r="CU196" i="28"/>
  <c r="CU197" i="28"/>
  <c r="CU198" i="28"/>
  <c r="CU598" i="28"/>
  <c r="CU599" i="28"/>
  <c r="CU600" i="28"/>
  <c r="CU601" i="28"/>
  <c r="CU602" i="28"/>
  <c r="CU603" i="28"/>
  <c r="CU631" i="28"/>
  <c r="CU632" i="28"/>
  <c r="CU1006" i="28"/>
  <c r="CU1007" i="28"/>
  <c r="CU1008" i="28"/>
  <c r="CU1077" i="28"/>
  <c r="CU1078" i="28"/>
  <c r="CU1079" i="28"/>
  <c r="CU1170" i="28"/>
  <c r="CU1177" i="28"/>
  <c r="CU1178" i="28"/>
  <c r="CU1179" i="28"/>
  <c r="CU1203" i="28"/>
  <c r="CU1204" i="28"/>
  <c r="CU1205" i="28"/>
  <c r="CU1206" i="28"/>
  <c r="CT3" i="28"/>
  <c r="CT4" i="28"/>
  <c r="CT5" i="28"/>
  <c r="CT6" i="28"/>
  <c r="CT7" i="28"/>
  <c r="CT8" i="28"/>
  <c r="CT9" i="28"/>
  <c r="CT10" i="28"/>
  <c r="CT11" i="28"/>
  <c r="CT12" i="28"/>
  <c r="CT13" i="28"/>
  <c r="CT14" i="28"/>
  <c r="CT15" i="28"/>
  <c r="CT16" i="28"/>
  <c r="CT17" i="28"/>
  <c r="CT18" i="28"/>
  <c r="CT19" i="28"/>
  <c r="CT20" i="28"/>
  <c r="CT21" i="28"/>
  <c r="CT22" i="28"/>
  <c r="CT23" i="28"/>
  <c r="CT24" i="28"/>
  <c r="CT25" i="28"/>
  <c r="CT26" i="28"/>
  <c r="CT27" i="28"/>
  <c r="CT28" i="28"/>
  <c r="CT29" i="28"/>
  <c r="CT30" i="28"/>
  <c r="CT31" i="28"/>
  <c r="CT32" i="28"/>
  <c r="CT33" i="28"/>
  <c r="CT34" i="28"/>
  <c r="CT35" i="28"/>
  <c r="CT36" i="28"/>
  <c r="CT37" i="28"/>
  <c r="CT38" i="28"/>
  <c r="CT39" i="28"/>
  <c r="CT40" i="28"/>
  <c r="CT41" i="28"/>
  <c r="CT42" i="28"/>
  <c r="CT43" i="28"/>
  <c r="CT44" i="28"/>
  <c r="CT45" i="28"/>
  <c r="CT46" i="28"/>
  <c r="CT47" i="28"/>
  <c r="CT48" i="28"/>
  <c r="CT49" i="28"/>
  <c r="CT50" i="28"/>
  <c r="CT51" i="28"/>
  <c r="CT52" i="28"/>
  <c r="CT53" i="28"/>
  <c r="CT54" i="28"/>
  <c r="CT55" i="28"/>
  <c r="CT56" i="28"/>
  <c r="CT57" i="28"/>
  <c r="CT58" i="28"/>
  <c r="CT59" i="28"/>
  <c r="CT60" i="28"/>
  <c r="CT61" i="28"/>
  <c r="CT62" i="28"/>
  <c r="CT63" i="28"/>
  <c r="CT64" i="28"/>
  <c r="CT65" i="28"/>
  <c r="CT66" i="28"/>
  <c r="CT67" i="28"/>
  <c r="CT68" i="28"/>
  <c r="CT69" i="28"/>
  <c r="CT70" i="28"/>
  <c r="CT71" i="28"/>
  <c r="CT72" i="28"/>
  <c r="CT73" i="28"/>
  <c r="CT74" i="28"/>
  <c r="CT75" i="28"/>
  <c r="CT76" i="28"/>
  <c r="CT77" i="28"/>
  <c r="CT78" i="28"/>
  <c r="CT79" i="28"/>
  <c r="CT80" i="28"/>
  <c r="CT81" i="28"/>
  <c r="CT82" i="28"/>
  <c r="CT83" i="28"/>
  <c r="CT84" i="28"/>
  <c r="CT85" i="28"/>
  <c r="CT86" i="28"/>
  <c r="CT87" i="28"/>
  <c r="CT88" i="28"/>
  <c r="CT89" i="28"/>
  <c r="CT90" i="28"/>
  <c r="CT91" i="28"/>
  <c r="CT92" i="28"/>
  <c r="CT93" i="28"/>
  <c r="CT94" i="28"/>
  <c r="CT95" i="28"/>
  <c r="CT96" i="28"/>
  <c r="CT97" i="28"/>
  <c r="CT98" i="28"/>
  <c r="CT99" i="28"/>
  <c r="CT100" i="28"/>
  <c r="CT101" i="28"/>
  <c r="CT102" i="28"/>
  <c r="CT103" i="28"/>
  <c r="CT104" i="28"/>
  <c r="CT105" i="28"/>
  <c r="CT106" i="28"/>
  <c r="CT107" i="28"/>
  <c r="CT108" i="28"/>
  <c r="CT109" i="28"/>
  <c r="CT110" i="28"/>
  <c r="CT111" i="28"/>
  <c r="CT112" i="28"/>
  <c r="CT113" i="28"/>
  <c r="CT114" i="28"/>
  <c r="CT115" i="28"/>
  <c r="CT116" i="28"/>
  <c r="CT117" i="28"/>
  <c r="CT118" i="28"/>
  <c r="CT119" i="28"/>
  <c r="CT120" i="28"/>
  <c r="CT121" i="28"/>
  <c r="CT122" i="28"/>
  <c r="CT123" i="28"/>
  <c r="CT124" i="28"/>
  <c r="CT125" i="28"/>
  <c r="CT126" i="28"/>
  <c r="CT127" i="28"/>
  <c r="CT128" i="28"/>
  <c r="CT129" i="28"/>
  <c r="CT130" i="28"/>
  <c r="CT131" i="28"/>
  <c r="CT132" i="28"/>
  <c r="CT133" i="28"/>
  <c r="CT134" i="28"/>
  <c r="CT135" i="28"/>
  <c r="CT136" i="28"/>
  <c r="CT137" i="28"/>
  <c r="CT138" i="28"/>
  <c r="CT139" i="28"/>
  <c r="CT140" i="28"/>
  <c r="CT141" i="28"/>
  <c r="CT142" i="28"/>
  <c r="CT143" i="28"/>
  <c r="CT144" i="28"/>
  <c r="CT145" i="28"/>
  <c r="CT146" i="28"/>
  <c r="CT147" i="28"/>
  <c r="CT148" i="28"/>
  <c r="CT149" i="28"/>
  <c r="CT150" i="28"/>
  <c r="CT151" i="28"/>
  <c r="CT152" i="28"/>
  <c r="CT153" i="28"/>
  <c r="CT154" i="28"/>
  <c r="CT155" i="28"/>
  <c r="CT156" i="28"/>
  <c r="CT157" i="28"/>
  <c r="CT158" i="28"/>
  <c r="CT159" i="28"/>
  <c r="CT160" i="28"/>
  <c r="CT161" i="28"/>
  <c r="CT162" i="28"/>
  <c r="CT163" i="28"/>
  <c r="CT164" i="28"/>
  <c r="CT165" i="28"/>
  <c r="CT166" i="28"/>
  <c r="CT167" i="28"/>
  <c r="CT168" i="28"/>
  <c r="CT169" i="28"/>
  <c r="CT170" i="28"/>
  <c r="CT171" i="28"/>
  <c r="CT172" i="28"/>
  <c r="CT173" i="28"/>
  <c r="CT174" i="28"/>
  <c r="CT175" i="28"/>
  <c r="CT176" i="28"/>
  <c r="CT177" i="28"/>
  <c r="CT178" i="28"/>
  <c r="CT179" i="28"/>
  <c r="CT180" i="28"/>
  <c r="CT181" i="28"/>
  <c r="CT182" i="28"/>
  <c r="CT183" i="28"/>
  <c r="CT184" i="28"/>
  <c r="CT185" i="28"/>
  <c r="CT186" i="28"/>
  <c r="CT187" i="28"/>
  <c r="CT188" i="28"/>
  <c r="CT189" i="28"/>
  <c r="CT190" i="28"/>
  <c r="CT196" i="28"/>
  <c r="CT197" i="28"/>
  <c r="CT198" i="28"/>
  <c r="CT538" i="28"/>
  <c r="CT539" i="28"/>
  <c r="CT540" i="28"/>
  <c r="CT548" i="28"/>
  <c r="CT570" i="28"/>
  <c r="CT571" i="28"/>
  <c r="CT572" i="28"/>
  <c r="CT573" i="28"/>
  <c r="CT574" i="28"/>
  <c r="CT575" i="28"/>
  <c r="CT576" i="28"/>
  <c r="CT577" i="28"/>
  <c r="CT578" i="28"/>
  <c r="CT579" i="28"/>
  <c r="CT580" i="28"/>
  <c r="CT581" i="28"/>
  <c r="CT582" i="28"/>
  <c r="CT583" i="28"/>
  <c r="CT585" i="28"/>
  <c r="CT586" i="28"/>
  <c r="CT587" i="28"/>
  <c r="CT588" i="28"/>
  <c r="CT598" i="28"/>
  <c r="CT599" i="28"/>
  <c r="CT600" i="28"/>
  <c r="CT601" i="28"/>
  <c r="CT602" i="28"/>
  <c r="CT603" i="28"/>
  <c r="CT608" i="28"/>
  <c r="CT609" i="28"/>
  <c r="CT610" i="28"/>
  <c r="CT611" i="28"/>
  <c r="CT622" i="28"/>
  <c r="CT623" i="28"/>
  <c r="CT624" i="28"/>
  <c r="CT625" i="28"/>
  <c r="CT626" i="28"/>
  <c r="CT627" i="28"/>
  <c r="CT628" i="28"/>
  <c r="CT629" i="28"/>
  <c r="CT630" i="28"/>
  <c r="CT631" i="28"/>
  <c r="CT632" i="28"/>
  <c r="CT995" i="28"/>
  <c r="CT996" i="28"/>
  <c r="CT997" i="28"/>
  <c r="CT1002" i="28"/>
  <c r="CT1003" i="28"/>
  <c r="CT1004" i="28"/>
  <c r="CT1006" i="28"/>
  <c r="CT1007" i="28"/>
  <c r="CT1008" i="28"/>
  <c r="CT1019" i="28"/>
  <c r="CT1020" i="28"/>
  <c r="CT1021" i="28"/>
  <c r="CT1022" i="28"/>
  <c r="CT1023" i="28"/>
  <c r="CT1024" i="28"/>
  <c r="CT1025" i="28"/>
  <c r="CT1071" i="28"/>
  <c r="CT1072" i="28"/>
  <c r="CT1073" i="28"/>
  <c r="CT1074" i="28"/>
  <c r="CT1075" i="28"/>
  <c r="CT1076" i="28"/>
  <c r="CT1077" i="28"/>
  <c r="CT1078" i="28"/>
  <c r="CT1079" i="28"/>
  <c r="CT1080" i="28"/>
  <c r="CT1081" i="28"/>
  <c r="CT1104" i="28"/>
  <c r="CT1105" i="28"/>
  <c r="CT1106" i="28"/>
  <c r="CT1107" i="28"/>
  <c r="CT1108" i="28"/>
  <c r="CT1109" i="28"/>
  <c r="CT1110" i="28"/>
  <c r="CT1111" i="28"/>
  <c r="CT1112" i="28"/>
  <c r="CT1113" i="28"/>
  <c r="CT1114" i="28"/>
  <c r="CT1115" i="28"/>
  <c r="CT1116" i="28"/>
  <c r="CT1117" i="28"/>
  <c r="CT1118" i="28"/>
  <c r="CT1119" i="28"/>
  <c r="CT1120" i="28"/>
  <c r="CT1121" i="28"/>
  <c r="CT1122" i="28"/>
  <c r="CT1123" i="28"/>
  <c r="CT1124" i="28"/>
  <c r="CT1125" i="28"/>
  <c r="CT1126" i="28"/>
  <c r="CT1127" i="28"/>
  <c r="CT1128" i="28"/>
  <c r="CT1129" i="28"/>
  <c r="CT1130" i="28"/>
  <c r="CT1131" i="28"/>
  <c r="CT1132" i="28"/>
  <c r="CT1133" i="28"/>
  <c r="CT1134" i="28"/>
  <c r="CT1135" i="28"/>
  <c r="CT1136" i="28"/>
  <c r="CT1137" i="28"/>
  <c r="CT1138" i="28"/>
  <c r="CT1139" i="28"/>
  <c r="CT1140" i="28"/>
  <c r="CT1141" i="28"/>
  <c r="CT1142" i="28"/>
  <c r="CT1143" i="28"/>
  <c r="CT1144" i="28"/>
  <c r="CT1145" i="28"/>
  <c r="CT1146" i="28"/>
  <c r="CT1147" i="28"/>
  <c r="CT1148" i="28"/>
  <c r="CT1149" i="28"/>
  <c r="CT1150" i="28"/>
  <c r="CT1151" i="28"/>
  <c r="CT1152" i="28"/>
  <c r="CT1153" i="28"/>
  <c r="CT1154" i="28"/>
  <c r="CT1155" i="28"/>
  <c r="CT1156" i="28"/>
  <c r="CT1157" i="28"/>
  <c r="CT1158" i="28"/>
  <c r="CT1159" i="28"/>
  <c r="CT1160" i="28"/>
  <c r="CT1161" i="28"/>
  <c r="CT1162" i="28"/>
  <c r="CT1163" i="28"/>
  <c r="CT1164" i="28"/>
  <c r="CT1165" i="28"/>
  <c r="CT1166" i="28"/>
  <c r="CT1167" i="28"/>
  <c r="CT1168" i="28"/>
  <c r="CT1169" i="28"/>
  <c r="CT1170" i="28"/>
  <c r="CT1171" i="28"/>
  <c r="CT1172" i="28"/>
  <c r="CT1173" i="28"/>
  <c r="CT1174" i="28"/>
  <c r="CT1175" i="28"/>
  <c r="CT1176" i="28"/>
  <c r="CT1177" i="28"/>
  <c r="CT1178" i="28"/>
  <c r="CT1179" i="28"/>
  <c r="CT1180" i="28"/>
  <c r="CT1181" i="28"/>
  <c r="CT1182" i="28"/>
  <c r="CT1183" i="28"/>
  <c r="CT1184" i="28"/>
  <c r="CT1185" i="28"/>
  <c r="CT1186" i="28"/>
  <c r="CT1187" i="28"/>
  <c r="CT1188" i="28"/>
  <c r="CT1189" i="28"/>
  <c r="CT1190" i="28"/>
  <c r="CT1191" i="28"/>
  <c r="CT1192" i="28"/>
  <c r="CT1193" i="28"/>
  <c r="CT1203" i="28"/>
  <c r="CT1204" i="28"/>
  <c r="CT1205" i="28"/>
  <c r="CT1206" i="28"/>
  <c r="BL3" i="72"/>
  <c r="BL4" i="72"/>
  <c r="BL5" i="72"/>
  <c r="BL6" i="72"/>
  <c r="BL7" i="72"/>
  <c r="BL8" i="72"/>
  <c r="BL9" i="72"/>
  <c r="BL10" i="72"/>
  <c r="BL11" i="72"/>
  <c r="BL12" i="72"/>
  <c r="BL13" i="72"/>
  <c r="BL14" i="72"/>
  <c r="BL15" i="72"/>
  <c r="BL16" i="72"/>
  <c r="BL17" i="72"/>
  <c r="BL18" i="72"/>
  <c r="BL19" i="72"/>
  <c r="BL20" i="72"/>
  <c r="BL21" i="72"/>
  <c r="BL22" i="72"/>
  <c r="BL23" i="72"/>
  <c r="BL24" i="72"/>
  <c r="BL25" i="72"/>
  <c r="BL26" i="72"/>
  <c r="BL27" i="72"/>
  <c r="BL28" i="72"/>
  <c r="BL29" i="72"/>
  <c r="BL30" i="72"/>
  <c r="BL31" i="72"/>
  <c r="BL32" i="72"/>
  <c r="BL33" i="72"/>
  <c r="BL34" i="72"/>
  <c r="BL35" i="72"/>
  <c r="BL36" i="72"/>
  <c r="BL37" i="72"/>
  <c r="BL38" i="72"/>
  <c r="BL2" i="72"/>
  <c r="BK3" i="72"/>
  <c r="BK4" i="72"/>
  <c r="BK5" i="72"/>
  <c r="BK6" i="72"/>
  <c r="BK7" i="72"/>
  <c r="BK8" i="72"/>
  <c r="BK9" i="72"/>
  <c r="BK10" i="72"/>
  <c r="BK11" i="72"/>
  <c r="BK12" i="72"/>
  <c r="BK13" i="72"/>
  <c r="BK14" i="72"/>
  <c r="BK15" i="72"/>
  <c r="BK16" i="72"/>
  <c r="BK17" i="72"/>
  <c r="BK18" i="72"/>
  <c r="BK19" i="72"/>
  <c r="BK20" i="72"/>
  <c r="BK21" i="72"/>
  <c r="BK22" i="72"/>
  <c r="BK23" i="72"/>
  <c r="BK24" i="72"/>
  <c r="BK25" i="72"/>
  <c r="BK26" i="72"/>
  <c r="BK27" i="72"/>
  <c r="BK28" i="72"/>
  <c r="BK29" i="72"/>
  <c r="BK30" i="72"/>
  <c r="BK31" i="72"/>
  <c r="BK32" i="72"/>
  <c r="BK33" i="72"/>
  <c r="BK34" i="72"/>
  <c r="BK35" i="72"/>
  <c r="BK36" i="72"/>
  <c r="BK37" i="72"/>
  <c r="BK38" i="72"/>
  <c r="BK2" i="72"/>
  <c r="CC719" i="28" l="1"/>
  <c r="CD719" i="28"/>
  <c r="CE719" i="28"/>
  <c r="CU719" i="28" l="1"/>
  <c r="CT719" i="28"/>
  <c r="BZ262" i="28"/>
  <c r="CU262" i="28" l="1"/>
  <c r="CT262" i="28"/>
  <c r="AQ2" i="72"/>
  <c r="AQ3" i="72"/>
  <c r="AQ4" i="72"/>
  <c r="AQ5" i="72"/>
  <c r="AQ6" i="72"/>
  <c r="AQ7" i="72"/>
  <c r="AQ8" i="72"/>
  <c r="AQ9" i="72"/>
  <c r="AQ10" i="72"/>
  <c r="AQ11" i="72"/>
  <c r="AQ12" i="72"/>
  <c r="AS13" i="72"/>
  <c r="AT13" i="72"/>
  <c r="AU13" i="72"/>
  <c r="AV13" i="72"/>
  <c r="AR14" i="72"/>
  <c r="AR15" i="72"/>
  <c r="AR16" i="72"/>
  <c r="AS17" i="72"/>
  <c r="AT17" i="72"/>
  <c r="AS18" i="72"/>
  <c r="AT18" i="72"/>
  <c r="AS19" i="72"/>
  <c r="AT19" i="72"/>
  <c r="AU19" i="72"/>
  <c r="AV19" i="72"/>
  <c r="AR20" i="72"/>
  <c r="AS21" i="72"/>
  <c r="AT21" i="72"/>
  <c r="AU21" i="72"/>
  <c r="AV21" i="72"/>
  <c r="AU22" i="72"/>
  <c r="AV22" i="72"/>
  <c r="AW22" i="72"/>
  <c r="AS23" i="72"/>
  <c r="AT23" i="72"/>
  <c r="AU23" i="72"/>
  <c r="AV23" i="72"/>
  <c r="AS24" i="72"/>
  <c r="AT24" i="72"/>
  <c r="AU24" i="72"/>
  <c r="AV24" i="72"/>
  <c r="AS25" i="72"/>
  <c r="AT25" i="72"/>
  <c r="AU25" i="72"/>
  <c r="AV25" i="72"/>
  <c r="AS26" i="72"/>
  <c r="AT26" i="72"/>
  <c r="AU26" i="72"/>
  <c r="AV26" i="72"/>
  <c r="AS27" i="72"/>
  <c r="AT27" i="72"/>
  <c r="AU27" i="72"/>
  <c r="AV27" i="72"/>
  <c r="AS28" i="72"/>
  <c r="AT28" i="72"/>
  <c r="AU28" i="72"/>
  <c r="AV28" i="72"/>
  <c r="AS29" i="72"/>
  <c r="AT29" i="72"/>
  <c r="AU29" i="72"/>
  <c r="AV29" i="72"/>
  <c r="AS30" i="72"/>
  <c r="AT30" i="72"/>
  <c r="AU30" i="72"/>
  <c r="AV30" i="72"/>
  <c r="AS31" i="72"/>
  <c r="AT31" i="72"/>
  <c r="AU31" i="72"/>
  <c r="AV31" i="72"/>
  <c r="AS32" i="72"/>
  <c r="AT32" i="72"/>
  <c r="AU32" i="72"/>
  <c r="AV32" i="72"/>
  <c r="AS33" i="72"/>
  <c r="AT33" i="72"/>
  <c r="AU33" i="72"/>
  <c r="AV33" i="72"/>
  <c r="AW34" i="72"/>
  <c r="AX34" i="72"/>
  <c r="AY34" i="72"/>
  <c r="AZ34" i="72"/>
  <c r="AW35" i="72"/>
  <c r="AX35" i="72"/>
  <c r="AY35" i="72"/>
  <c r="AZ35" i="72"/>
  <c r="AW36" i="72"/>
  <c r="AX36" i="72"/>
  <c r="AY36" i="72"/>
  <c r="AZ36" i="72"/>
  <c r="AW37" i="72"/>
  <c r="AX37" i="72"/>
  <c r="AY37" i="72"/>
  <c r="AZ37" i="72"/>
  <c r="AW38" i="72"/>
  <c r="AX38" i="72"/>
  <c r="AY38" i="72"/>
  <c r="AZ38" i="72"/>
  <c r="G43" i="22"/>
  <c r="F43" i="22"/>
  <c r="V10" i="69" l="1"/>
  <c r="CJ1025" i="28" l="1"/>
  <c r="CI1025" i="28"/>
  <c r="CH1025" i="28"/>
  <c r="CG1025" i="28"/>
  <c r="CF1025" i="28"/>
  <c r="CE1025" i="28"/>
  <c r="CU1025" i="28" s="1"/>
  <c r="CJ1024" i="28"/>
  <c r="CI1024" i="28"/>
  <c r="CH1024" i="28"/>
  <c r="CG1024" i="28"/>
  <c r="CF1024" i="28"/>
  <c r="CE1024" i="28"/>
  <c r="CU1024" i="28" l="1"/>
  <c r="CF1023" i="28"/>
  <c r="CG1023" i="28"/>
  <c r="CH1023" i="28"/>
  <c r="CI1023" i="28"/>
  <c r="CJ1023" i="28"/>
  <c r="CE1023" i="28"/>
  <c r="BZ407" i="28"/>
  <c r="BZ406" i="28"/>
  <c r="CU407" i="28" l="1"/>
  <c r="CT407" i="28"/>
  <c r="CU406" i="28"/>
  <c r="CT406" i="28"/>
  <c r="CU1023" i="28"/>
  <c r="CE1020" i="28"/>
  <c r="CF1020" i="28"/>
  <c r="CG1020" i="28"/>
  <c r="CH1020" i="28"/>
  <c r="CI1020" i="28"/>
  <c r="CJ1020" i="28"/>
  <c r="CK1020" i="28"/>
  <c r="CL1020" i="28"/>
  <c r="CM1020" i="28"/>
  <c r="CN1020" i="28"/>
  <c r="CO1020" i="28"/>
  <c r="CP1020" i="28"/>
  <c r="CE1021" i="28"/>
  <c r="CF1021" i="28"/>
  <c r="CG1021" i="28"/>
  <c r="CH1021" i="28"/>
  <c r="CI1021" i="28"/>
  <c r="CJ1021" i="28"/>
  <c r="CK1021" i="28"/>
  <c r="CL1021" i="28"/>
  <c r="CM1021" i="28"/>
  <c r="CN1021" i="28"/>
  <c r="CO1021" i="28"/>
  <c r="CP1021" i="28"/>
  <c r="CE1022" i="28"/>
  <c r="CF1022" i="28"/>
  <c r="CG1022" i="28"/>
  <c r="CH1022" i="28"/>
  <c r="CI1022" i="28"/>
  <c r="CJ1022" i="28"/>
  <c r="CK1022" i="28"/>
  <c r="CL1022" i="28"/>
  <c r="CM1022" i="28"/>
  <c r="CN1022" i="28"/>
  <c r="CO1022" i="28"/>
  <c r="CP1022" i="28"/>
  <c r="CF1019" i="28"/>
  <c r="CG1019" i="28"/>
  <c r="CH1019" i="28"/>
  <c r="CI1019" i="28"/>
  <c r="CJ1019" i="28"/>
  <c r="CK1019" i="28"/>
  <c r="CL1019" i="28"/>
  <c r="CM1019" i="28"/>
  <c r="CN1019" i="28"/>
  <c r="CO1019" i="28"/>
  <c r="CP1019" i="28"/>
  <c r="CE1019" i="28"/>
  <c r="CU1019" i="28" s="1"/>
  <c r="CU1022" i="28" l="1"/>
  <c r="CU1020" i="28"/>
  <c r="CU1021" i="28"/>
  <c r="M1206" i="28"/>
  <c r="L1206" i="28"/>
  <c r="AT1206" i="28"/>
  <c r="CJ1077" i="28" l="1"/>
  <c r="CJ1079" i="28"/>
  <c r="CJ1078" i="28"/>
  <c r="CG1081" i="28"/>
  <c r="CU1081" i="28" s="1"/>
  <c r="CG1080" i="28"/>
  <c r="CU1080" i="28" s="1"/>
  <c r="CG1073" i="28"/>
  <c r="CU1073" i="28" s="1"/>
  <c r="CG1072" i="28"/>
  <c r="CU1072" i="28" s="1"/>
  <c r="CG1071" i="28"/>
  <c r="CU1071" i="28" s="1"/>
  <c r="CE1074" i="28"/>
  <c r="CU1074" i="28" s="1"/>
  <c r="CG1075" i="28"/>
  <c r="CU1075" i="28" s="1"/>
  <c r="CG1076" i="28"/>
  <c r="CU1076" i="28" s="1"/>
  <c r="CD1016" i="28"/>
  <c r="CD1017" i="28"/>
  <c r="CD1018" i="28"/>
  <c r="CC1014" i="28"/>
  <c r="CC1015" i="28"/>
  <c r="CC1012" i="28"/>
  <c r="CC1013" i="28"/>
  <c r="CC1011" i="28"/>
  <c r="CD1010" i="28"/>
  <c r="CD1009" i="28"/>
  <c r="CU1015" i="28" l="1"/>
  <c r="CT1015" i="28"/>
  <c r="CU1014" i="28"/>
  <c r="CT1014" i="28"/>
  <c r="CU1017" i="28"/>
  <c r="CT1017" i="28"/>
  <c r="CU1016" i="28"/>
  <c r="CT1016" i="28"/>
  <c r="CU1009" i="28"/>
  <c r="CT1009" i="28"/>
  <c r="CU1011" i="28"/>
  <c r="CT1011" i="28"/>
  <c r="CU1010" i="28"/>
  <c r="CT1010" i="28"/>
  <c r="CU1013" i="28"/>
  <c r="CT1013" i="28"/>
  <c r="CU1018" i="28"/>
  <c r="CT1018" i="28"/>
  <c r="CU1012" i="28"/>
  <c r="CT1012" i="28"/>
  <c r="BA1203" i="28"/>
  <c r="BA1204" i="28"/>
  <c r="BA1205" i="28"/>
  <c r="AT1204" i="28"/>
  <c r="AT1203" i="28"/>
  <c r="AT1205" i="28"/>
  <c r="CC584" i="28"/>
  <c r="CU2" i="28"/>
  <c r="CT2" i="28"/>
  <c r="CE1155" i="28"/>
  <c r="CU1155" i="28" s="1"/>
  <c r="CE1156" i="28"/>
  <c r="CU1156" i="28" s="1"/>
  <c r="CE1157" i="28"/>
  <c r="CU1157" i="28" s="1"/>
  <c r="CE1152" i="28"/>
  <c r="CU1152" i="28" s="1"/>
  <c r="CE1153" i="28"/>
  <c r="CU1153" i="28" s="1"/>
  <c r="CE1154" i="28"/>
  <c r="CU1154" i="28" s="1"/>
  <c r="CE1149" i="28"/>
  <c r="CU1149" i="28" s="1"/>
  <c r="CE1150" i="28"/>
  <c r="CU1150" i="28" s="1"/>
  <c r="CE1151" i="28"/>
  <c r="CU1151" i="28" s="1"/>
  <c r="CE1117" i="28"/>
  <c r="CU1117" i="28" s="1"/>
  <c r="CE1118" i="28"/>
  <c r="CU1118" i="28" s="1"/>
  <c r="CE1119" i="28"/>
  <c r="CU1119" i="28" s="1"/>
  <c r="CE1114" i="28"/>
  <c r="CU1114" i="28" s="1"/>
  <c r="CE1115" i="28"/>
  <c r="CU1115" i="28" s="1"/>
  <c r="CE1116" i="28"/>
  <c r="CU1116" i="28" s="1"/>
  <c r="CA697" i="28"/>
  <c r="CD652" i="28"/>
  <c r="CG628" i="28"/>
  <c r="CU628" i="28" s="1"/>
  <c r="CG629" i="28"/>
  <c r="CU629" i="28" s="1"/>
  <c r="CG630" i="28"/>
  <c r="CU630" i="28" s="1"/>
  <c r="CF625" i="28"/>
  <c r="CU625" i="28" s="1"/>
  <c r="CF626" i="28"/>
  <c r="CU626" i="28" s="1"/>
  <c r="CF627" i="28"/>
  <c r="CU627" i="28" s="1"/>
  <c r="CE622" i="28"/>
  <c r="CU622" i="28" s="1"/>
  <c r="CE623" i="28"/>
  <c r="CU623" i="28" s="1"/>
  <c r="CE624" i="28"/>
  <c r="CU624" i="28" s="1"/>
  <c r="CD597" i="28"/>
  <c r="CC596" i="28"/>
  <c r="CD595" i="28"/>
  <c r="CC594" i="28"/>
  <c r="CC593" i="28"/>
  <c r="CC592" i="28"/>
  <c r="CC591" i="28"/>
  <c r="CC590" i="28"/>
  <c r="CD589" i="28"/>
  <c r="CF588" i="28"/>
  <c r="CU588" i="28" s="1"/>
  <c r="CF587" i="28"/>
  <c r="CU587" i="28" s="1"/>
  <c r="CF586" i="28"/>
  <c r="CU586" i="28" s="1"/>
  <c r="CF585" i="28"/>
  <c r="CU585" i="28" s="1"/>
  <c r="CG583" i="28"/>
  <c r="CU583" i="28" s="1"/>
  <c r="CG581" i="28"/>
  <c r="CU581" i="28" s="1"/>
  <c r="CG580" i="28"/>
  <c r="CU580" i="28" s="1"/>
  <c r="CG579" i="28"/>
  <c r="CU579" i="28" s="1"/>
  <c r="CG578" i="28"/>
  <c r="CU578" i="28" s="1"/>
  <c r="CH582" i="28"/>
  <c r="CU582" i="28" s="1"/>
  <c r="CG576" i="28"/>
  <c r="CU576" i="28" s="1"/>
  <c r="CG577" i="28"/>
  <c r="CU577" i="28" s="1"/>
  <c r="CH575" i="28"/>
  <c r="CU575" i="28" s="1"/>
  <c r="CI574" i="28"/>
  <c r="CU574" i="28" s="1"/>
  <c r="CI573" i="28"/>
  <c r="CU573" i="28" s="1"/>
  <c r="CH572" i="28"/>
  <c r="CU572" i="28" s="1"/>
  <c r="CH571" i="28"/>
  <c r="CU571" i="28" s="1"/>
  <c r="CG570" i="28"/>
  <c r="CU570" i="28" s="1"/>
  <c r="CD541" i="28"/>
  <c r="CD542" i="28"/>
  <c r="CF539" i="28"/>
  <c r="CU539" i="28" s="1"/>
  <c r="CF540" i="28"/>
  <c r="CU540" i="28" s="1"/>
  <c r="CE538" i="28"/>
  <c r="CU538" i="28" s="1"/>
  <c r="CB537" i="28"/>
  <c r="CB493" i="28"/>
  <c r="CB494" i="28"/>
  <c r="CB492" i="28"/>
  <c r="CB490" i="28"/>
  <c r="CB491" i="28"/>
  <c r="CB489" i="28"/>
  <c r="CB488" i="28"/>
  <c r="CA329" i="28"/>
  <c r="CA327" i="28"/>
  <c r="CA328" i="28"/>
  <c r="BZ326" i="28"/>
  <c r="BZ325" i="28"/>
  <c r="BZ324" i="28"/>
  <c r="CE300" i="28"/>
  <c r="CD300" i="28"/>
  <c r="CC300" i="28"/>
  <c r="BZ290" i="28"/>
  <c r="BZ287" i="28"/>
  <c r="BZ286" i="28"/>
  <c r="CC272" i="28"/>
  <c r="CC273" i="28"/>
  <c r="CC271" i="28"/>
  <c r="CC270" i="28"/>
  <c r="CC268" i="28"/>
  <c r="CC269" i="28"/>
  <c r="CA267" i="28"/>
  <c r="CA266" i="28"/>
  <c r="CA265" i="28"/>
  <c r="CA249" i="28"/>
  <c r="CA248" i="28"/>
  <c r="CA246" i="28"/>
  <c r="CA247" i="28"/>
  <c r="CB245" i="28"/>
  <c r="CC244" i="28"/>
  <c r="CD243" i="28"/>
  <c r="CD242" i="28"/>
  <c r="CC241" i="28"/>
  <c r="CC240" i="28"/>
  <c r="CA229" i="28"/>
  <c r="BZ228" i="28"/>
  <c r="BZ227" i="28"/>
  <c r="BZ217" i="28"/>
  <c r="CA205" i="28"/>
  <c r="CA204" i="28"/>
  <c r="CU268" i="28" l="1"/>
  <c r="CT268" i="28"/>
  <c r="CU246" i="28"/>
  <c r="CT246" i="28"/>
  <c r="CU270" i="28"/>
  <c r="CT270" i="28"/>
  <c r="CU488" i="28"/>
  <c r="CT488" i="28"/>
  <c r="CU590" i="28"/>
  <c r="CT590" i="28"/>
  <c r="CU300" i="28"/>
  <c r="CT300" i="28"/>
  <c r="CU248" i="28"/>
  <c r="CT248" i="28"/>
  <c r="CU271" i="28"/>
  <c r="CT271" i="28"/>
  <c r="CU489" i="28"/>
  <c r="CT489" i="28"/>
  <c r="CU591" i="28"/>
  <c r="CT591" i="28"/>
  <c r="CU652" i="28"/>
  <c r="CT652" i="28"/>
  <c r="CU228" i="28"/>
  <c r="CT228" i="28"/>
  <c r="CU537" i="28"/>
  <c r="CT537" i="28"/>
  <c r="CU240" i="28"/>
  <c r="CT240" i="28"/>
  <c r="CU324" i="28"/>
  <c r="CT324" i="28"/>
  <c r="CU697" i="28"/>
  <c r="CT697" i="28"/>
  <c r="CU204" i="28"/>
  <c r="CT204" i="28"/>
  <c r="CU242" i="28"/>
  <c r="CT242" i="28"/>
  <c r="CU265" i="28"/>
  <c r="CT265" i="28"/>
  <c r="CU272" i="28"/>
  <c r="CT272" i="28"/>
  <c r="CU325" i="28"/>
  <c r="CT325" i="28"/>
  <c r="CT490" i="28"/>
  <c r="CU490" i="28"/>
  <c r="CU542" i="28"/>
  <c r="CT542" i="28"/>
  <c r="CU593" i="28"/>
  <c r="CT593" i="28"/>
  <c r="CU247" i="28"/>
  <c r="CT247" i="28"/>
  <c r="CU589" i="28"/>
  <c r="CT589" i="28"/>
  <c r="CU249" i="28"/>
  <c r="CT249" i="28"/>
  <c r="CU243" i="28"/>
  <c r="CT243" i="28"/>
  <c r="CU266" i="28"/>
  <c r="CT266" i="28"/>
  <c r="CU286" i="28"/>
  <c r="CT286" i="28"/>
  <c r="CU326" i="28"/>
  <c r="CT326" i="28"/>
  <c r="CU492" i="28"/>
  <c r="CT492" i="28"/>
  <c r="CU541" i="28"/>
  <c r="CT541" i="28"/>
  <c r="CU594" i="28"/>
  <c r="CT594" i="28"/>
  <c r="CU584" i="28"/>
  <c r="CT584" i="28"/>
  <c r="CU597" i="28"/>
  <c r="CT597" i="28"/>
  <c r="CU241" i="28"/>
  <c r="CT241" i="28"/>
  <c r="CU491" i="28"/>
  <c r="CT491" i="28"/>
  <c r="CU592" i="28"/>
  <c r="CT592" i="28"/>
  <c r="CU267" i="28"/>
  <c r="CT267" i="28"/>
  <c r="CU328" i="28"/>
  <c r="CT328" i="28"/>
  <c r="CU494" i="28"/>
  <c r="CT494" i="28"/>
  <c r="CT595" i="28"/>
  <c r="CU595" i="28"/>
  <c r="CU329" i="28"/>
  <c r="CT329" i="28"/>
  <c r="CU229" i="28"/>
  <c r="CT229" i="28"/>
  <c r="CU273" i="28"/>
  <c r="CT273" i="28"/>
  <c r="CU205" i="28"/>
  <c r="CT205" i="28"/>
  <c r="CU217" i="28"/>
  <c r="CT217" i="28"/>
  <c r="CU244" i="28"/>
  <c r="CT244" i="28"/>
  <c r="CU287" i="28"/>
  <c r="CT287" i="28"/>
  <c r="CU227" i="28"/>
  <c r="CT227" i="28"/>
  <c r="CU245" i="28"/>
  <c r="CT245" i="28"/>
  <c r="CU269" i="28"/>
  <c r="CT269" i="28"/>
  <c r="CU290" i="28"/>
  <c r="CT290" i="28"/>
  <c r="CU327" i="28"/>
  <c r="CT327" i="28"/>
  <c r="CU493" i="28"/>
  <c r="CT493" i="28"/>
  <c r="CU596" i="28"/>
  <c r="CT596" i="28"/>
  <c r="CC1197" i="28"/>
  <c r="CC1198" i="28"/>
  <c r="CC1199" i="28"/>
  <c r="CC1194" i="28"/>
  <c r="CC1195" i="28"/>
  <c r="CC1196" i="28"/>
  <c r="CC944" i="28"/>
  <c r="CD889" i="28"/>
  <c r="CD888" i="28"/>
  <c r="CD887" i="28"/>
  <c r="CE608" i="28"/>
  <c r="CU608" i="28" s="1"/>
  <c r="CE609" i="28"/>
  <c r="CU609" i="28" s="1"/>
  <c r="CE611" i="28"/>
  <c r="CU611" i="28" s="1"/>
  <c r="CE610" i="28"/>
  <c r="CU610" i="28" s="1"/>
  <c r="CB606" i="28"/>
  <c r="CB607" i="28"/>
  <c r="CB605" i="28"/>
  <c r="CB604" i="28"/>
  <c r="CE547" i="28"/>
  <c r="CE548" i="28"/>
  <c r="CU548" i="28" s="1"/>
  <c r="CE549" i="28"/>
  <c r="CC549" i="28"/>
  <c r="CB549" i="28"/>
  <c r="CA549" i="28"/>
  <c r="CE550" i="28"/>
  <c r="CC550" i="28"/>
  <c r="CB550" i="28"/>
  <c r="CA550" i="28"/>
  <c r="CE546" i="28"/>
  <c r="CC546" i="28"/>
  <c r="CB546" i="28"/>
  <c r="CA546" i="28"/>
  <c r="CE545" i="28"/>
  <c r="CC545" i="28"/>
  <c r="CB545" i="28"/>
  <c r="CA545" i="28"/>
  <c r="CB498" i="28"/>
  <c r="CB497" i="28"/>
  <c r="BZ285" i="28"/>
  <c r="CB252" i="28"/>
  <c r="CB253" i="28"/>
  <c r="CB254" i="28"/>
  <c r="CB256" i="28"/>
  <c r="CB255" i="28"/>
  <c r="CA224" i="28"/>
  <c r="CA223" i="28"/>
  <c r="CU224" i="28" l="1"/>
  <c r="CT224" i="28"/>
  <c r="CU498" i="28"/>
  <c r="CT498" i="28"/>
  <c r="CU1195" i="28"/>
  <c r="CT1195" i="28"/>
  <c r="CU497" i="28"/>
  <c r="CT497" i="28"/>
  <c r="CU255" i="28"/>
  <c r="CT255" i="28"/>
  <c r="CU545" i="28"/>
  <c r="CT545" i="28"/>
  <c r="CU550" i="28"/>
  <c r="CT550" i="28"/>
  <c r="CU1194" i="28"/>
  <c r="CT1194" i="28"/>
  <c r="CU1199" i="28"/>
  <c r="CT1199" i="28"/>
  <c r="CU604" i="28"/>
  <c r="CT604" i="28"/>
  <c r="CU1198" i="28"/>
  <c r="CT1198" i="28"/>
  <c r="CU887" i="28"/>
  <c r="CT887" i="28"/>
  <c r="CU253" i="28"/>
  <c r="CT253" i="28"/>
  <c r="CU605" i="28"/>
  <c r="CT605" i="28"/>
  <c r="CU888" i="28"/>
  <c r="CT888" i="28"/>
  <c r="CU1197" i="28"/>
  <c r="CT1197" i="28"/>
  <c r="CU256" i="28"/>
  <c r="CT256" i="28"/>
  <c r="CU254" i="28"/>
  <c r="CT254" i="28"/>
  <c r="CU252" i="28"/>
  <c r="CT252" i="28"/>
  <c r="CU889" i="28"/>
  <c r="CT889" i="28"/>
  <c r="CU223" i="28"/>
  <c r="CT223" i="28"/>
  <c r="CU1196" i="28"/>
  <c r="CT1196" i="28"/>
  <c r="CT546" i="28"/>
  <c r="CU546" i="28"/>
  <c r="CU549" i="28"/>
  <c r="CT549" i="28"/>
  <c r="CU607" i="28"/>
  <c r="CT607" i="28"/>
  <c r="CU285" i="28"/>
  <c r="CT285" i="28"/>
  <c r="CU606" i="28"/>
  <c r="CT606" i="28"/>
  <c r="CU944" i="28"/>
  <c r="CT944" i="28"/>
  <c r="CN1191" i="28"/>
  <c r="CM1191" i="28"/>
  <c r="CL1191" i="28"/>
  <c r="CK1191" i="28"/>
  <c r="CJ1191" i="28"/>
  <c r="CI1191" i="28"/>
  <c r="CH1191" i="28"/>
  <c r="CG1191" i="28"/>
  <c r="CF1191" i="28"/>
  <c r="CE1191" i="28"/>
  <c r="CN1192" i="28"/>
  <c r="CM1192" i="28"/>
  <c r="CL1192" i="28"/>
  <c r="CK1192" i="28"/>
  <c r="CJ1192" i="28"/>
  <c r="CI1192" i="28"/>
  <c r="CH1192" i="28"/>
  <c r="CG1192" i="28"/>
  <c r="CF1192" i="28"/>
  <c r="CE1192" i="28"/>
  <c r="CN1193" i="28"/>
  <c r="CM1193" i="28"/>
  <c r="CL1193" i="28"/>
  <c r="CK1193" i="28"/>
  <c r="CJ1193" i="28"/>
  <c r="CI1193" i="28"/>
  <c r="CH1193" i="28"/>
  <c r="CG1193" i="28"/>
  <c r="CF1193" i="28"/>
  <c r="CE1193" i="28"/>
  <c r="CN1188" i="28"/>
  <c r="CM1188" i="28"/>
  <c r="CL1188" i="28"/>
  <c r="CK1188" i="28"/>
  <c r="CJ1188" i="28"/>
  <c r="CI1188" i="28"/>
  <c r="CH1188" i="28"/>
  <c r="CG1188" i="28"/>
  <c r="CF1188" i="28"/>
  <c r="CE1188" i="28"/>
  <c r="CU1188" i="28" s="1"/>
  <c r="CN1189" i="28"/>
  <c r="CM1189" i="28"/>
  <c r="CL1189" i="28"/>
  <c r="CK1189" i="28"/>
  <c r="CJ1189" i="28"/>
  <c r="CI1189" i="28"/>
  <c r="CH1189" i="28"/>
  <c r="CG1189" i="28"/>
  <c r="CF1189" i="28"/>
  <c r="CE1189" i="28"/>
  <c r="CN1190" i="28"/>
  <c r="CM1190" i="28"/>
  <c r="CL1190" i="28"/>
  <c r="CK1190" i="28"/>
  <c r="CJ1190" i="28"/>
  <c r="CI1190" i="28"/>
  <c r="CH1190" i="28"/>
  <c r="CG1190" i="28"/>
  <c r="CF1190" i="28"/>
  <c r="CE1190" i="28"/>
  <c r="CE1186" i="28"/>
  <c r="CF1186" i="28"/>
  <c r="CG1186" i="28"/>
  <c r="CH1186" i="28"/>
  <c r="CI1186" i="28"/>
  <c r="CJ1186" i="28"/>
  <c r="CK1186" i="28"/>
  <c r="CL1186" i="28"/>
  <c r="CM1186" i="28"/>
  <c r="CN1186" i="28"/>
  <c r="CE1185" i="28"/>
  <c r="CF1185" i="28"/>
  <c r="CG1185" i="28"/>
  <c r="CH1185" i="28"/>
  <c r="CI1185" i="28"/>
  <c r="CJ1185" i="28"/>
  <c r="CK1185" i="28"/>
  <c r="CL1185" i="28"/>
  <c r="CM1185" i="28"/>
  <c r="CN1185" i="28"/>
  <c r="CF1187" i="28"/>
  <c r="CG1187" i="28"/>
  <c r="CH1187" i="28"/>
  <c r="CI1187" i="28"/>
  <c r="CJ1187" i="28"/>
  <c r="CK1187" i="28"/>
  <c r="CL1187" i="28"/>
  <c r="CM1187" i="28"/>
  <c r="CN1187" i="28"/>
  <c r="CE1187" i="28"/>
  <c r="CI1182" i="28"/>
  <c r="CH1182" i="28"/>
  <c r="CG1182" i="28"/>
  <c r="CF1182" i="28"/>
  <c r="CE1182" i="28"/>
  <c r="CI1183" i="28"/>
  <c r="CH1183" i="28"/>
  <c r="CG1183" i="28"/>
  <c r="CF1183" i="28"/>
  <c r="CE1183" i="28"/>
  <c r="CI1184" i="28"/>
  <c r="CH1184" i="28"/>
  <c r="CG1184" i="28"/>
  <c r="CF1184" i="28"/>
  <c r="CE1184" i="28"/>
  <c r="CS1181" i="28"/>
  <c r="CR1181" i="28"/>
  <c r="CQ1181" i="28"/>
  <c r="CP1181" i="28"/>
  <c r="CO1181" i="28"/>
  <c r="CN1181" i="28"/>
  <c r="CM1181" i="28"/>
  <c r="CL1181" i="28"/>
  <c r="CK1181" i="28"/>
  <c r="CJ1181" i="28"/>
  <c r="CI1181" i="28"/>
  <c r="CH1181" i="28"/>
  <c r="CG1181" i="28"/>
  <c r="CF1181" i="28"/>
  <c r="CE1181" i="28"/>
  <c r="CU1181" i="28" s="1"/>
  <c r="CS1180" i="28"/>
  <c r="CR1180" i="28"/>
  <c r="CQ1180" i="28"/>
  <c r="CP1180" i="28"/>
  <c r="CO1180" i="28"/>
  <c r="CN1180" i="28"/>
  <c r="CM1180" i="28"/>
  <c r="CL1180" i="28"/>
  <c r="CK1180" i="28"/>
  <c r="CJ1180" i="28"/>
  <c r="CI1180" i="28"/>
  <c r="CU1180" i="28" s="1"/>
  <c r="CS1177" i="28"/>
  <c r="CR1177" i="28"/>
  <c r="CQ1177" i="28"/>
  <c r="CP1177" i="28"/>
  <c r="CO1177" i="28"/>
  <c r="CN1177" i="28"/>
  <c r="CS1178" i="28"/>
  <c r="CR1178" i="28"/>
  <c r="CQ1178" i="28"/>
  <c r="CP1178" i="28"/>
  <c r="CO1178" i="28"/>
  <c r="CN1178" i="28"/>
  <c r="CS1179" i="28"/>
  <c r="CR1179" i="28"/>
  <c r="CQ1179" i="28"/>
  <c r="CP1179" i="28"/>
  <c r="CO1179" i="28"/>
  <c r="CN1179" i="28"/>
  <c r="CS1174" i="28"/>
  <c r="CR1174" i="28"/>
  <c r="CQ1174" i="28"/>
  <c r="CP1174" i="28"/>
  <c r="CO1174" i="28"/>
  <c r="CN1174" i="28"/>
  <c r="CM1174" i="28"/>
  <c r="CL1174" i="28"/>
  <c r="CK1174" i="28"/>
  <c r="CJ1174" i="28"/>
  <c r="CI1174" i="28"/>
  <c r="CU1174" i="28" s="1"/>
  <c r="CS1175" i="28"/>
  <c r="CR1175" i="28"/>
  <c r="CQ1175" i="28"/>
  <c r="CP1175" i="28"/>
  <c r="CO1175" i="28"/>
  <c r="CN1175" i="28"/>
  <c r="CM1175" i="28"/>
  <c r="CL1175" i="28"/>
  <c r="CK1175" i="28"/>
  <c r="CJ1175" i="28"/>
  <c r="CI1175" i="28"/>
  <c r="CU1175" i="28" s="1"/>
  <c r="CS1176" i="28"/>
  <c r="CR1176" i="28"/>
  <c r="CQ1176" i="28"/>
  <c r="CP1176" i="28"/>
  <c r="CO1176" i="28"/>
  <c r="CN1176" i="28"/>
  <c r="CM1176" i="28"/>
  <c r="CL1176" i="28"/>
  <c r="CK1176" i="28"/>
  <c r="CJ1176" i="28"/>
  <c r="CI1176" i="28"/>
  <c r="CU1176" i="28" s="1"/>
  <c r="CS1171" i="28"/>
  <c r="CR1171" i="28"/>
  <c r="CQ1171" i="28"/>
  <c r="CP1171" i="28"/>
  <c r="CO1171" i="28"/>
  <c r="CN1171" i="28"/>
  <c r="CM1171" i="28"/>
  <c r="CL1171" i="28"/>
  <c r="CK1171" i="28"/>
  <c r="CJ1171" i="28"/>
  <c r="CI1171" i="28"/>
  <c r="CU1171" i="28" s="1"/>
  <c r="CS1172" i="28"/>
  <c r="CR1172" i="28"/>
  <c r="CQ1172" i="28"/>
  <c r="CP1172" i="28"/>
  <c r="CO1172" i="28"/>
  <c r="CN1172" i="28"/>
  <c r="CM1172" i="28"/>
  <c r="CL1172" i="28"/>
  <c r="CK1172" i="28"/>
  <c r="CJ1172" i="28"/>
  <c r="CI1172" i="28"/>
  <c r="CU1172" i="28" s="1"/>
  <c r="CS1173" i="28"/>
  <c r="CR1173" i="28"/>
  <c r="CQ1173" i="28"/>
  <c r="CP1173" i="28"/>
  <c r="CO1173" i="28"/>
  <c r="CN1173" i="28"/>
  <c r="CM1173" i="28"/>
  <c r="CL1173" i="28"/>
  <c r="CK1173" i="28"/>
  <c r="CJ1173" i="28"/>
  <c r="CI1173" i="28"/>
  <c r="CU1173" i="28" s="1"/>
  <c r="CO1170" i="28"/>
  <c r="CP1170" i="28"/>
  <c r="CQ1170" i="28"/>
  <c r="CR1170" i="28"/>
  <c r="CS1170" i="28"/>
  <c r="CN1170" i="28"/>
  <c r="CS1167" i="28"/>
  <c r="CR1167" i="28"/>
  <c r="CQ1167" i="28"/>
  <c r="CP1167" i="28"/>
  <c r="CO1167" i="28"/>
  <c r="CN1167" i="28"/>
  <c r="CM1167" i="28"/>
  <c r="CL1167" i="28"/>
  <c r="CK1167" i="28"/>
  <c r="CJ1167" i="28"/>
  <c r="CI1167" i="28"/>
  <c r="CU1167" i="28" s="1"/>
  <c r="CS1168" i="28"/>
  <c r="CR1168" i="28"/>
  <c r="CQ1168" i="28"/>
  <c r="CP1168" i="28"/>
  <c r="CO1168" i="28"/>
  <c r="CN1168" i="28"/>
  <c r="CM1168" i="28"/>
  <c r="CL1168" i="28"/>
  <c r="CK1168" i="28"/>
  <c r="CJ1168" i="28"/>
  <c r="CI1168" i="28"/>
  <c r="CU1168" i="28" s="1"/>
  <c r="CS1169" i="28"/>
  <c r="CR1169" i="28"/>
  <c r="CQ1169" i="28"/>
  <c r="CP1169" i="28"/>
  <c r="CO1169" i="28"/>
  <c r="CN1169" i="28"/>
  <c r="CM1169" i="28"/>
  <c r="CL1169" i="28"/>
  <c r="CK1169" i="28"/>
  <c r="CJ1169" i="28"/>
  <c r="CI1169" i="28"/>
  <c r="CU1169" i="28" s="1"/>
  <c r="CS1164" i="28"/>
  <c r="CR1164" i="28"/>
  <c r="CQ1164" i="28"/>
  <c r="CP1164" i="28"/>
  <c r="CO1164" i="28"/>
  <c r="CN1164" i="28"/>
  <c r="CM1164" i="28"/>
  <c r="CL1164" i="28"/>
  <c r="CK1164" i="28"/>
  <c r="CJ1164" i="28"/>
  <c r="CI1164" i="28"/>
  <c r="CH1164" i="28"/>
  <c r="CG1164" i="28"/>
  <c r="CF1164" i="28"/>
  <c r="CE1164" i="28"/>
  <c r="CS1165" i="28"/>
  <c r="CR1165" i="28"/>
  <c r="CQ1165" i="28"/>
  <c r="CP1165" i="28"/>
  <c r="CO1165" i="28"/>
  <c r="CN1165" i="28"/>
  <c r="CM1165" i="28"/>
  <c r="CL1165" i="28"/>
  <c r="CK1165" i="28"/>
  <c r="CJ1165" i="28"/>
  <c r="CI1165" i="28"/>
  <c r="CH1165" i="28"/>
  <c r="CG1165" i="28"/>
  <c r="CF1165" i="28"/>
  <c r="CE1165" i="28"/>
  <c r="CS1166" i="28"/>
  <c r="CR1166" i="28"/>
  <c r="CQ1166" i="28"/>
  <c r="CP1166" i="28"/>
  <c r="CO1166" i="28"/>
  <c r="CN1166" i="28"/>
  <c r="CM1166" i="28"/>
  <c r="CL1166" i="28"/>
  <c r="CK1166" i="28"/>
  <c r="CJ1166" i="28"/>
  <c r="CI1166" i="28"/>
  <c r="CH1166" i="28"/>
  <c r="CG1166" i="28"/>
  <c r="CF1166" i="28"/>
  <c r="CE1166" i="28"/>
  <c r="CE1162" i="28"/>
  <c r="CF1162" i="28"/>
  <c r="CG1162" i="28"/>
  <c r="CH1162" i="28"/>
  <c r="CI1162" i="28"/>
  <c r="CE1161" i="28"/>
  <c r="CF1161" i="28"/>
  <c r="CG1161" i="28"/>
  <c r="CH1161" i="28"/>
  <c r="CI1161" i="28"/>
  <c r="CF1163" i="28"/>
  <c r="CG1163" i="28"/>
  <c r="CH1163" i="28"/>
  <c r="CI1163" i="28"/>
  <c r="CE1163" i="28"/>
  <c r="CS1158" i="28"/>
  <c r="CR1158" i="28"/>
  <c r="CQ1158" i="28"/>
  <c r="CP1158" i="28"/>
  <c r="CO1158" i="28"/>
  <c r="CN1158" i="28"/>
  <c r="CM1158" i="28"/>
  <c r="CL1158" i="28"/>
  <c r="CK1158" i="28"/>
  <c r="CJ1158" i="28"/>
  <c r="CI1158" i="28"/>
  <c r="CH1158" i="28"/>
  <c r="CG1158" i="28"/>
  <c r="CF1158" i="28"/>
  <c r="CE1158" i="28"/>
  <c r="CS1159" i="28"/>
  <c r="CR1159" i="28"/>
  <c r="CQ1159" i="28"/>
  <c r="CP1159" i="28"/>
  <c r="CO1159" i="28"/>
  <c r="CN1159" i="28"/>
  <c r="CM1159" i="28"/>
  <c r="CL1159" i="28"/>
  <c r="CK1159" i="28"/>
  <c r="CJ1159" i="28"/>
  <c r="CI1159" i="28"/>
  <c r="CH1159" i="28"/>
  <c r="CG1159" i="28"/>
  <c r="CF1159" i="28"/>
  <c r="CE1159" i="28"/>
  <c r="CS1160" i="28"/>
  <c r="CR1160" i="28"/>
  <c r="CQ1160" i="28"/>
  <c r="CP1160" i="28"/>
  <c r="CO1160" i="28"/>
  <c r="CN1160" i="28"/>
  <c r="CM1160" i="28"/>
  <c r="CL1160" i="28"/>
  <c r="CK1160" i="28"/>
  <c r="CJ1160" i="28"/>
  <c r="CI1160" i="28"/>
  <c r="CH1160" i="28"/>
  <c r="CG1160" i="28"/>
  <c r="CF1160" i="28"/>
  <c r="CE1160" i="28"/>
  <c r="CS1146" i="28"/>
  <c r="CR1146" i="28"/>
  <c r="CQ1146" i="28"/>
  <c r="CP1146" i="28"/>
  <c r="CO1146" i="28"/>
  <c r="CN1146" i="28"/>
  <c r="CM1146" i="28"/>
  <c r="CL1146" i="28"/>
  <c r="CK1146" i="28"/>
  <c r="CJ1146" i="28"/>
  <c r="CI1146" i="28"/>
  <c r="CH1146" i="28"/>
  <c r="CG1146" i="28"/>
  <c r="CF1146" i="28"/>
  <c r="CE1146" i="28"/>
  <c r="CS1147" i="28"/>
  <c r="CR1147" i="28"/>
  <c r="CQ1147" i="28"/>
  <c r="CP1147" i="28"/>
  <c r="CO1147" i="28"/>
  <c r="CN1147" i="28"/>
  <c r="CM1147" i="28"/>
  <c r="CL1147" i="28"/>
  <c r="CK1147" i="28"/>
  <c r="CJ1147" i="28"/>
  <c r="CI1147" i="28"/>
  <c r="CH1147" i="28"/>
  <c r="CG1147" i="28"/>
  <c r="CF1147" i="28"/>
  <c r="CE1147" i="28"/>
  <c r="CS1148" i="28"/>
  <c r="CR1148" i="28"/>
  <c r="CQ1148" i="28"/>
  <c r="CP1148" i="28"/>
  <c r="CO1148" i="28"/>
  <c r="CN1148" i="28"/>
  <c r="CM1148" i="28"/>
  <c r="CL1148" i="28"/>
  <c r="CK1148" i="28"/>
  <c r="CJ1148" i="28"/>
  <c r="CI1148" i="28"/>
  <c r="CH1148" i="28"/>
  <c r="CG1148" i="28"/>
  <c r="CF1148" i="28"/>
  <c r="CE1148" i="28"/>
  <c r="CS1143" i="28"/>
  <c r="CR1143" i="28"/>
  <c r="CQ1143" i="28"/>
  <c r="CP1143" i="28"/>
  <c r="CO1143" i="28"/>
  <c r="CN1143" i="28"/>
  <c r="CM1143" i="28"/>
  <c r="CL1143" i="28"/>
  <c r="CK1143" i="28"/>
  <c r="CJ1143" i="28"/>
  <c r="CI1143" i="28"/>
  <c r="CH1143" i="28"/>
  <c r="CG1143" i="28"/>
  <c r="CF1143" i="28"/>
  <c r="CE1143" i="28"/>
  <c r="CS1144" i="28"/>
  <c r="CR1144" i="28"/>
  <c r="CQ1144" i="28"/>
  <c r="CP1144" i="28"/>
  <c r="CO1144" i="28"/>
  <c r="CN1144" i="28"/>
  <c r="CM1144" i="28"/>
  <c r="CL1144" i="28"/>
  <c r="CK1144" i="28"/>
  <c r="CJ1144" i="28"/>
  <c r="CI1144" i="28"/>
  <c r="CH1144" i="28"/>
  <c r="CG1144" i="28"/>
  <c r="CF1144" i="28"/>
  <c r="CE1144" i="28"/>
  <c r="CS1145" i="28"/>
  <c r="CR1145" i="28"/>
  <c r="CQ1145" i="28"/>
  <c r="CP1145" i="28"/>
  <c r="CO1145" i="28"/>
  <c r="CN1145" i="28"/>
  <c r="CM1145" i="28"/>
  <c r="CL1145" i="28"/>
  <c r="CK1145" i="28"/>
  <c r="CJ1145" i="28"/>
  <c r="CI1145" i="28"/>
  <c r="CH1145" i="28"/>
  <c r="CG1145" i="28"/>
  <c r="CF1145" i="28"/>
  <c r="CE1145" i="28"/>
  <c r="CS1140" i="28"/>
  <c r="CR1140" i="28"/>
  <c r="CQ1140" i="28"/>
  <c r="CP1140" i="28"/>
  <c r="CO1140" i="28"/>
  <c r="CN1140" i="28"/>
  <c r="CM1140" i="28"/>
  <c r="CL1140" i="28"/>
  <c r="CK1140" i="28"/>
  <c r="CJ1140" i="28"/>
  <c r="CI1140" i="28"/>
  <c r="CH1140" i="28"/>
  <c r="CG1140" i="28"/>
  <c r="CF1140" i="28"/>
  <c r="CE1140" i="28"/>
  <c r="CS1141" i="28"/>
  <c r="CR1141" i="28"/>
  <c r="CQ1141" i="28"/>
  <c r="CP1141" i="28"/>
  <c r="CO1141" i="28"/>
  <c r="CN1141" i="28"/>
  <c r="CM1141" i="28"/>
  <c r="CL1141" i="28"/>
  <c r="CK1141" i="28"/>
  <c r="CJ1141" i="28"/>
  <c r="CI1141" i="28"/>
  <c r="CH1141" i="28"/>
  <c r="CG1141" i="28"/>
  <c r="CF1141" i="28"/>
  <c r="CE1141" i="28"/>
  <c r="CS1142" i="28"/>
  <c r="CR1142" i="28"/>
  <c r="CQ1142" i="28"/>
  <c r="CP1142" i="28"/>
  <c r="CO1142" i="28"/>
  <c r="CN1142" i="28"/>
  <c r="CM1142" i="28"/>
  <c r="CL1142" i="28"/>
  <c r="CK1142" i="28"/>
  <c r="CJ1142" i="28"/>
  <c r="CI1142" i="28"/>
  <c r="CH1142" i="28"/>
  <c r="CG1142" i="28"/>
  <c r="CF1142" i="28"/>
  <c r="CE1142" i="28"/>
  <c r="CS1139" i="28"/>
  <c r="CR1139" i="28"/>
  <c r="CQ1139" i="28"/>
  <c r="CP1139" i="28"/>
  <c r="CO1139" i="28"/>
  <c r="CN1139" i="28"/>
  <c r="CM1139" i="28"/>
  <c r="CL1139" i="28"/>
  <c r="CK1139" i="28"/>
  <c r="CJ1139" i="28"/>
  <c r="CI1139" i="28"/>
  <c r="CU1139" i="28" s="1"/>
  <c r="CS1136" i="28"/>
  <c r="CR1136" i="28"/>
  <c r="CQ1136" i="28"/>
  <c r="CP1136" i="28"/>
  <c r="CO1136" i="28"/>
  <c r="CN1136" i="28"/>
  <c r="CM1136" i="28"/>
  <c r="CL1136" i="28"/>
  <c r="CK1136" i="28"/>
  <c r="CJ1136" i="28"/>
  <c r="CI1136" i="28"/>
  <c r="CH1136" i="28"/>
  <c r="CG1136" i="28"/>
  <c r="CF1136" i="28"/>
  <c r="CE1136" i="28"/>
  <c r="CS1137" i="28"/>
  <c r="CR1137" i="28"/>
  <c r="CQ1137" i="28"/>
  <c r="CP1137" i="28"/>
  <c r="CO1137" i="28"/>
  <c r="CN1137" i="28"/>
  <c r="CM1137" i="28"/>
  <c r="CL1137" i="28"/>
  <c r="CK1137" i="28"/>
  <c r="CJ1137" i="28"/>
  <c r="CI1137" i="28"/>
  <c r="CH1137" i="28"/>
  <c r="CG1137" i="28"/>
  <c r="CF1137" i="28"/>
  <c r="CE1137" i="28"/>
  <c r="CS1138" i="28"/>
  <c r="CR1138" i="28"/>
  <c r="CQ1138" i="28"/>
  <c r="CP1138" i="28"/>
  <c r="CO1138" i="28"/>
  <c r="CN1138" i="28"/>
  <c r="CM1138" i="28"/>
  <c r="CL1138" i="28"/>
  <c r="CK1138" i="28"/>
  <c r="CJ1138" i="28"/>
  <c r="CI1138" i="28"/>
  <c r="CH1138" i="28"/>
  <c r="CG1138" i="28"/>
  <c r="CF1138" i="28"/>
  <c r="CE1138" i="28"/>
  <c r="CS1133" i="28"/>
  <c r="CR1133" i="28"/>
  <c r="CQ1133" i="28"/>
  <c r="CP1133" i="28"/>
  <c r="CO1133" i="28"/>
  <c r="CN1133" i="28"/>
  <c r="CM1133" i="28"/>
  <c r="CL1133" i="28"/>
  <c r="CK1133" i="28"/>
  <c r="CJ1133" i="28"/>
  <c r="CI1133" i="28"/>
  <c r="CH1133" i="28"/>
  <c r="CG1133" i="28"/>
  <c r="CF1133" i="28"/>
  <c r="CE1133" i="28"/>
  <c r="CS1134" i="28"/>
  <c r="CR1134" i="28"/>
  <c r="CQ1134" i="28"/>
  <c r="CP1134" i="28"/>
  <c r="CO1134" i="28"/>
  <c r="CN1134" i="28"/>
  <c r="CM1134" i="28"/>
  <c r="CL1134" i="28"/>
  <c r="CK1134" i="28"/>
  <c r="CJ1134" i="28"/>
  <c r="CI1134" i="28"/>
  <c r="CH1134" i="28"/>
  <c r="CG1134" i="28"/>
  <c r="CF1134" i="28"/>
  <c r="CE1134" i="28"/>
  <c r="CS1135" i="28"/>
  <c r="CR1135" i="28"/>
  <c r="CQ1135" i="28"/>
  <c r="CP1135" i="28"/>
  <c r="CO1135" i="28"/>
  <c r="CN1135" i="28"/>
  <c r="CM1135" i="28"/>
  <c r="CL1135" i="28"/>
  <c r="CK1135" i="28"/>
  <c r="CJ1135" i="28"/>
  <c r="CI1135" i="28"/>
  <c r="CH1135" i="28"/>
  <c r="CG1135" i="28"/>
  <c r="CF1135" i="28"/>
  <c r="CE1135" i="28"/>
  <c r="CS1130" i="28"/>
  <c r="CR1130" i="28"/>
  <c r="CQ1130" i="28"/>
  <c r="CP1130" i="28"/>
  <c r="CO1130" i="28"/>
  <c r="CN1130" i="28"/>
  <c r="CM1130" i="28"/>
  <c r="CL1130" i="28"/>
  <c r="CK1130" i="28"/>
  <c r="CJ1130" i="28"/>
  <c r="CI1130" i="28"/>
  <c r="CH1130" i="28"/>
  <c r="CG1130" i="28"/>
  <c r="CF1130" i="28"/>
  <c r="CE1130" i="28"/>
  <c r="CS1131" i="28"/>
  <c r="CR1131" i="28"/>
  <c r="CQ1131" i="28"/>
  <c r="CP1131" i="28"/>
  <c r="CO1131" i="28"/>
  <c r="CN1131" i="28"/>
  <c r="CM1131" i="28"/>
  <c r="CL1131" i="28"/>
  <c r="CK1131" i="28"/>
  <c r="CJ1131" i="28"/>
  <c r="CI1131" i="28"/>
  <c r="CH1131" i="28"/>
  <c r="CG1131" i="28"/>
  <c r="CF1131" i="28"/>
  <c r="CE1131" i="28"/>
  <c r="CS1132" i="28"/>
  <c r="CR1132" i="28"/>
  <c r="CQ1132" i="28"/>
  <c r="CP1132" i="28"/>
  <c r="CO1132" i="28"/>
  <c r="CN1132" i="28"/>
  <c r="CM1132" i="28"/>
  <c r="CL1132" i="28"/>
  <c r="CK1132" i="28"/>
  <c r="CJ1132" i="28"/>
  <c r="CI1132" i="28"/>
  <c r="CH1132" i="28"/>
  <c r="CG1132" i="28"/>
  <c r="CF1132" i="28"/>
  <c r="CE1132" i="28"/>
  <c r="CS1129" i="28"/>
  <c r="CR1129" i="28"/>
  <c r="CQ1129" i="28"/>
  <c r="CP1129" i="28"/>
  <c r="CO1129" i="28"/>
  <c r="CN1129" i="28"/>
  <c r="CM1129" i="28"/>
  <c r="CL1129" i="28"/>
  <c r="CK1129" i="28"/>
  <c r="CJ1129" i="28"/>
  <c r="CI1129" i="28"/>
  <c r="CU1129" i="28" s="1"/>
  <c r="CS1126" i="28"/>
  <c r="CR1126" i="28"/>
  <c r="CQ1126" i="28"/>
  <c r="CP1126" i="28"/>
  <c r="CO1126" i="28"/>
  <c r="CN1126" i="28"/>
  <c r="CM1126" i="28"/>
  <c r="CL1126" i="28"/>
  <c r="CK1126" i="28"/>
  <c r="CJ1126" i="28"/>
  <c r="CI1126" i="28"/>
  <c r="CU1126" i="28" s="1"/>
  <c r="CS1127" i="28"/>
  <c r="CR1127" i="28"/>
  <c r="CQ1127" i="28"/>
  <c r="CP1127" i="28"/>
  <c r="CO1127" i="28"/>
  <c r="CN1127" i="28"/>
  <c r="CM1127" i="28"/>
  <c r="CL1127" i="28"/>
  <c r="CK1127" i="28"/>
  <c r="CJ1127" i="28"/>
  <c r="CI1127" i="28"/>
  <c r="CU1127" i="28" s="1"/>
  <c r="CS1128" i="28"/>
  <c r="CR1128" i="28"/>
  <c r="CQ1128" i="28"/>
  <c r="CP1128" i="28"/>
  <c r="CO1128" i="28"/>
  <c r="CN1128" i="28"/>
  <c r="CM1128" i="28"/>
  <c r="CL1128" i="28"/>
  <c r="CK1128" i="28"/>
  <c r="CJ1128" i="28"/>
  <c r="CI1128" i="28"/>
  <c r="CU1128" i="28" s="1"/>
  <c r="CS1123" i="28"/>
  <c r="CR1123" i="28"/>
  <c r="CQ1123" i="28"/>
  <c r="CP1123" i="28"/>
  <c r="CO1123" i="28"/>
  <c r="CN1123" i="28"/>
  <c r="CM1123" i="28"/>
  <c r="CL1123" i="28"/>
  <c r="CK1123" i="28"/>
  <c r="CJ1123" i="28"/>
  <c r="CI1123" i="28"/>
  <c r="CH1123" i="28"/>
  <c r="CG1123" i="28"/>
  <c r="CF1123" i="28"/>
  <c r="CE1123" i="28"/>
  <c r="CS1124" i="28"/>
  <c r="CR1124" i="28"/>
  <c r="CQ1124" i="28"/>
  <c r="CP1124" i="28"/>
  <c r="CO1124" i="28"/>
  <c r="CN1124" i="28"/>
  <c r="CM1124" i="28"/>
  <c r="CL1124" i="28"/>
  <c r="CK1124" i="28"/>
  <c r="CJ1124" i="28"/>
  <c r="CI1124" i="28"/>
  <c r="CH1124" i="28"/>
  <c r="CG1124" i="28"/>
  <c r="CF1124" i="28"/>
  <c r="CE1124" i="28"/>
  <c r="CS1125" i="28"/>
  <c r="CR1125" i="28"/>
  <c r="CQ1125" i="28"/>
  <c r="CP1125" i="28"/>
  <c r="CO1125" i="28"/>
  <c r="CN1125" i="28"/>
  <c r="CM1125" i="28"/>
  <c r="CL1125" i="28"/>
  <c r="CK1125" i="28"/>
  <c r="CJ1125" i="28"/>
  <c r="CI1125" i="28"/>
  <c r="CH1125" i="28"/>
  <c r="CG1125" i="28"/>
  <c r="CF1125" i="28"/>
  <c r="CE1125" i="28"/>
  <c r="CS1120" i="28"/>
  <c r="CR1120" i="28"/>
  <c r="CQ1120" i="28"/>
  <c r="CP1120" i="28"/>
  <c r="CO1120" i="28"/>
  <c r="CN1120" i="28"/>
  <c r="CM1120" i="28"/>
  <c r="CL1120" i="28"/>
  <c r="CK1120" i="28"/>
  <c r="CJ1120" i="28"/>
  <c r="CI1120" i="28"/>
  <c r="CU1120" i="28" s="1"/>
  <c r="CS1121" i="28"/>
  <c r="CR1121" i="28"/>
  <c r="CQ1121" i="28"/>
  <c r="CP1121" i="28"/>
  <c r="CO1121" i="28"/>
  <c r="CN1121" i="28"/>
  <c r="CM1121" i="28"/>
  <c r="CL1121" i="28"/>
  <c r="CK1121" i="28"/>
  <c r="CJ1121" i="28"/>
  <c r="CI1121" i="28"/>
  <c r="CU1121" i="28" s="1"/>
  <c r="CS1122" i="28"/>
  <c r="CR1122" i="28"/>
  <c r="CQ1122" i="28"/>
  <c r="CP1122" i="28"/>
  <c r="CO1122" i="28"/>
  <c r="CN1122" i="28"/>
  <c r="CM1122" i="28"/>
  <c r="CL1122" i="28"/>
  <c r="CK1122" i="28"/>
  <c r="CJ1122" i="28"/>
  <c r="CI1122" i="28"/>
  <c r="CU1122" i="28" s="1"/>
  <c r="CS1113" i="28"/>
  <c r="CR1113" i="28"/>
  <c r="CQ1113" i="28"/>
  <c r="CP1113" i="28"/>
  <c r="CO1113" i="28"/>
  <c r="CN1113" i="28"/>
  <c r="CM1113" i="28"/>
  <c r="CL1113" i="28"/>
  <c r="CK1113" i="28"/>
  <c r="CJ1113" i="28"/>
  <c r="CI1113" i="28"/>
  <c r="CU1113" i="28" s="1"/>
  <c r="CS1110" i="28"/>
  <c r="CR1110" i="28"/>
  <c r="CQ1110" i="28"/>
  <c r="CP1110" i="28"/>
  <c r="CO1110" i="28"/>
  <c r="CN1110" i="28"/>
  <c r="CM1110" i="28"/>
  <c r="CL1110" i="28"/>
  <c r="CK1110" i="28"/>
  <c r="CJ1110" i="28"/>
  <c r="CI1110" i="28"/>
  <c r="CH1110" i="28"/>
  <c r="CG1110" i="28"/>
  <c r="CF1110" i="28"/>
  <c r="CE1110" i="28"/>
  <c r="CS1111" i="28"/>
  <c r="CR1111" i="28"/>
  <c r="CQ1111" i="28"/>
  <c r="CP1111" i="28"/>
  <c r="CO1111" i="28"/>
  <c r="CN1111" i="28"/>
  <c r="CM1111" i="28"/>
  <c r="CL1111" i="28"/>
  <c r="CK1111" i="28"/>
  <c r="CJ1111" i="28"/>
  <c r="CI1111" i="28"/>
  <c r="CH1111" i="28"/>
  <c r="CG1111" i="28"/>
  <c r="CF1111" i="28"/>
  <c r="CE1111" i="28"/>
  <c r="CS1112" i="28"/>
  <c r="CR1112" i="28"/>
  <c r="CQ1112" i="28"/>
  <c r="CP1112" i="28"/>
  <c r="CO1112" i="28"/>
  <c r="CN1112" i="28"/>
  <c r="CM1112" i="28"/>
  <c r="CL1112" i="28"/>
  <c r="CK1112" i="28"/>
  <c r="CJ1112" i="28"/>
  <c r="CI1112" i="28"/>
  <c r="CH1112" i="28"/>
  <c r="CG1112" i="28"/>
  <c r="CF1112" i="28"/>
  <c r="CE1112" i="28"/>
  <c r="CS1109" i="28"/>
  <c r="CR1109" i="28"/>
  <c r="CQ1109" i="28"/>
  <c r="CP1109" i="28"/>
  <c r="CO1109" i="28"/>
  <c r="CN1109" i="28"/>
  <c r="CM1109" i="28"/>
  <c r="CL1109" i="28"/>
  <c r="CK1109" i="28"/>
  <c r="CJ1109" i="28"/>
  <c r="CI1109" i="28"/>
  <c r="CU1109" i="28" s="1"/>
  <c r="CJ1108" i="28"/>
  <c r="CK1108" i="28"/>
  <c r="CL1108" i="28"/>
  <c r="CM1108" i="28"/>
  <c r="CN1108" i="28"/>
  <c r="CO1108" i="28"/>
  <c r="CP1108" i="28"/>
  <c r="CQ1108" i="28"/>
  <c r="CR1108" i="28"/>
  <c r="CS1108" i="28"/>
  <c r="CI1108" i="28"/>
  <c r="CU1108" i="28" s="1"/>
  <c r="CE1106" i="28"/>
  <c r="CF1106" i="28"/>
  <c r="CG1106" i="28"/>
  <c r="CH1106" i="28"/>
  <c r="CI1106" i="28"/>
  <c r="CJ1106" i="28"/>
  <c r="CK1106" i="28"/>
  <c r="CL1106" i="28"/>
  <c r="CM1106" i="28"/>
  <c r="CN1106" i="28"/>
  <c r="CO1106" i="28"/>
  <c r="CP1106" i="28"/>
  <c r="CQ1106" i="28"/>
  <c r="CR1106" i="28"/>
  <c r="CS1106" i="28"/>
  <c r="CE1105" i="28"/>
  <c r="CU1105" i="28" s="1"/>
  <c r="CF1105" i="28"/>
  <c r="CG1105" i="28"/>
  <c r="CH1105" i="28"/>
  <c r="CI1105" i="28"/>
  <c r="CJ1105" i="28"/>
  <c r="CK1105" i="28"/>
  <c r="CL1105" i="28"/>
  <c r="CM1105" i="28"/>
  <c r="CN1105" i="28"/>
  <c r="CO1105" i="28"/>
  <c r="CP1105" i="28"/>
  <c r="CQ1105" i="28"/>
  <c r="CR1105" i="28"/>
  <c r="CS1105" i="28"/>
  <c r="CR1107" i="28"/>
  <c r="CS1107" i="28"/>
  <c r="CF1107" i="28"/>
  <c r="CG1107" i="28"/>
  <c r="CH1107" i="28"/>
  <c r="CI1107" i="28"/>
  <c r="CJ1107" i="28"/>
  <c r="CK1107" i="28"/>
  <c r="CL1107" i="28"/>
  <c r="CM1107" i="28"/>
  <c r="CN1107" i="28"/>
  <c r="CO1107" i="28"/>
  <c r="CP1107" i="28"/>
  <c r="CQ1107" i="28"/>
  <c r="CE1107" i="28"/>
  <c r="CS1104" i="28"/>
  <c r="CJ1104" i="28"/>
  <c r="CK1104" i="28"/>
  <c r="CL1104" i="28"/>
  <c r="CM1104" i="28"/>
  <c r="CN1104" i="28"/>
  <c r="CO1104" i="28"/>
  <c r="CP1104" i="28"/>
  <c r="CQ1104" i="28"/>
  <c r="CR1104" i="28"/>
  <c r="CI1104" i="28"/>
  <c r="CU1104" i="28" s="1"/>
  <c r="CU1107" i="28" l="1"/>
  <c r="CU1133" i="28"/>
  <c r="CU1147" i="28"/>
  <c r="CU1164" i="28"/>
  <c r="CU1187" i="28"/>
  <c r="CU1140" i="28"/>
  <c r="CU1159" i="28"/>
  <c r="CU1137" i="28"/>
  <c r="CU1141" i="28"/>
  <c r="CU1160" i="28"/>
  <c r="CU1182" i="28"/>
  <c r="CU1185" i="28"/>
  <c r="CU1132" i="28"/>
  <c r="CU1136" i="28"/>
  <c r="CU1138" i="28"/>
  <c r="CU1142" i="28"/>
  <c r="CU1146" i="28"/>
  <c r="CU1193" i="28"/>
  <c r="CU1186" i="28"/>
  <c r="CU1110" i="28"/>
  <c r="CU1134" i="28"/>
  <c r="CU1148" i="28"/>
  <c r="CU1162" i="28"/>
  <c r="CU1165" i="28"/>
  <c r="CU1183" i="28"/>
  <c r="CU1190" i="28"/>
  <c r="CU1192" i="28"/>
  <c r="CU1111" i="28"/>
  <c r="CU1123" i="28"/>
  <c r="CU1135" i="28"/>
  <c r="CU1143" i="28"/>
  <c r="CU1166" i="28"/>
  <c r="CU1144" i="28"/>
  <c r="CU1163" i="28"/>
  <c r="CU1189" i="28"/>
  <c r="CU1191" i="28"/>
  <c r="CU1112" i="28"/>
  <c r="CU1124" i="28"/>
  <c r="CU1130" i="28"/>
  <c r="CU1106" i="28"/>
  <c r="CU1125" i="28"/>
  <c r="CU1131" i="28"/>
  <c r="CU1145" i="28"/>
  <c r="CU1158" i="28"/>
  <c r="CU1161" i="28"/>
  <c r="CU1184" i="28"/>
  <c r="R7" i="69"/>
  <c r="V7" i="69"/>
  <c r="U7" i="69"/>
  <c r="P7" i="69"/>
  <c r="T7" i="69"/>
  <c r="Q7" i="69"/>
  <c r="S7" i="69"/>
  <c r="CF1103" i="28"/>
  <c r="CE1103" i="28"/>
  <c r="CD1103" i="28"/>
  <c r="CF1101" i="28"/>
  <c r="CE1101" i="28"/>
  <c r="CD1101" i="28"/>
  <c r="CF1100" i="28"/>
  <c r="CE1100" i="28"/>
  <c r="CD1100" i="28"/>
  <c r="CF1099" i="28"/>
  <c r="CE1099" i="28"/>
  <c r="CD1099" i="28"/>
  <c r="CF1098" i="28"/>
  <c r="CE1098" i="28"/>
  <c r="CD1098" i="28"/>
  <c r="CF1097" i="28"/>
  <c r="CE1097" i="28"/>
  <c r="CD1097" i="28"/>
  <c r="CF1096" i="28"/>
  <c r="CE1096" i="28"/>
  <c r="CD1096" i="28"/>
  <c r="CF1095" i="28"/>
  <c r="CE1095" i="28"/>
  <c r="CD1095" i="28"/>
  <c r="CF1094" i="28"/>
  <c r="CE1094" i="28"/>
  <c r="CD1094" i="28"/>
  <c r="CF1093" i="28"/>
  <c r="CE1093" i="28"/>
  <c r="CD1093" i="28"/>
  <c r="CF1090" i="28"/>
  <c r="CE1090" i="28"/>
  <c r="CD1090" i="28"/>
  <c r="CF1092" i="28"/>
  <c r="CE1092" i="28"/>
  <c r="CD1092" i="28"/>
  <c r="CF1091" i="28"/>
  <c r="CE1091" i="28"/>
  <c r="CD1091" i="28"/>
  <c r="CF1086" i="28"/>
  <c r="CE1086" i="28"/>
  <c r="CD1086" i="28"/>
  <c r="CF1087" i="28"/>
  <c r="CE1087" i="28"/>
  <c r="CD1087" i="28"/>
  <c r="CF1088" i="28"/>
  <c r="CE1088" i="28"/>
  <c r="CD1088" i="28"/>
  <c r="CF1084" i="28"/>
  <c r="CE1084" i="28"/>
  <c r="CD1084" i="28"/>
  <c r="CF1085" i="28"/>
  <c r="CE1085" i="28"/>
  <c r="CD1085" i="28"/>
  <c r="CF1083" i="28"/>
  <c r="CE1083" i="28"/>
  <c r="CD1083" i="28"/>
  <c r="CF1082" i="28"/>
  <c r="CE1082" i="28"/>
  <c r="CD1082" i="28"/>
  <c r="CF1070" i="28"/>
  <c r="CE1070" i="28"/>
  <c r="CD1070" i="28"/>
  <c r="CF1069" i="28"/>
  <c r="CE1069" i="28"/>
  <c r="CD1069" i="28"/>
  <c r="CF1068" i="28"/>
  <c r="CE1068" i="28"/>
  <c r="CD1068" i="28"/>
  <c r="CF1067" i="28"/>
  <c r="CE1067" i="28"/>
  <c r="CD1067" i="28"/>
  <c r="CF1066" i="28"/>
  <c r="CE1066" i="28"/>
  <c r="CD1066" i="28"/>
  <c r="CF1065" i="28"/>
  <c r="CE1065" i="28"/>
  <c r="CD1065" i="28"/>
  <c r="CF1064" i="28"/>
  <c r="CE1064" i="28"/>
  <c r="CD1064" i="28"/>
  <c r="CF1063" i="28"/>
  <c r="CE1063" i="28"/>
  <c r="CD1063" i="28"/>
  <c r="CF1059" i="28"/>
  <c r="CE1059" i="28"/>
  <c r="CD1059" i="28"/>
  <c r="CF1058" i="28"/>
  <c r="CE1058" i="28"/>
  <c r="CD1058" i="28"/>
  <c r="CF1056" i="28"/>
  <c r="CE1056" i="28"/>
  <c r="CD1056" i="28"/>
  <c r="CF1055" i="28"/>
  <c r="CE1055" i="28"/>
  <c r="CD1055" i="28"/>
  <c r="CF1053" i="28"/>
  <c r="CE1053" i="28"/>
  <c r="CD1053" i="28"/>
  <c r="CF1052" i="28"/>
  <c r="CE1052" i="28"/>
  <c r="CD1052" i="28"/>
  <c r="CF1051" i="28"/>
  <c r="CE1051" i="28"/>
  <c r="CD1051" i="28"/>
  <c r="CF1050" i="28"/>
  <c r="CE1050" i="28"/>
  <c r="CD1050" i="28"/>
  <c r="CF1049" i="28"/>
  <c r="CE1049" i="28"/>
  <c r="CD1049" i="28"/>
  <c r="CF1048" i="28"/>
  <c r="CE1048" i="28"/>
  <c r="CD1048" i="28"/>
  <c r="CF1047" i="28"/>
  <c r="CE1047" i="28"/>
  <c r="CD1047" i="28"/>
  <c r="CF1046" i="28"/>
  <c r="CE1046" i="28"/>
  <c r="CD1046" i="28"/>
  <c r="CF1045" i="28"/>
  <c r="CE1045" i="28"/>
  <c r="CD1045" i="28"/>
  <c r="CF1044" i="28"/>
  <c r="CE1044" i="28"/>
  <c r="CD1044" i="28"/>
  <c r="CF1043" i="28"/>
  <c r="CE1043" i="28"/>
  <c r="CD1043" i="28"/>
  <c r="CF1042" i="28"/>
  <c r="CE1042" i="28"/>
  <c r="CD1042" i="28"/>
  <c r="CF1041" i="28"/>
  <c r="CE1041" i="28"/>
  <c r="CD1041" i="28"/>
  <c r="CF1040" i="28"/>
  <c r="CE1040" i="28"/>
  <c r="CD1040" i="28"/>
  <c r="CF1039" i="28"/>
  <c r="CE1039" i="28"/>
  <c r="CD1039" i="28"/>
  <c r="CF1038" i="28"/>
  <c r="CE1038" i="28"/>
  <c r="CD1038" i="28"/>
  <c r="CF1037" i="28"/>
  <c r="CE1037" i="28"/>
  <c r="CD1037" i="28"/>
  <c r="CF1036" i="28"/>
  <c r="CE1036" i="28"/>
  <c r="CD1036" i="28"/>
  <c r="CF1035" i="28"/>
  <c r="CE1035" i="28"/>
  <c r="CD1035" i="28"/>
  <c r="CF1034" i="28"/>
  <c r="CE1034" i="28"/>
  <c r="CD1034" i="28"/>
  <c r="CF1033" i="28"/>
  <c r="CE1033" i="28"/>
  <c r="CD1033" i="28"/>
  <c r="CF1030" i="28"/>
  <c r="CE1030" i="28"/>
  <c r="CD1030" i="28"/>
  <c r="CF1029" i="28"/>
  <c r="CE1029" i="28"/>
  <c r="CD1029" i="28"/>
  <c r="CF1028" i="28"/>
  <c r="CE1028" i="28"/>
  <c r="CD1028" i="28"/>
  <c r="CF1027" i="28"/>
  <c r="CE1027" i="28"/>
  <c r="CD1027" i="28"/>
  <c r="CE1026" i="28"/>
  <c r="CF1026" i="28"/>
  <c r="CD1026" i="28"/>
  <c r="CD983" i="28"/>
  <c r="CC983" i="28"/>
  <c r="CB983" i="28"/>
  <c r="CA983" i="28"/>
  <c r="CD978" i="28"/>
  <c r="CC978" i="28"/>
  <c r="CB978" i="28"/>
  <c r="CA978" i="28"/>
  <c r="CD977" i="28"/>
  <c r="CC977" i="28"/>
  <c r="CB977" i="28"/>
  <c r="CA977" i="28"/>
  <c r="CD947" i="28"/>
  <c r="CC947" i="28"/>
  <c r="CB947" i="28"/>
  <c r="CA947" i="28"/>
  <c r="CD946" i="28"/>
  <c r="CC946" i="28"/>
  <c r="CB946" i="28"/>
  <c r="CA946" i="28"/>
  <c r="CD909" i="28"/>
  <c r="CC909" i="28"/>
  <c r="CB909" i="28"/>
  <c r="CA909" i="28"/>
  <c r="CD908" i="28"/>
  <c r="CC908" i="28"/>
  <c r="CB908" i="28"/>
  <c r="CA908" i="28"/>
  <c r="CD836" i="28"/>
  <c r="CC836" i="28"/>
  <c r="CB836" i="28"/>
  <c r="CA836" i="28"/>
  <c r="CD835" i="28"/>
  <c r="CC835" i="28"/>
  <c r="CB835" i="28"/>
  <c r="CA835" i="28"/>
  <c r="CD815" i="28"/>
  <c r="CC815" i="28"/>
  <c r="CB815" i="28"/>
  <c r="CA815" i="28"/>
  <c r="CD814" i="28"/>
  <c r="CC814" i="28"/>
  <c r="CB814" i="28"/>
  <c r="CA814" i="28"/>
  <c r="CD801" i="28"/>
  <c r="CC801" i="28"/>
  <c r="CB801" i="28"/>
  <c r="CA801" i="28"/>
  <c r="CD749" i="28"/>
  <c r="CC749" i="28"/>
  <c r="CB749" i="28"/>
  <c r="CA749" i="28"/>
  <c r="CD734" i="28"/>
  <c r="CC734" i="28"/>
  <c r="CB734" i="28"/>
  <c r="CA734" i="28"/>
  <c r="CD735" i="28"/>
  <c r="CC735" i="28"/>
  <c r="CB735" i="28"/>
  <c r="CA735" i="28"/>
  <c r="CD699" i="28"/>
  <c r="CC699" i="28"/>
  <c r="CB699" i="28"/>
  <c r="CA699" i="28"/>
  <c r="CD685" i="28"/>
  <c r="CC685" i="28"/>
  <c r="CB685" i="28"/>
  <c r="CA685" i="28"/>
  <c r="CD684" i="28"/>
  <c r="CC684" i="28"/>
  <c r="CB684" i="28"/>
  <c r="CA684" i="28"/>
  <c r="CD653" i="28"/>
  <c r="CC653" i="28"/>
  <c r="CB653" i="28"/>
  <c r="CA653" i="28"/>
  <c r="CD555" i="28"/>
  <c r="CC555" i="28"/>
  <c r="CB555" i="28"/>
  <c r="CA555" i="28"/>
  <c r="CD554" i="28"/>
  <c r="CC554" i="28"/>
  <c r="CB554" i="28"/>
  <c r="CA554" i="28"/>
  <c r="CD553" i="28"/>
  <c r="CC553" i="28"/>
  <c r="CB553" i="28"/>
  <c r="CA553" i="28"/>
  <c r="CD480" i="28"/>
  <c r="CC480" i="28"/>
  <c r="CB480" i="28"/>
  <c r="CA480" i="28"/>
  <c r="CB479" i="28"/>
  <c r="CC479" i="28"/>
  <c r="CD479" i="28"/>
  <c r="CA479" i="28"/>
  <c r="CB994" i="28"/>
  <c r="CA994" i="28"/>
  <c r="BZ994" i="28"/>
  <c r="CB992" i="28"/>
  <c r="CA992" i="28"/>
  <c r="BZ992" i="28"/>
  <c r="CB991" i="28"/>
  <c r="CA991" i="28"/>
  <c r="BZ991" i="28"/>
  <c r="CB990" i="28"/>
  <c r="CA990" i="28"/>
  <c r="BZ990" i="28"/>
  <c r="CB989" i="28"/>
  <c r="CA989" i="28"/>
  <c r="BZ989" i="28"/>
  <c r="CB988" i="28"/>
  <c r="CA988" i="28"/>
  <c r="BZ988" i="28"/>
  <c r="CB987" i="28"/>
  <c r="CA987" i="28"/>
  <c r="BZ987" i="28"/>
  <c r="CB986" i="28"/>
  <c r="CA986" i="28"/>
  <c r="BZ986" i="28"/>
  <c r="CB985" i="28"/>
  <c r="CA985" i="28"/>
  <c r="BZ985" i="28"/>
  <c r="CB984" i="28"/>
  <c r="CA984" i="28"/>
  <c r="BZ984" i="28"/>
  <c r="CB982" i="28"/>
  <c r="CA982" i="28"/>
  <c r="BZ982" i="28"/>
  <c r="CB981" i="28"/>
  <c r="CA981" i="28"/>
  <c r="BZ981" i="28"/>
  <c r="CB980" i="28"/>
  <c r="CA980" i="28"/>
  <c r="BZ980" i="28"/>
  <c r="CB979" i="28"/>
  <c r="CA979" i="28"/>
  <c r="BZ979" i="28"/>
  <c r="CB976" i="28"/>
  <c r="CA976" i="28"/>
  <c r="BZ976" i="28"/>
  <c r="CB975" i="28"/>
  <c r="CA975" i="28"/>
  <c r="BZ975" i="28"/>
  <c r="CB974" i="28"/>
  <c r="CA974" i="28"/>
  <c r="BZ974" i="28"/>
  <c r="CB973" i="28"/>
  <c r="CA973" i="28"/>
  <c r="BZ973" i="28"/>
  <c r="CB972" i="28"/>
  <c r="CA972" i="28"/>
  <c r="BZ972" i="28"/>
  <c r="CB971" i="28"/>
  <c r="CA971" i="28"/>
  <c r="BZ971" i="28"/>
  <c r="CB969" i="28"/>
  <c r="CA969" i="28"/>
  <c r="BZ969" i="28"/>
  <c r="CB970" i="28"/>
  <c r="CA970" i="28"/>
  <c r="BZ970" i="28"/>
  <c r="CB968" i="28"/>
  <c r="CA968" i="28"/>
  <c r="BZ968" i="28"/>
  <c r="CB966" i="28"/>
  <c r="CA966" i="28"/>
  <c r="BZ966" i="28"/>
  <c r="CB967" i="28"/>
  <c r="CA967" i="28"/>
  <c r="BZ967" i="28"/>
  <c r="CB965" i="28"/>
  <c r="CA965" i="28"/>
  <c r="BZ965" i="28"/>
  <c r="CB963" i="28"/>
  <c r="CA963" i="28"/>
  <c r="BZ963" i="28"/>
  <c r="CB964" i="28"/>
  <c r="CA964" i="28"/>
  <c r="BZ964" i="28"/>
  <c r="CB962" i="28"/>
  <c r="CA962" i="28"/>
  <c r="BZ962" i="28"/>
  <c r="CB961" i="28"/>
  <c r="CA961" i="28"/>
  <c r="BZ961" i="28"/>
  <c r="CB960" i="28"/>
  <c r="CA960" i="28"/>
  <c r="BZ960" i="28"/>
  <c r="CB959" i="28"/>
  <c r="CA959" i="28"/>
  <c r="BZ959" i="28"/>
  <c r="CB957" i="28"/>
  <c r="CA957" i="28"/>
  <c r="BZ957" i="28"/>
  <c r="CB958" i="28"/>
  <c r="CA958" i="28"/>
  <c r="BZ958" i="28"/>
  <c r="CB956" i="28"/>
  <c r="CA956" i="28"/>
  <c r="BZ956" i="28"/>
  <c r="CB955" i="28"/>
  <c r="CA955" i="28"/>
  <c r="BZ955" i="28"/>
  <c r="CB954" i="28"/>
  <c r="CA954" i="28"/>
  <c r="BZ954" i="28"/>
  <c r="CB953" i="28"/>
  <c r="CA953" i="28"/>
  <c r="BZ953" i="28"/>
  <c r="CB949" i="28"/>
  <c r="CA949" i="28"/>
  <c r="BZ949" i="28"/>
  <c r="CB948" i="28"/>
  <c r="CA948" i="28"/>
  <c r="BZ948" i="28"/>
  <c r="CB945" i="28"/>
  <c r="CA945" i="28"/>
  <c r="BZ945" i="28"/>
  <c r="CB943" i="28"/>
  <c r="CA943" i="28"/>
  <c r="BZ943" i="28"/>
  <c r="CB942" i="28"/>
  <c r="CA942" i="28"/>
  <c r="BZ942" i="28"/>
  <c r="CB941" i="28"/>
  <c r="CA941" i="28"/>
  <c r="BZ941" i="28"/>
  <c r="CB940" i="28"/>
  <c r="CA940" i="28"/>
  <c r="BZ940" i="28"/>
  <c r="CB938" i="28"/>
  <c r="CA938" i="28"/>
  <c r="BZ938" i="28"/>
  <c r="CB937" i="28"/>
  <c r="CA937" i="28"/>
  <c r="BZ937" i="28"/>
  <c r="CB936" i="28"/>
  <c r="CA936" i="28"/>
  <c r="BZ936" i="28"/>
  <c r="CB935" i="28"/>
  <c r="CA935" i="28"/>
  <c r="BZ935" i="28"/>
  <c r="CB934" i="28"/>
  <c r="CA934" i="28"/>
  <c r="BZ934" i="28"/>
  <c r="CB933" i="28"/>
  <c r="CA933" i="28"/>
  <c r="BZ933" i="28"/>
  <c r="CB932" i="28"/>
  <c r="CA932" i="28"/>
  <c r="BZ932" i="28"/>
  <c r="CB931" i="28"/>
  <c r="CA931" i="28"/>
  <c r="BZ931" i="28"/>
  <c r="CB930" i="28"/>
  <c r="CA930" i="28"/>
  <c r="BZ930" i="28"/>
  <c r="CB929" i="28"/>
  <c r="CA929" i="28"/>
  <c r="BZ929" i="28"/>
  <c r="CB928" i="28"/>
  <c r="CA928" i="28"/>
  <c r="BZ928" i="28"/>
  <c r="CB927" i="28"/>
  <c r="CA927" i="28"/>
  <c r="BZ927" i="28"/>
  <c r="CB926" i="28"/>
  <c r="CA926" i="28"/>
  <c r="BZ926" i="28"/>
  <c r="CB925" i="28"/>
  <c r="CA925" i="28"/>
  <c r="BZ925" i="28"/>
  <c r="CB923" i="28"/>
  <c r="CA923" i="28"/>
  <c r="BZ923" i="28"/>
  <c r="CB921" i="28"/>
  <c r="CA921" i="28"/>
  <c r="BZ921" i="28"/>
  <c r="CB920" i="28"/>
  <c r="CA920" i="28"/>
  <c r="BZ920" i="28"/>
  <c r="CB919" i="28"/>
  <c r="CA919" i="28"/>
  <c r="BZ919" i="28"/>
  <c r="CB918" i="28"/>
  <c r="CA918" i="28"/>
  <c r="BZ918" i="28"/>
  <c r="CB917" i="28"/>
  <c r="CA917" i="28"/>
  <c r="BZ917" i="28"/>
  <c r="CB916" i="28"/>
  <c r="CA916" i="28"/>
  <c r="BZ916" i="28"/>
  <c r="CB914" i="28"/>
  <c r="CA914" i="28"/>
  <c r="BZ914" i="28"/>
  <c r="CB913" i="28"/>
  <c r="CA913" i="28"/>
  <c r="BZ913" i="28"/>
  <c r="CB910" i="28"/>
  <c r="CA910" i="28"/>
  <c r="BZ910" i="28"/>
  <c r="CB907" i="28"/>
  <c r="CA907" i="28"/>
  <c r="BZ907" i="28"/>
  <c r="CB902" i="28"/>
  <c r="CA902" i="28"/>
  <c r="BZ902" i="28"/>
  <c r="CB901" i="28"/>
  <c r="CA901" i="28"/>
  <c r="BZ901" i="28"/>
  <c r="CB900" i="28"/>
  <c r="CA900" i="28"/>
  <c r="BZ900" i="28"/>
  <c r="CB898" i="28"/>
  <c r="CA898" i="28"/>
  <c r="BZ898" i="28"/>
  <c r="CB897" i="28"/>
  <c r="CA897" i="28"/>
  <c r="BZ897" i="28"/>
  <c r="CB896" i="28"/>
  <c r="CA896" i="28"/>
  <c r="BZ896" i="28"/>
  <c r="CB895" i="28"/>
  <c r="CA895" i="28"/>
  <c r="BZ895" i="28"/>
  <c r="CB894" i="28"/>
  <c r="CA894" i="28"/>
  <c r="BZ894" i="28"/>
  <c r="CB893" i="28"/>
  <c r="CA893" i="28"/>
  <c r="BZ893" i="28"/>
  <c r="CB892" i="28"/>
  <c r="CA892" i="28"/>
  <c r="BZ892" i="28"/>
  <c r="CB891" i="28"/>
  <c r="CA891" i="28"/>
  <c r="BZ891" i="28"/>
  <c r="CB890" i="28"/>
  <c r="CA890" i="28"/>
  <c r="BZ890" i="28"/>
  <c r="CB885" i="28"/>
  <c r="CA885" i="28"/>
  <c r="BZ885" i="28"/>
  <c r="CB884" i="28"/>
  <c r="CA884" i="28"/>
  <c r="BZ884" i="28"/>
  <c r="CB882" i="28"/>
  <c r="CA882" i="28"/>
  <c r="BZ882" i="28"/>
  <c r="CB881" i="28"/>
  <c r="CA881" i="28"/>
  <c r="BZ881" i="28"/>
  <c r="CB880" i="28"/>
  <c r="CA880" i="28"/>
  <c r="BZ880" i="28"/>
  <c r="CB878" i="28"/>
  <c r="CA878" i="28"/>
  <c r="BZ878" i="28"/>
  <c r="CB877" i="28"/>
  <c r="CA877" i="28"/>
  <c r="BZ877" i="28"/>
  <c r="CB876" i="28"/>
  <c r="CA876" i="28"/>
  <c r="BZ876" i="28"/>
  <c r="CB875" i="28"/>
  <c r="CA875" i="28"/>
  <c r="BZ875" i="28"/>
  <c r="CB874" i="28"/>
  <c r="CA874" i="28"/>
  <c r="BZ874" i="28"/>
  <c r="CB873" i="28"/>
  <c r="CA873" i="28"/>
  <c r="BZ873" i="28"/>
  <c r="CB872" i="28"/>
  <c r="CA872" i="28"/>
  <c r="BZ872" i="28"/>
  <c r="CB871" i="28"/>
  <c r="CA871" i="28"/>
  <c r="BZ871" i="28"/>
  <c r="CB868" i="28"/>
  <c r="CA868" i="28"/>
  <c r="BZ868" i="28"/>
  <c r="CB866" i="28"/>
  <c r="CA866" i="28"/>
  <c r="BZ866" i="28"/>
  <c r="CB865" i="28"/>
  <c r="CA865" i="28"/>
  <c r="BZ865" i="28"/>
  <c r="CB864" i="28"/>
  <c r="CA864" i="28"/>
  <c r="BZ864" i="28"/>
  <c r="CB863" i="28"/>
  <c r="CA863" i="28"/>
  <c r="BZ863" i="28"/>
  <c r="CB862" i="28"/>
  <c r="CA862" i="28"/>
  <c r="BZ862" i="28"/>
  <c r="CB861" i="28"/>
  <c r="CA861" i="28"/>
  <c r="BZ861" i="28"/>
  <c r="CB852" i="28"/>
  <c r="CA852" i="28"/>
  <c r="BZ852" i="28"/>
  <c r="CB849" i="28"/>
  <c r="CA849" i="28"/>
  <c r="BZ849" i="28"/>
  <c r="CB848" i="28"/>
  <c r="CA848" i="28"/>
  <c r="BZ848" i="28"/>
  <c r="CB847" i="28"/>
  <c r="CA847" i="28"/>
  <c r="BZ847" i="28"/>
  <c r="CB846" i="28"/>
  <c r="CA846" i="28"/>
  <c r="BZ846" i="28"/>
  <c r="CB845" i="28"/>
  <c r="CA845" i="28"/>
  <c r="BZ845" i="28"/>
  <c r="CB840" i="28"/>
  <c r="CA840" i="28"/>
  <c r="BZ840" i="28"/>
  <c r="CB839" i="28"/>
  <c r="CA839" i="28"/>
  <c r="BZ839" i="28"/>
  <c r="CB838" i="28"/>
  <c r="CA838" i="28"/>
  <c r="BZ838" i="28"/>
  <c r="CB834" i="28"/>
  <c r="CA834" i="28"/>
  <c r="BZ834" i="28"/>
  <c r="CB833" i="28"/>
  <c r="CA833" i="28"/>
  <c r="BZ833" i="28"/>
  <c r="CB831" i="28"/>
  <c r="CA831" i="28"/>
  <c r="BZ831" i="28"/>
  <c r="CB830" i="28"/>
  <c r="CA830" i="28"/>
  <c r="BZ830" i="28"/>
  <c r="CB829" i="28"/>
  <c r="CA829" i="28"/>
  <c r="BZ829" i="28"/>
  <c r="CB828" i="28"/>
  <c r="CA828" i="28"/>
  <c r="BZ828" i="28"/>
  <c r="CB826" i="28"/>
  <c r="CA826" i="28"/>
  <c r="BZ826" i="28"/>
  <c r="CB823" i="28"/>
  <c r="CA823" i="28"/>
  <c r="BZ823" i="28"/>
  <c r="CB822" i="28"/>
  <c r="CA822" i="28"/>
  <c r="BZ822" i="28"/>
  <c r="CB818" i="28"/>
  <c r="CA818" i="28"/>
  <c r="BZ818" i="28"/>
  <c r="CB819" i="28"/>
  <c r="CA819" i="28"/>
  <c r="BZ819" i="28"/>
  <c r="CB817" i="28"/>
  <c r="CA817" i="28"/>
  <c r="BZ817" i="28"/>
  <c r="CB816" i="28"/>
  <c r="CA816" i="28"/>
  <c r="BZ816" i="28"/>
  <c r="CB813" i="28"/>
  <c r="CA813" i="28"/>
  <c r="BZ813" i="28"/>
  <c r="CB809" i="28"/>
  <c r="CA809" i="28"/>
  <c r="BZ809" i="28"/>
  <c r="CB805" i="28"/>
  <c r="CA805" i="28"/>
  <c r="BZ805" i="28"/>
  <c r="CB804" i="28"/>
  <c r="CA804" i="28"/>
  <c r="BZ804" i="28"/>
  <c r="CB803" i="28"/>
  <c r="CA803" i="28"/>
  <c r="BZ803" i="28"/>
  <c r="CB800" i="28"/>
  <c r="CA800" i="28"/>
  <c r="BZ800" i="28"/>
  <c r="CB799" i="28"/>
  <c r="CA799" i="28"/>
  <c r="BZ799" i="28"/>
  <c r="CB798" i="28"/>
  <c r="CA798" i="28"/>
  <c r="BZ798" i="28"/>
  <c r="CB797" i="28"/>
  <c r="CA797" i="28"/>
  <c r="BZ797" i="28"/>
  <c r="CB795" i="28"/>
  <c r="CA795" i="28"/>
  <c r="BZ795" i="28"/>
  <c r="CB793" i="28"/>
  <c r="CA793" i="28"/>
  <c r="BZ793" i="28"/>
  <c r="CB794" i="28"/>
  <c r="CA794" i="28"/>
  <c r="BZ794" i="28"/>
  <c r="CB792" i="28"/>
  <c r="CA792" i="28"/>
  <c r="BZ792" i="28"/>
  <c r="CB790" i="28"/>
  <c r="CA790" i="28"/>
  <c r="BZ790" i="28"/>
  <c r="CB789" i="28"/>
  <c r="CA789" i="28"/>
  <c r="BZ789" i="28"/>
  <c r="CB788" i="28"/>
  <c r="CA788" i="28"/>
  <c r="BZ788" i="28"/>
  <c r="CB787" i="28"/>
  <c r="CA787" i="28"/>
  <c r="BZ787" i="28"/>
  <c r="CB785" i="28"/>
  <c r="CA785" i="28"/>
  <c r="BZ785" i="28"/>
  <c r="CB784" i="28"/>
  <c r="CA784" i="28"/>
  <c r="BZ784" i="28"/>
  <c r="CB783" i="28"/>
  <c r="CA783" i="28"/>
  <c r="BZ783" i="28"/>
  <c r="CB782" i="28"/>
  <c r="CA782" i="28"/>
  <c r="BZ782" i="28"/>
  <c r="CB781" i="28"/>
  <c r="CA781" i="28"/>
  <c r="BZ781" i="28"/>
  <c r="CB779" i="28"/>
  <c r="CA779" i="28"/>
  <c r="BZ779" i="28"/>
  <c r="CB778" i="28"/>
  <c r="CA778" i="28"/>
  <c r="BZ778" i="28"/>
  <c r="CB777" i="28"/>
  <c r="CA777" i="28"/>
  <c r="BZ777" i="28"/>
  <c r="CB776" i="28"/>
  <c r="CA776" i="28"/>
  <c r="BZ776" i="28"/>
  <c r="CB773" i="28"/>
  <c r="CA773" i="28"/>
  <c r="BZ773" i="28"/>
  <c r="CB769" i="28"/>
  <c r="CA769" i="28"/>
  <c r="BZ769" i="28"/>
  <c r="CB768" i="28"/>
  <c r="CA768" i="28"/>
  <c r="BZ768" i="28"/>
  <c r="CB766" i="28"/>
  <c r="CA766" i="28"/>
  <c r="BZ766" i="28"/>
  <c r="CB765" i="28"/>
  <c r="CA765" i="28"/>
  <c r="BZ765" i="28"/>
  <c r="CB763" i="28"/>
  <c r="CA763" i="28"/>
  <c r="BZ763" i="28"/>
  <c r="CB764" i="28"/>
  <c r="CA764" i="28"/>
  <c r="BZ764" i="28"/>
  <c r="CB762" i="28"/>
  <c r="CA762" i="28"/>
  <c r="BZ762" i="28"/>
  <c r="CB761" i="28"/>
  <c r="CA761" i="28"/>
  <c r="BZ761" i="28"/>
  <c r="CB760" i="28"/>
  <c r="CA760" i="28"/>
  <c r="BZ760" i="28"/>
  <c r="CB759" i="28"/>
  <c r="CA759" i="28"/>
  <c r="BZ759" i="28"/>
  <c r="CB758" i="28"/>
  <c r="CA758" i="28"/>
  <c r="BZ758" i="28"/>
  <c r="CB757" i="28"/>
  <c r="CA757" i="28"/>
  <c r="BZ757" i="28"/>
  <c r="CB756" i="28"/>
  <c r="CA756" i="28"/>
  <c r="BZ756" i="28"/>
  <c r="CB755" i="28"/>
  <c r="CA755" i="28"/>
  <c r="BZ755" i="28"/>
  <c r="CB754" i="28"/>
  <c r="CA754" i="28"/>
  <c r="BZ754" i="28"/>
  <c r="CB753" i="28"/>
  <c r="CA753" i="28"/>
  <c r="BZ753" i="28"/>
  <c r="CB752" i="28"/>
  <c r="CA752" i="28"/>
  <c r="BZ752" i="28"/>
  <c r="CB751" i="28"/>
  <c r="CA751" i="28"/>
  <c r="BZ751" i="28"/>
  <c r="CB750" i="28"/>
  <c r="CA750" i="28"/>
  <c r="BZ750" i="28"/>
  <c r="CB748" i="28"/>
  <c r="CA748" i="28"/>
  <c r="BZ748" i="28"/>
  <c r="CB745" i="28"/>
  <c r="CA745" i="28"/>
  <c r="BZ745" i="28"/>
  <c r="CB744" i="28"/>
  <c r="CA744" i="28"/>
  <c r="BZ744" i="28"/>
  <c r="CB742" i="28"/>
  <c r="CA742" i="28"/>
  <c r="BZ742" i="28"/>
  <c r="CB739" i="28"/>
  <c r="CA739" i="28"/>
  <c r="BZ739" i="28"/>
  <c r="CB736" i="28"/>
  <c r="CA736" i="28"/>
  <c r="BZ736" i="28"/>
  <c r="CB730" i="28"/>
  <c r="CA730" i="28"/>
  <c r="BZ730" i="28"/>
  <c r="CB726" i="28"/>
  <c r="CA726" i="28"/>
  <c r="BZ726" i="28"/>
  <c r="CB727" i="28"/>
  <c r="CA727" i="28"/>
  <c r="BZ727" i="28"/>
  <c r="CB725" i="28"/>
  <c r="CA725" i="28"/>
  <c r="BZ725" i="28"/>
  <c r="CB724" i="28"/>
  <c r="CA724" i="28"/>
  <c r="BZ724" i="28"/>
  <c r="CB723" i="28"/>
  <c r="CA723" i="28"/>
  <c r="BZ723" i="28"/>
  <c r="CB720" i="28"/>
  <c r="CA720" i="28"/>
  <c r="BZ720" i="28"/>
  <c r="CB718" i="28"/>
  <c r="CA718" i="28"/>
  <c r="BZ718" i="28"/>
  <c r="CB717" i="28"/>
  <c r="CA717" i="28"/>
  <c r="BZ717" i="28"/>
  <c r="CB716" i="28"/>
  <c r="CA716" i="28"/>
  <c r="BZ716" i="28"/>
  <c r="CB715" i="28"/>
  <c r="CA715" i="28"/>
  <c r="BZ715" i="28"/>
  <c r="CB712" i="28"/>
  <c r="CA712" i="28"/>
  <c r="BZ712" i="28"/>
  <c r="CB710" i="28"/>
  <c r="CA710" i="28"/>
  <c r="BZ710" i="28"/>
  <c r="CB709" i="28"/>
  <c r="CA709" i="28"/>
  <c r="BZ709" i="28"/>
  <c r="CB708" i="28"/>
  <c r="CA708" i="28"/>
  <c r="BZ708" i="28"/>
  <c r="CB707" i="28"/>
  <c r="CA707" i="28"/>
  <c r="BZ707" i="28"/>
  <c r="CB706" i="28"/>
  <c r="CA706" i="28"/>
  <c r="BZ706" i="28"/>
  <c r="CB705" i="28"/>
  <c r="CA705" i="28"/>
  <c r="BZ705" i="28"/>
  <c r="CB704" i="28"/>
  <c r="CA704" i="28"/>
  <c r="BZ704" i="28"/>
  <c r="CB702" i="28"/>
  <c r="CA702" i="28"/>
  <c r="BZ702" i="28"/>
  <c r="CB700" i="28"/>
  <c r="CA700" i="28"/>
  <c r="BZ700" i="28"/>
  <c r="CB698" i="28"/>
  <c r="CA698" i="28"/>
  <c r="BZ698" i="28"/>
  <c r="CB690" i="28"/>
  <c r="CA690" i="28"/>
  <c r="BZ690" i="28"/>
  <c r="CB691" i="28"/>
  <c r="CA691" i="28"/>
  <c r="BZ691" i="28"/>
  <c r="CB689" i="28"/>
  <c r="CA689" i="28"/>
  <c r="BZ689" i="28"/>
  <c r="CB688" i="28"/>
  <c r="CA688" i="28"/>
  <c r="BZ688" i="28"/>
  <c r="CB686" i="28"/>
  <c r="CA686" i="28"/>
  <c r="BZ686" i="28"/>
  <c r="CB687" i="28"/>
  <c r="CA687" i="28"/>
  <c r="BZ687" i="28"/>
  <c r="CB683" i="28"/>
  <c r="CA683" i="28"/>
  <c r="BZ683" i="28"/>
  <c r="CB682" i="28"/>
  <c r="CA682" i="28"/>
  <c r="BZ682" i="28"/>
  <c r="CB680" i="28"/>
  <c r="CA680" i="28"/>
  <c r="BZ680" i="28"/>
  <c r="CB679" i="28"/>
  <c r="CA679" i="28"/>
  <c r="BZ679" i="28"/>
  <c r="CB678" i="28"/>
  <c r="CA678" i="28"/>
  <c r="BZ678" i="28"/>
  <c r="CB677" i="28"/>
  <c r="CA677" i="28"/>
  <c r="BZ677" i="28"/>
  <c r="CB676" i="28"/>
  <c r="CA676" i="28"/>
  <c r="BZ676" i="28"/>
  <c r="CB675" i="28"/>
  <c r="CA675" i="28"/>
  <c r="BZ675" i="28"/>
  <c r="CB672" i="28"/>
  <c r="CA672" i="28"/>
  <c r="BZ672" i="28"/>
  <c r="CB671" i="28"/>
  <c r="CA671" i="28"/>
  <c r="BZ671" i="28"/>
  <c r="CB670" i="28"/>
  <c r="CA670" i="28"/>
  <c r="BZ670" i="28"/>
  <c r="CB669" i="28"/>
  <c r="CA669" i="28"/>
  <c r="BZ669" i="28"/>
  <c r="CB668" i="28"/>
  <c r="CA668" i="28"/>
  <c r="BZ668" i="28"/>
  <c r="CB667" i="28"/>
  <c r="CA667" i="28"/>
  <c r="BZ667" i="28"/>
  <c r="CB666" i="28"/>
  <c r="CA666" i="28"/>
  <c r="BZ666" i="28"/>
  <c r="CB661" i="28"/>
  <c r="CA661" i="28"/>
  <c r="BZ661" i="28"/>
  <c r="CB660" i="28"/>
  <c r="CA660" i="28"/>
  <c r="BZ660" i="28"/>
  <c r="CB659" i="28"/>
  <c r="CA659" i="28"/>
  <c r="BZ659" i="28"/>
  <c r="CB658" i="28"/>
  <c r="CA658" i="28"/>
  <c r="BZ658" i="28"/>
  <c r="CB657" i="28"/>
  <c r="CA657" i="28"/>
  <c r="BZ657" i="28"/>
  <c r="CB656" i="28"/>
  <c r="CA656" i="28"/>
  <c r="BZ656" i="28"/>
  <c r="CB655" i="28"/>
  <c r="CA655" i="28"/>
  <c r="BZ655" i="28"/>
  <c r="CB651" i="28"/>
  <c r="CA651" i="28"/>
  <c r="BZ651" i="28"/>
  <c r="CB650" i="28"/>
  <c r="CA650" i="28"/>
  <c r="BZ650" i="28"/>
  <c r="CB649" i="28"/>
  <c r="CA649" i="28"/>
  <c r="BZ649" i="28"/>
  <c r="CB648" i="28"/>
  <c r="CA648" i="28"/>
  <c r="BZ648" i="28"/>
  <c r="CB646" i="28"/>
  <c r="CA646" i="28"/>
  <c r="BZ646" i="28"/>
  <c r="CB647" i="28"/>
  <c r="CA647" i="28"/>
  <c r="BZ647" i="28"/>
  <c r="CB645" i="28"/>
  <c r="CA645" i="28"/>
  <c r="BZ645" i="28"/>
  <c r="CB642" i="28"/>
  <c r="CA642" i="28"/>
  <c r="BZ642" i="28"/>
  <c r="CB641" i="28"/>
  <c r="CA641" i="28"/>
  <c r="BZ641" i="28"/>
  <c r="CB640" i="28"/>
  <c r="CA640" i="28"/>
  <c r="BZ640" i="28"/>
  <c r="CB639" i="28"/>
  <c r="CA639" i="28"/>
  <c r="BZ639" i="28"/>
  <c r="CB638" i="28"/>
  <c r="CA638" i="28"/>
  <c r="BZ638" i="28"/>
  <c r="CB637" i="28"/>
  <c r="CA637" i="28"/>
  <c r="BZ637" i="28"/>
  <c r="CB636" i="28"/>
  <c r="CA636" i="28"/>
  <c r="BZ636" i="28"/>
  <c r="CB635" i="28"/>
  <c r="CA635" i="28"/>
  <c r="BZ635" i="28"/>
  <c r="CB634" i="28"/>
  <c r="CA634" i="28"/>
  <c r="BZ634" i="28"/>
  <c r="CB633" i="28"/>
  <c r="CA633" i="28"/>
  <c r="BZ633" i="28"/>
  <c r="CB621" i="28"/>
  <c r="CA621" i="28"/>
  <c r="BZ621" i="28"/>
  <c r="CB620" i="28"/>
  <c r="CA620" i="28"/>
  <c r="BZ620" i="28"/>
  <c r="CB569" i="28"/>
  <c r="CA569" i="28"/>
  <c r="BZ569" i="28"/>
  <c r="CB568" i="28"/>
  <c r="CA568" i="28"/>
  <c r="BZ568" i="28"/>
  <c r="CB565" i="28"/>
  <c r="CA565" i="28"/>
  <c r="BZ565" i="28"/>
  <c r="CB566" i="28"/>
  <c r="CA566" i="28"/>
  <c r="BZ566" i="28"/>
  <c r="CB564" i="28"/>
  <c r="CA564" i="28"/>
  <c r="BZ564" i="28"/>
  <c r="CB563" i="28"/>
  <c r="CA563" i="28"/>
  <c r="BZ563" i="28"/>
  <c r="CB562" i="28"/>
  <c r="CA562" i="28"/>
  <c r="BZ562" i="28"/>
  <c r="CB556" i="28"/>
  <c r="CA556" i="28"/>
  <c r="BZ556" i="28"/>
  <c r="CB544" i="28"/>
  <c r="CA544" i="28"/>
  <c r="BZ544" i="28"/>
  <c r="CB543" i="28"/>
  <c r="CA543" i="28"/>
  <c r="BZ543" i="28"/>
  <c r="CB534" i="28"/>
  <c r="CA534" i="28"/>
  <c r="BZ534" i="28"/>
  <c r="CB526" i="28"/>
  <c r="CA526" i="28"/>
  <c r="BZ526" i="28"/>
  <c r="CB525" i="28"/>
  <c r="CA525" i="28"/>
  <c r="BZ525" i="28"/>
  <c r="CB522" i="28"/>
  <c r="CA522" i="28"/>
  <c r="BZ522" i="28"/>
  <c r="CB521" i="28"/>
  <c r="CA521" i="28"/>
  <c r="BZ521" i="28"/>
  <c r="CB520" i="28"/>
  <c r="CA520" i="28"/>
  <c r="BZ520" i="28"/>
  <c r="CB518" i="28"/>
  <c r="CA518" i="28"/>
  <c r="BZ518" i="28"/>
  <c r="CB517" i="28"/>
  <c r="CA517" i="28"/>
  <c r="BZ517" i="28"/>
  <c r="CB516" i="28"/>
  <c r="CA516" i="28"/>
  <c r="BZ516" i="28"/>
  <c r="CB515" i="28"/>
  <c r="CA515" i="28"/>
  <c r="BZ515" i="28"/>
  <c r="CB514" i="28"/>
  <c r="CA514" i="28"/>
  <c r="BZ514" i="28"/>
  <c r="CB513" i="28"/>
  <c r="CA513" i="28"/>
  <c r="BZ513" i="28"/>
  <c r="CB512" i="28"/>
  <c r="CA512" i="28"/>
  <c r="BZ512" i="28"/>
  <c r="CB511" i="28"/>
  <c r="CA511" i="28"/>
  <c r="BZ511" i="28"/>
  <c r="CB510" i="28"/>
  <c r="CA510" i="28"/>
  <c r="BZ510" i="28"/>
  <c r="CB509" i="28"/>
  <c r="CA509" i="28"/>
  <c r="BZ509" i="28"/>
  <c r="CB504" i="28"/>
  <c r="CA504" i="28"/>
  <c r="BZ504" i="28"/>
  <c r="CB503" i="28"/>
  <c r="CA503" i="28"/>
  <c r="BZ503" i="28"/>
  <c r="CB502" i="28"/>
  <c r="CA502" i="28"/>
  <c r="BZ502" i="28"/>
  <c r="CB501" i="28"/>
  <c r="CA501" i="28"/>
  <c r="BZ501" i="28"/>
  <c r="CB500" i="28"/>
  <c r="CA500" i="28"/>
  <c r="BZ500" i="28"/>
  <c r="CB499" i="28"/>
  <c r="CA499" i="28"/>
  <c r="BZ499" i="28"/>
  <c r="CB496" i="28"/>
  <c r="CA496" i="28"/>
  <c r="BZ496" i="28"/>
  <c r="CB487" i="28"/>
  <c r="CA487" i="28"/>
  <c r="BZ487" i="28"/>
  <c r="CB486" i="28"/>
  <c r="CA486" i="28"/>
  <c r="BZ486" i="28"/>
  <c r="CB484" i="28"/>
  <c r="CA484" i="28"/>
  <c r="BZ484" i="28"/>
  <c r="CB481" i="28"/>
  <c r="CA481" i="28"/>
  <c r="BZ481" i="28"/>
  <c r="CB482" i="28"/>
  <c r="CA482" i="28"/>
  <c r="BZ482" i="28"/>
  <c r="CA478" i="28"/>
  <c r="CB478" i="28"/>
  <c r="BZ478" i="28"/>
  <c r="CA475" i="28"/>
  <c r="CA474" i="28"/>
  <c r="CA473" i="28"/>
  <c r="CA472" i="28"/>
  <c r="CA471" i="28"/>
  <c r="CA470" i="28"/>
  <c r="CA469" i="28"/>
  <c r="CA468" i="28"/>
  <c r="CA466" i="28"/>
  <c r="CA467" i="28"/>
  <c r="CA464" i="28"/>
  <c r="CA463" i="28"/>
  <c r="CA462" i="28"/>
  <c r="CA461" i="28"/>
  <c r="CA459" i="28"/>
  <c r="CA458" i="28"/>
  <c r="CA454" i="28"/>
  <c r="CA452" i="28"/>
  <c r="CA453" i="28"/>
  <c r="CA449" i="28"/>
  <c r="CA448" i="28"/>
  <c r="CA447" i="28"/>
  <c r="CA446" i="28"/>
  <c r="CA445" i="28"/>
  <c r="CA444" i="28"/>
  <c r="CA442" i="28"/>
  <c r="CA438" i="28"/>
  <c r="CA431" i="28"/>
  <c r="CA430" i="28"/>
  <c r="CA422" i="28"/>
  <c r="CA420" i="28"/>
  <c r="CA399" i="28"/>
  <c r="CA400" i="28"/>
  <c r="CA393" i="28"/>
  <c r="CA385" i="28"/>
  <c r="CA366" i="28"/>
  <c r="CA365" i="28"/>
  <c r="CA360" i="28"/>
  <c r="CA353" i="28"/>
  <c r="CA345" i="28"/>
  <c r="CA299" i="28"/>
  <c r="CA298" i="28"/>
  <c r="CA291" i="28"/>
  <c r="CA288" i="28"/>
  <c r="CA232" i="28"/>
  <c r="CA231" i="28"/>
  <c r="CA208" i="28"/>
  <c r="CA202" i="28"/>
  <c r="CA193" i="28"/>
  <c r="BZ475" i="28"/>
  <c r="BZ474" i="28"/>
  <c r="BZ473" i="28"/>
  <c r="BZ472" i="28"/>
  <c r="BZ471" i="28"/>
  <c r="BZ470" i="28"/>
  <c r="BZ469" i="28"/>
  <c r="BZ468" i="28"/>
  <c r="BZ466" i="28"/>
  <c r="BZ467" i="28"/>
  <c r="BZ464" i="28"/>
  <c r="BZ463" i="28"/>
  <c r="BZ462" i="28"/>
  <c r="BZ461" i="28"/>
  <c r="BZ459" i="28"/>
  <c r="BZ458" i="28"/>
  <c r="BZ454" i="28"/>
  <c r="BZ452" i="28"/>
  <c r="BZ453" i="28"/>
  <c r="BZ449" i="28"/>
  <c r="BZ448" i="28"/>
  <c r="BZ447" i="28"/>
  <c r="BZ446" i="28"/>
  <c r="BZ445" i="28"/>
  <c r="BZ444" i="28"/>
  <c r="BZ442" i="28"/>
  <c r="BZ438" i="28"/>
  <c r="BZ431" i="28"/>
  <c r="BZ430" i="28"/>
  <c r="BZ422" i="28"/>
  <c r="BZ420" i="28"/>
  <c r="BZ399" i="28"/>
  <c r="BZ400" i="28"/>
  <c r="BZ393" i="28"/>
  <c r="BZ385" i="28"/>
  <c r="BZ366" i="28"/>
  <c r="BZ365" i="28"/>
  <c r="BZ360" i="28"/>
  <c r="BZ353" i="28"/>
  <c r="BZ345" i="28"/>
  <c r="BZ299" i="28"/>
  <c r="BZ298" i="28"/>
  <c r="BZ291" i="28"/>
  <c r="BZ288" i="28"/>
  <c r="BZ232" i="28"/>
  <c r="BZ231" i="28"/>
  <c r="BZ208" i="28"/>
  <c r="BZ202" i="28"/>
  <c r="BZ193" i="28"/>
  <c r="BZ476" i="28"/>
  <c r="BZ455" i="28"/>
  <c r="BZ451" i="28"/>
  <c r="BZ450" i="28"/>
  <c r="BZ443" i="28"/>
  <c r="BZ439" i="28"/>
  <c r="BZ437" i="28"/>
  <c r="BZ436" i="28"/>
  <c r="BZ435" i="28"/>
  <c r="BZ433" i="28"/>
  <c r="BZ432" i="28"/>
  <c r="BZ429" i="28"/>
  <c r="BZ428" i="28"/>
  <c r="BZ427" i="28"/>
  <c r="BZ426" i="28"/>
  <c r="BZ425" i="28"/>
  <c r="BZ424" i="28"/>
  <c r="BZ419" i="28"/>
  <c r="BZ418" i="28"/>
  <c r="BZ417" i="28"/>
  <c r="BZ416" i="28"/>
  <c r="BZ414" i="28"/>
  <c r="BZ413" i="28"/>
  <c r="BZ412" i="28"/>
  <c r="BZ409" i="28"/>
  <c r="BZ410" i="28"/>
  <c r="BZ402" i="28"/>
  <c r="BZ401" i="28"/>
  <c r="BZ398" i="28"/>
  <c r="BZ397" i="28"/>
  <c r="BZ396" i="28"/>
  <c r="BZ395" i="28"/>
  <c r="BZ394" i="28"/>
  <c r="BZ392" i="28"/>
  <c r="BZ391" i="28"/>
  <c r="BZ390" i="28"/>
  <c r="BZ388" i="28"/>
  <c r="BZ386" i="28"/>
  <c r="BZ384" i="28"/>
  <c r="BZ382" i="28"/>
  <c r="BZ380" i="28"/>
  <c r="BZ379" i="28"/>
  <c r="BZ378" i="28"/>
  <c r="BZ373" i="28"/>
  <c r="BZ369" i="28"/>
  <c r="BZ368" i="28"/>
  <c r="BZ367" i="28"/>
  <c r="BZ364" i="28"/>
  <c r="BZ361" i="28"/>
  <c r="BZ359" i="28"/>
  <c r="BZ355" i="28"/>
  <c r="BZ350" i="28"/>
  <c r="BZ351" i="28"/>
  <c r="BZ349" i="28"/>
  <c r="BZ348" i="28"/>
  <c r="BZ347" i="28"/>
  <c r="BZ346" i="28"/>
  <c r="BZ341" i="28"/>
  <c r="BZ340" i="28"/>
  <c r="BZ339" i="28"/>
  <c r="BZ338" i="28"/>
  <c r="BZ337" i="28"/>
  <c r="BZ335" i="28"/>
  <c r="BZ334" i="28"/>
  <c r="BZ333" i="28"/>
  <c r="BZ332" i="28"/>
  <c r="BZ331" i="28"/>
  <c r="BZ330" i="28"/>
  <c r="BZ322" i="28"/>
  <c r="BZ321" i="28"/>
  <c r="BZ319" i="28"/>
  <c r="BZ320" i="28"/>
  <c r="BZ318" i="28"/>
  <c r="BZ317" i="28"/>
  <c r="BZ316" i="28"/>
  <c r="BZ315" i="28"/>
  <c r="BZ311" i="28"/>
  <c r="BZ305" i="28"/>
  <c r="BZ304" i="28"/>
  <c r="BZ303" i="28"/>
  <c r="BZ302" i="28"/>
  <c r="BZ294" i="28"/>
  <c r="BZ293" i="28"/>
  <c r="BZ279" i="28"/>
  <c r="BZ280" i="28"/>
  <c r="BZ278" i="28"/>
  <c r="BZ277" i="28"/>
  <c r="BZ238" i="28"/>
  <c r="BZ237" i="28"/>
  <c r="BZ234" i="28"/>
  <c r="BZ233" i="28"/>
  <c r="BZ230" i="28"/>
  <c r="BZ222" i="28"/>
  <c r="BZ220" i="28"/>
  <c r="BZ214" i="28"/>
  <c r="BZ211" i="28"/>
  <c r="BZ210" i="28"/>
  <c r="BZ209" i="28"/>
  <c r="BZ200" i="28"/>
  <c r="CF1102" i="28"/>
  <c r="CE1102" i="28"/>
  <c r="CD1102" i="28"/>
  <c r="CF1089" i="28"/>
  <c r="CE1089" i="28"/>
  <c r="CD1089" i="28"/>
  <c r="CF1061" i="28"/>
  <c r="CE1061" i="28"/>
  <c r="CD1061" i="28"/>
  <c r="CF1062" i="28"/>
  <c r="CE1062" i="28"/>
  <c r="CD1062" i="28"/>
  <c r="CF1060" i="28"/>
  <c r="CE1060" i="28"/>
  <c r="CD1060" i="28"/>
  <c r="CF1054" i="28"/>
  <c r="CE1054" i="28"/>
  <c r="CD1054" i="28"/>
  <c r="CF1032" i="28"/>
  <c r="CE1032" i="28"/>
  <c r="CD1032" i="28"/>
  <c r="CE1031" i="28"/>
  <c r="CF1031" i="28"/>
  <c r="CD1031" i="28"/>
  <c r="CE915" i="28"/>
  <c r="CD915" i="28"/>
  <c r="CC915" i="28"/>
  <c r="CE808" i="28"/>
  <c r="CD808" i="28"/>
  <c r="CC808" i="28"/>
  <c r="CE767" i="28"/>
  <c r="CD767" i="28"/>
  <c r="CC767" i="28"/>
  <c r="CE740" i="28"/>
  <c r="CD740" i="28"/>
  <c r="CC740" i="28"/>
  <c r="CE741" i="28"/>
  <c r="CD741" i="28"/>
  <c r="CC741" i="28"/>
  <c r="CE673" i="28"/>
  <c r="CD673" i="28"/>
  <c r="CC673" i="28"/>
  <c r="CE674" i="28"/>
  <c r="CD674" i="28"/>
  <c r="CC674" i="28"/>
  <c r="CE665" i="28"/>
  <c r="CD665" i="28"/>
  <c r="CC665" i="28"/>
  <c r="CE664" i="28"/>
  <c r="CD664" i="28"/>
  <c r="CC664" i="28"/>
  <c r="CE662" i="28"/>
  <c r="CD662" i="28"/>
  <c r="CC662" i="28"/>
  <c r="CE663" i="28"/>
  <c r="CD663" i="28"/>
  <c r="CC663" i="28"/>
  <c r="CE617" i="28"/>
  <c r="CD617" i="28"/>
  <c r="CC617" i="28"/>
  <c r="CE618" i="28"/>
  <c r="CD618" i="28"/>
  <c r="CC618" i="28"/>
  <c r="CE619" i="28"/>
  <c r="CD619" i="28"/>
  <c r="CC619" i="28"/>
  <c r="CE616" i="28"/>
  <c r="CD616" i="28"/>
  <c r="CC616" i="28"/>
  <c r="CE614" i="28"/>
  <c r="CD614" i="28"/>
  <c r="CC614" i="28"/>
  <c r="CE615" i="28"/>
  <c r="CD615" i="28"/>
  <c r="CC615" i="28"/>
  <c r="CE613" i="28"/>
  <c r="CD613" i="28"/>
  <c r="CC613" i="28"/>
  <c r="CE612" i="28"/>
  <c r="CD612" i="28"/>
  <c r="CC612" i="28"/>
  <c r="CE557" i="28"/>
  <c r="CD557" i="28"/>
  <c r="CC557" i="28"/>
  <c r="CE531" i="28"/>
  <c r="CD531" i="28"/>
  <c r="CC531" i="28"/>
  <c r="CE532" i="28"/>
  <c r="CD532" i="28"/>
  <c r="CC532" i="28"/>
  <c r="CD533" i="28"/>
  <c r="CE533" i="28"/>
  <c r="CC533" i="28"/>
  <c r="CG997" i="28"/>
  <c r="CF997" i="28"/>
  <c r="CE997" i="28"/>
  <c r="CG996" i="28"/>
  <c r="CF996" i="28"/>
  <c r="CE996" i="28"/>
  <c r="CG995" i="28"/>
  <c r="CF995" i="28"/>
  <c r="CE995" i="28"/>
  <c r="CD1005" i="28"/>
  <c r="CC1005" i="28"/>
  <c r="CB1005" i="28"/>
  <c r="CA1005" i="28"/>
  <c r="CD993" i="28"/>
  <c r="CC993" i="28"/>
  <c r="CB993" i="28"/>
  <c r="CA993" i="28"/>
  <c r="CD952" i="28"/>
  <c r="CC952" i="28"/>
  <c r="CB952" i="28"/>
  <c r="CA952" i="28"/>
  <c r="CD951" i="28"/>
  <c r="CC951" i="28"/>
  <c r="CB951" i="28"/>
  <c r="CA951" i="28"/>
  <c r="CD950" i="28"/>
  <c r="CC950" i="28"/>
  <c r="CB950" i="28"/>
  <c r="CA950" i="28"/>
  <c r="CD939" i="28"/>
  <c r="CC939" i="28"/>
  <c r="CB939" i="28"/>
  <c r="CA939" i="28"/>
  <c r="CD924" i="28"/>
  <c r="CC924" i="28"/>
  <c r="CB924" i="28"/>
  <c r="CA924" i="28"/>
  <c r="CD922" i="28"/>
  <c r="CC922" i="28"/>
  <c r="CB922" i="28"/>
  <c r="CA922" i="28"/>
  <c r="CD906" i="28"/>
  <c r="CC906" i="28"/>
  <c r="CB906" i="28"/>
  <c r="CA906" i="28"/>
  <c r="CD899" i="28"/>
  <c r="CC899" i="28"/>
  <c r="CB899" i="28"/>
  <c r="CA899" i="28"/>
  <c r="CD886" i="28"/>
  <c r="CC886" i="28"/>
  <c r="CB886" i="28"/>
  <c r="CA886" i="28"/>
  <c r="CD883" i="28"/>
  <c r="CC883" i="28"/>
  <c r="CB883" i="28"/>
  <c r="CA883" i="28"/>
  <c r="CD879" i="28"/>
  <c r="CC879" i="28"/>
  <c r="CB879" i="28"/>
  <c r="CA879" i="28"/>
  <c r="CD870" i="28"/>
  <c r="CC870" i="28"/>
  <c r="CB870" i="28"/>
  <c r="CA870" i="28"/>
  <c r="CD867" i="28"/>
  <c r="CC867" i="28"/>
  <c r="CB867" i="28"/>
  <c r="CA867" i="28"/>
  <c r="CD860" i="28"/>
  <c r="CC860" i="28"/>
  <c r="CB860" i="28"/>
  <c r="CA860" i="28"/>
  <c r="CD850" i="28"/>
  <c r="CC850" i="28"/>
  <c r="CB850" i="28"/>
  <c r="CA850" i="28"/>
  <c r="CD841" i="28"/>
  <c r="CC841" i="28"/>
  <c r="CB841" i="28"/>
  <c r="CA841" i="28"/>
  <c r="CD837" i="28"/>
  <c r="CC837" i="28"/>
  <c r="CB837" i="28"/>
  <c r="CA837" i="28"/>
  <c r="CD832" i="28"/>
  <c r="CC832" i="28"/>
  <c r="CB832" i="28"/>
  <c r="CA832" i="28"/>
  <c r="CD827" i="28"/>
  <c r="CC827" i="28"/>
  <c r="CB827" i="28"/>
  <c r="CA827" i="28"/>
  <c r="CD824" i="28"/>
  <c r="CC824" i="28"/>
  <c r="CB824" i="28"/>
  <c r="CA824" i="28"/>
  <c r="CD821" i="28"/>
  <c r="CC821" i="28"/>
  <c r="CB821" i="28"/>
  <c r="CA821" i="28"/>
  <c r="CD812" i="28"/>
  <c r="CC812" i="28"/>
  <c r="CB812" i="28"/>
  <c r="CA812" i="28"/>
  <c r="CD811" i="28"/>
  <c r="CC811" i="28"/>
  <c r="CB811" i="28"/>
  <c r="CA811" i="28"/>
  <c r="CD810" i="28"/>
  <c r="CC810" i="28"/>
  <c r="CB810" i="28"/>
  <c r="CA810" i="28"/>
  <c r="CD807" i="28"/>
  <c r="CC807" i="28"/>
  <c r="CB807" i="28"/>
  <c r="CA807" i="28"/>
  <c r="CD806" i="28"/>
  <c r="CC806" i="28"/>
  <c r="CB806" i="28"/>
  <c r="CA806" i="28"/>
  <c r="CD802" i="28"/>
  <c r="CC802" i="28"/>
  <c r="CB802" i="28"/>
  <c r="CA802" i="28"/>
  <c r="CD791" i="28"/>
  <c r="CC791" i="28"/>
  <c r="CB791" i="28"/>
  <c r="CA791" i="28"/>
  <c r="CD786" i="28"/>
  <c r="CC786" i="28"/>
  <c r="CB786" i="28"/>
  <c r="CA786" i="28"/>
  <c r="CD775" i="28"/>
  <c r="CC775" i="28"/>
  <c r="CB775" i="28"/>
  <c r="CA775" i="28"/>
  <c r="CD772" i="28"/>
  <c r="CC772" i="28"/>
  <c r="CB772" i="28"/>
  <c r="CA772" i="28"/>
  <c r="CD747" i="28"/>
  <c r="CC747" i="28"/>
  <c r="CB747" i="28"/>
  <c r="CA747" i="28"/>
  <c r="CD746" i="28"/>
  <c r="CC746" i="28"/>
  <c r="CB746" i="28"/>
  <c r="CA746" i="28"/>
  <c r="CD743" i="28"/>
  <c r="CC743" i="28"/>
  <c r="CB743" i="28"/>
  <c r="CA743" i="28"/>
  <c r="CD738" i="28"/>
  <c r="CC738" i="28"/>
  <c r="CB738" i="28"/>
  <c r="CA738" i="28"/>
  <c r="CD737" i="28"/>
  <c r="CC737" i="28"/>
  <c r="CB737" i="28"/>
  <c r="CA737" i="28"/>
  <c r="CD733" i="28"/>
  <c r="CC733" i="28"/>
  <c r="CB733" i="28"/>
  <c r="CA733" i="28"/>
  <c r="CD732" i="28"/>
  <c r="CC732" i="28"/>
  <c r="CB732" i="28"/>
  <c r="CA732" i="28"/>
  <c r="CD731" i="28"/>
  <c r="CC731" i="28"/>
  <c r="CB731" i="28"/>
  <c r="CA731" i="28"/>
  <c r="CD729" i="28"/>
  <c r="CC729" i="28"/>
  <c r="CB729" i="28"/>
  <c r="CA729" i="28"/>
  <c r="CD728" i="28"/>
  <c r="CC728" i="28"/>
  <c r="CB728" i="28"/>
  <c r="CA728" i="28"/>
  <c r="CD722" i="28"/>
  <c r="CC722" i="28"/>
  <c r="CB722" i="28"/>
  <c r="CA722" i="28"/>
  <c r="CD721" i="28"/>
  <c r="CC721" i="28"/>
  <c r="CB721" i="28"/>
  <c r="CA721" i="28"/>
  <c r="CD714" i="28"/>
  <c r="CC714" i="28"/>
  <c r="CB714" i="28"/>
  <c r="CA714" i="28"/>
  <c r="CD713" i="28"/>
  <c r="CC713" i="28"/>
  <c r="CB713" i="28"/>
  <c r="CA713" i="28"/>
  <c r="CD711" i="28"/>
  <c r="CC711" i="28"/>
  <c r="CB711" i="28"/>
  <c r="CA711" i="28"/>
  <c r="CD703" i="28"/>
  <c r="CC703" i="28"/>
  <c r="CB703" i="28"/>
  <c r="CA703" i="28"/>
  <c r="CD701" i="28"/>
  <c r="CC701" i="28"/>
  <c r="CB701" i="28"/>
  <c r="CA701" i="28"/>
  <c r="CD696" i="28"/>
  <c r="CC696" i="28"/>
  <c r="CB696" i="28"/>
  <c r="CA696" i="28"/>
  <c r="CD695" i="28"/>
  <c r="CC695" i="28"/>
  <c r="CB695" i="28"/>
  <c r="CA695" i="28"/>
  <c r="CD694" i="28"/>
  <c r="CC694" i="28"/>
  <c r="CB694" i="28"/>
  <c r="CA694" i="28"/>
  <c r="CD693" i="28"/>
  <c r="CC693" i="28"/>
  <c r="CB693" i="28"/>
  <c r="CA693" i="28"/>
  <c r="CD692" i="28"/>
  <c r="CC692" i="28"/>
  <c r="CB692" i="28"/>
  <c r="CA692" i="28"/>
  <c r="CD681" i="28"/>
  <c r="CC681" i="28"/>
  <c r="CB681" i="28"/>
  <c r="CA681" i="28"/>
  <c r="CD644" i="28"/>
  <c r="CC644" i="28"/>
  <c r="CB644" i="28"/>
  <c r="CA644" i="28"/>
  <c r="CD567" i="28"/>
  <c r="CC567" i="28"/>
  <c r="CB567" i="28"/>
  <c r="CA567" i="28"/>
  <c r="CD561" i="28"/>
  <c r="CC561" i="28"/>
  <c r="CB561" i="28"/>
  <c r="CA561" i="28"/>
  <c r="CD560" i="28"/>
  <c r="CC560" i="28"/>
  <c r="CB560" i="28"/>
  <c r="CA560" i="28"/>
  <c r="CD559" i="28"/>
  <c r="CC559" i="28"/>
  <c r="CB559" i="28"/>
  <c r="CA559" i="28"/>
  <c r="CD558" i="28"/>
  <c r="CC558" i="28"/>
  <c r="CB558" i="28"/>
  <c r="CA558" i="28"/>
  <c r="CD552" i="28"/>
  <c r="CC552" i="28"/>
  <c r="CB552" i="28"/>
  <c r="CA552" i="28"/>
  <c r="CD551" i="28"/>
  <c r="CC551" i="28"/>
  <c r="CB551" i="28"/>
  <c r="CA551" i="28"/>
  <c r="CD536" i="28"/>
  <c r="CC536" i="28"/>
  <c r="CB536" i="28"/>
  <c r="CA536" i="28"/>
  <c r="CD535" i="28"/>
  <c r="CC535" i="28"/>
  <c r="CB535" i="28"/>
  <c r="CA535" i="28"/>
  <c r="CD530" i="28"/>
  <c r="CC530" i="28"/>
  <c r="CB530" i="28"/>
  <c r="CA530" i="28"/>
  <c r="CD529" i="28"/>
  <c r="CC529" i="28"/>
  <c r="CB529" i="28"/>
  <c r="CA529" i="28"/>
  <c r="CD528" i="28"/>
  <c r="CC528" i="28"/>
  <c r="CB528" i="28"/>
  <c r="CA528" i="28"/>
  <c r="CD527" i="28"/>
  <c r="CC527" i="28"/>
  <c r="CB527" i="28"/>
  <c r="CA527" i="28"/>
  <c r="CD524" i="28"/>
  <c r="CC524" i="28"/>
  <c r="CB524" i="28"/>
  <c r="CA524" i="28"/>
  <c r="CD523" i="28"/>
  <c r="CC523" i="28"/>
  <c r="CB523" i="28"/>
  <c r="CA523" i="28"/>
  <c r="CD519" i="28"/>
  <c r="CC519" i="28"/>
  <c r="CB519" i="28"/>
  <c r="CA519" i="28"/>
  <c r="CD495" i="28"/>
  <c r="CC495" i="28"/>
  <c r="CB495" i="28"/>
  <c r="CA495" i="28"/>
  <c r="CD485" i="28"/>
  <c r="CC485" i="28"/>
  <c r="CB485" i="28"/>
  <c r="CA485" i="28"/>
  <c r="CB483" i="28"/>
  <c r="CC483" i="28"/>
  <c r="CD483" i="28"/>
  <c r="CA483" i="28"/>
  <c r="CD372" i="28"/>
  <c r="CC372" i="28"/>
  <c r="CB372" i="28"/>
  <c r="CA372" i="28"/>
  <c r="CD308" i="28"/>
  <c r="CC308" i="28"/>
  <c r="CB308" i="28"/>
  <c r="CA308" i="28"/>
  <c r="CD306" i="28"/>
  <c r="CC306" i="28"/>
  <c r="CB306" i="28"/>
  <c r="CA306" i="28"/>
  <c r="CD307" i="28"/>
  <c r="CC307" i="28"/>
  <c r="CB307" i="28"/>
  <c r="CA307" i="28"/>
  <c r="CD281" i="28"/>
  <c r="CC281" i="28"/>
  <c r="CB281" i="28"/>
  <c r="CA281" i="28"/>
  <c r="CD282" i="28"/>
  <c r="CC282" i="28"/>
  <c r="CB282" i="28"/>
  <c r="CA282" i="28"/>
  <c r="CD261" i="28"/>
  <c r="CC261" i="28"/>
  <c r="CB261" i="28"/>
  <c r="CA261" i="28"/>
  <c r="CD259" i="28"/>
  <c r="CC259" i="28"/>
  <c r="CB259" i="28"/>
  <c r="CA259" i="28"/>
  <c r="CD260" i="28"/>
  <c r="CC260" i="28"/>
  <c r="CB260" i="28"/>
  <c r="CA260" i="28"/>
  <c r="CD257" i="28"/>
  <c r="CC257" i="28"/>
  <c r="CB257" i="28"/>
  <c r="CA257" i="28"/>
  <c r="CD258" i="28"/>
  <c r="CC258" i="28"/>
  <c r="CB258" i="28"/>
  <c r="CA258" i="28"/>
  <c r="CD250" i="28"/>
  <c r="CC250" i="28"/>
  <c r="CB250" i="28"/>
  <c r="CA250" i="28"/>
  <c r="CD251" i="28"/>
  <c r="CC251" i="28"/>
  <c r="CB251" i="28"/>
  <c r="CA251" i="28"/>
  <c r="CU995" i="28" l="1"/>
  <c r="CU230" i="28"/>
  <c r="CT230" i="28"/>
  <c r="CU390" i="28"/>
  <c r="CT390" i="28"/>
  <c r="CT450" i="28"/>
  <c r="CU450" i="28"/>
  <c r="CU462" i="28"/>
  <c r="CT462" i="28"/>
  <c r="CU638" i="28"/>
  <c r="CT638" i="28"/>
  <c r="CU659" i="28"/>
  <c r="CT659" i="28"/>
  <c r="CU709" i="28"/>
  <c r="CT709" i="28"/>
  <c r="CU762" i="28"/>
  <c r="CT762" i="28"/>
  <c r="CU785" i="28"/>
  <c r="CT785" i="28"/>
  <c r="CU795" i="28"/>
  <c r="CT795" i="28"/>
  <c r="CU997" i="28"/>
  <c r="CU614" i="28"/>
  <c r="CT614" i="28"/>
  <c r="CU665" i="28"/>
  <c r="CT665" i="28"/>
  <c r="CU1031" i="28"/>
  <c r="CT1031" i="28"/>
  <c r="CU200" i="28"/>
  <c r="CT200" i="28"/>
  <c r="CU233" i="28"/>
  <c r="CT233" i="28"/>
  <c r="CU293" i="28"/>
  <c r="CT293" i="28"/>
  <c r="CU316" i="28"/>
  <c r="CT316" i="28"/>
  <c r="CU331" i="28"/>
  <c r="CT331" i="28"/>
  <c r="CU340" i="28"/>
  <c r="CT340" i="28"/>
  <c r="CU355" i="28"/>
  <c r="CT355" i="28"/>
  <c r="CU378" i="28"/>
  <c r="CT378" i="28"/>
  <c r="CU391" i="28"/>
  <c r="CT391" i="28"/>
  <c r="CU402" i="28"/>
  <c r="CT402" i="28"/>
  <c r="CU418" i="28"/>
  <c r="CT418" i="28"/>
  <c r="CU432" i="28"/>
  <c r="CT432" i="28"/>
  <c r="CU451" i="28"/>
  <c r="CT451" i="28"/>
  <c r="CU288" i="28"/>
  <c r="CT288" i="28"/>
  <c r="CU366" i="28"/>
  <c r="CT366" i="28"/>
  <c r="CU431" i="28"/>
  <c r="CT431" i="28"/>
  <c r="CU449" i="28"/>
  <c r="CT449" i="28"/>
  <c r="CU463" i="28"/>
  <c r="CT463" i="28"/>
  <c r="CU472" i="28"/>
  <c r="CT472" i="28"/>
  <c r="CT482" i="28"/>
  <c r="CU482" i="28"/>
  <c r="CU501" i="28"/>
  <c r="CT501" i="28"/>
  <c r="CU513" i="28"/>
  <c r="CT513" i="28"/>
  <c r="CU522" i="28"/>
  <c r="CT522" i="28"/>
  <c r="CU563" i="28"/>
  <c r="CT563" i="28"/>
  <c r="CU633" i="28"/>
  <c r="CT633" i="28"/>
  <c r="CU641" i="28"/>
  <c r="CT641" i="28"/>
  <c r="CU651" i="28"/>
  <c r="CT651" i="28"/>
  <c r="CU666" i="28"/>
  <c r="CT666" i="28"/>
  <c r="CU676" i="28"/>
  <c r="CT676" i="28"/>
  <c r="CU686" i="28"/>
  <c r="CT686" i="28"/>
  <c r="CU704" i="28"/>
  <c r="CT704" i="28"/>
  <c r="CU715" i="28"/>
  <c r="CT715" i="28"/>
  <c r="CU727" i="28"/>
  <c r="CT727" i="28"/>
  <c r="CU748" i="28"/>
  <c r="CT748" i="28"/>
  <c r="CU757" i="28"/>
  <c r="CT757" i="28"/>
  <c r="CU765" i="28"/>
  <c r="CT765" i="28"/>
  <c r="CU779" i="28"/>
  <c r="CT779" i="28"/>
  <c r="CU789" i="28"/>
  <c r="CT789" i="28"/>
  <c r="CU799" i="28"/>
  <c r="CT799" i="28"/>
  <c r="CU817" i="28"/>
  <c r="CT817" i="28"/>
  <c r="CU830" i="28"/>
  <c r="CT830" i="28"/>
  <c r="CU846" i="28"/>
  <c r="CT846" i="28"/>
  <c r="CU864" i="28"/>
  <c r="CT864" i="28"/>
  <c r="CU875" i="28"/>
  <c r="CT875" i="28"/>
  <c r="CT885" i="28"/>
  <c r="CU885" i="28"/>
  <c r="CU897" i="28"/>
  <c r="CT897" i="28"/>
  <c r="CU914" i="28"/>
  <c r="CT914" i="28"/>
  <c r="CU925" i="28"/>
  <c r="CT925" i="28"/>
  <c r="CU933" i="28"/>
  <c r="CT933" i="28"/>
  <c r="CU942" i="28"/>
  <c r="CT942" i="28"/>
  <c r="CU956" i="28"/>
  <c r="CT956" i="28"/>
  <c r="CU963" i="28"/>
  <c r="CT963" i="28"/>
  <c r="CU972" i="28"/>
  <c r="CT972" i="28"/>
  <c r="CU982" i="28"/>
  <c r="CT982" i="28"/>
  <c r="CU991" i="28"/>
  <c r="CT991" i="28"/>
  <c r="CU1033" i="28"/>
  <c r="CT1033" i="28"/>
  <c r="CU1041" i="28"/>
  <c r="CT1041" i="28"/>
  <c r="CT1049" i="28"/>
  <c r="CU1049" i="28"/>
  <c r="CU1059" i="28"/>
  <c r="CT1059" i="28"/>
  <c r="CU1070" i="28"/>
  <c r="CT1070" i="28"/>
  <c r="CU1091" i="28"/>
  <c r="CT1091" i="28"/>
  <c r="CU1098" i="28"/>
  <c r="CT1098" i="28"/>
  <c r="CU279" i="28"/>
  <c r="CT279" i="28"/>
  <c r="CU401" i="28"/>
  <c r="CT401" i="28"/>
  <c r="CU232" i="28"/>
  <c r="CT232" i="28"/>
  <c r="CU496" i="28"/>
  <c r="CT496" i="28"/>
  <c r="CU518" i="28"/>
  <c r="CT518" i="28"/>
  <c r="CU754" i="28"/>
  <c r="CT754" i="28"/>
  <c r="CU776" i="28"/>
  <c r="CT776" i="28"/>
  <c r="CU809" i="28"/>
  <c r="CT809" i="28"/>
  <c r="CU826" i="28"/>
  <c r="CT826" i="28"/>
  <c r="CU839" i="28"/>
  <c r="CT839" i="28"/>
  <c r="CU861" i="28"/>
  <c r="CT861" i="28"/>
  <c r="CU881" i="28"/>
  <c r="CT881" i="28"/>
  <c r="CU894" i="28"/>
  <c r="CT894" i="28"/>
  <c r="CU907" i="28"/>
  <c r="CT907" i="28"/>
  <c r="CU920" i="28"/>
  <c r="CT920" i="28"/>
  <c r="CU930" i="28"/>
  <c r="CT930" i="28"/>
  <c r="CU938" i="28"/>
  <c r="CT938" i="28"/>
  <c r="CU953" i="28"/>
  <c r="CT953" i="28"/>
  <c r="CU961" i="28"/>
  <c r="CT961" i="28"/>
  <c r="CU970" i="28"/>
  <c r="CT970" i="28"/>
  <c r="CU979" i="28"/>
  <c r="CT979" i="28"/>
  <c r="CU988" i="28"/>
  <c r="CT988" i="28"/>
  <c r="CU1028" i="28"/>
  <c r="CT1028" i="28"/>
  <c r="CU1038" i="28"/>
  <c r="CT1038" i="28"/>
  <c r="CU1046" i="28"/>
  <c r="CT1046" i="28"/>
  <c r="CU1055" i="28"/>
  <c r="CT1055" i="28"/>
  <c r="CU1067" i="28"/>
  <c r="CT1067" i="28"/>
  <c r="CU1088" i="28"/>
  <c r="CT1088" i="28"/>
  <c r="CU1095" i="28"/>
  <c r="CT1095" i="28"/>
  <c r="CU531" i="28"/>
  <c r="CT531" i="28"/>
  <c r="CU618" i="28"/>
  <c r="CT618" i="28"/>
  <c r="CU741" i="28"/>
  <c r="CT741" i="28"/>
  <c r="CU1060" i="28"/>
  <c r="CT1060" i="28"/>
  <c r="CU209" i="28"/>
  <c r="CT209" i="28"/>
  <c r="CU234" i="28"/>
  <c r="CT234" i="28"/>
  <c r="CU294" i="28"/>
  <c r="CT294" i="28"/>
  <c r="CU317" i="28"/>
  <c r="CT317" i="28"/>
  <c r="CU332" i="28"/>
  <c r="CT332" i="28"/>
  <c r="CU341" i="28"/>
  <c r="CT341" i="28"/>
  <c r="CU359" i="28"/>
  <c r="CT359" i="28"/>
  <c r="CU379" i="28"/>
  <c r="CT379" i="28"/>
  <c r="CU392" i="28"/>
  <c r="CT392" i="28"/>
  <c r="CU410" i="28"/>
  <c r="CT410" i="28"/>
  <c r="CU419" i="28"/>
  <c r="CT419" i="28"/>
  <c r="CU433" i="28"/>
  <c r="CT433" i="28"/>
  <c r="CU455" i="28"/>
  <c r="CT455" i="28"/>
  <c r="CU291" i="28"/>
  <c r="CT291" i="28"/>
  <c r="CU385" i="28"/>
  <c r="CT385" i="28"/>
  <c r="CU438" i="28"/>
  <c r="CT438" i="28"/>
  <c r="CU453" i="28"/>
  <c r="CT453" i="28"/>
  <c r="CU464" i="28"/>
  <c r="CT464" i="28"/>
  <c r="CU473" i="28"/>
  <c r="CT473" i="28"/>
  <c r="CU486" i="28"/>
  <c r="CT486" i="28"/>
  <c r="CU504" i="28"/>
  <c r="CT504" i="28"/>
  <c r="CU516" i="28"/>
  <c r="CT516" i="28"/>
  <c r="CU534" i="28"/>
  <c r="CT534" i="28"/>
  <c r="CU565" i="28"/>
  <c r="CT565" i="28"/>
  <c r="CU636" i="28"/>
  <c r="CT636" i="28"/>
  <c r="CU647" i="28"/>
  <c r="CT647" i="28"/>
  <c r="CU657" i="28"/>
  <c r="CT657" i="28"/>
  <c r="CU669" i="28"/>
  <c r="CT669" i="28"/>
  <c r="CU679" i="28"/>
  <c r="CT679" i="28"/>
  <c r="CU691" i="28"/>
  <c r="CT691" i="28"/>
  <c r="CU707" i="28"/>
  <c r="CT707" i="28"/>
  <c r="CU718" i="28"/>
  <c r="CT718" i="28"/>
  <c r="CU736" i="28"/>
  <c r="CT736" i="28"/>
  <c r="CU752" i="28"/>
  <c r="CT752" i="28"/>
  <c r="CU760" i="28"/>
  <c r="CT760" i="28"/>
  <c r="CU769" i="28"/>
  <c r="CT769" i="28"/>
  <c r="CU783" i="28"/>
  <c r="CT783" i="28"/>
  <c r="CU794" i="28"/>
  <c r="CT794" i="28"/>
  <c r="CU804" i="28"/>
  <c r="CT804" i="28"/>
  <c r="CU822" i="28"/>
  <c r="CT822" i="28"/>
  <c r="CU834" i="28"/>
  <c r="CT834" i="28"/>
  <c r="CU849" i="28"/>
  <c r="CT849" i="28"/>
  <c r="CU868" i="28"/>
  <c r="CT868" i="28"/>
  <c r="CU878" i="28"/>
  <c r="CT878" i="28"/>
  <c r="CU892" i="28"/>
  <c r="CT892" i="28"/>
  <c r="CU901" i="28"/>
  <c r="CT901" i="28"/>
  <c r="CU918" i="28"/>
  <c r="CT918" i="28"/>
  <c r="CU928" i="28"/>
  <c r="CT928" i="28"/>
  <c r="CU936" i="28"/>
  <c r="CT936" i="28"/>
  <c r="CU948" i="28"/>
  <c r="CT948" i="28"/>
  <c r="CU959" i="28"/>
  <c r="CT959" i="28"/>
  <c r="CU966" i="28"/>
  <c r="CT966" i="28"/>
  <c r="CU975" i="28"/>
  <c r="CT975" i="28"/>
  <c r="CU986" i="28"/>
  <c r="CT986" i="28"/>
  <c r="CU479" i="28"/>
  <c r="CT479" i="28"/>
  <c r="CU553" i="28"/>
  <c r="CT553" i="28"/>
  <c r="CU555" i="28"/>
  <c r="CT555" i="28"/>
  <c r="CU684" i="28"/>
  <c r="CT684" i="28"/>
  <c r="CU699" i="28"/>
  <c r="CT699" i="28"/>
  <c r="CU734" i="28"/>
  <c r="CT734" i="28"/>
  <c r="CU801" i="28"/>
  <c r="CT801" i="28"/>
  <c r="CU815" i="28"/>
  <c r="CT815" i="28"/>
  <c r="CU836" i="28"/>
  <c r="CT836" i="28"/>
  <c r="CU909" i="28"/>
  <c r="CT909" i="28"/>
  <c r="CU947" i="28"/>
  <c r="CT947" i="28"/>
  <c r="CU978" i="28"/>
  <c r="CT978" i="28"/>
  <c r="CU1026" i="28"/>
  <c r="CT1026" i="28"/>
  <c r="CU1036" i="28"/>
  <c r="CT1036" i="28"/>
  <c r="CU1044" i="28"/>
  <c r="CT1044" i="28"/>
  <c r="CU1052" i="28"/>
  <c r="CT1052" i="28"/>
  <c r="CU1065" i="28"/>
  <c r="CT1065" i="28"/>
  <c r="CU1085" i="28"/>
  <c r="CT1085" i="28"/>
  <c r="CU1093" i="28"/>
  <c r="CT1093" i="28"/>
  <c r="CU1101" i="28"/>
  <c r="CT1101" i="28"/>
  <c r="CU767" i="28"/>
  <c r="CT767" i="28"/>
  <c r="CU373" i="28"/>
  <c r="CT373" i="28"/>
  <c r="CU448" i="28"/>
  <c r="CT448" i="28"/>
  <c r="CU257" i="28"/>
  <c r="CT257" i="28"/>
  <c r="CU483" i="28"/>
  <c r="CT483" i="28"/>
  <c r="CU529" i="28"/>
  <c r="CT529" i="28"/>
  <c r="CU567" i="28"/>
  <c r="CT567" i="28"/>
  <c r="CU711" i="28"/>
  <c r="CT711" i="28"/>
  <c r="CU729" i="28"/>
  <c r="CT729" i="28"/>
  <c r="CU743" i="28"/>
  <c r="CT743" i="28"/>
  <c r="CU806" i="28"/>
  <c r="CT806" i="28"/>
  <c r="CU841" i="28"/>
  <c r="CT841" i="28"/>
  <c r="CU899" i="28"/>
  <c r="CT899" i="28"/>
  <c r="CU939" i="28"/>
  <c r="CT939" i="28"/>
  <c r="CU613" i="28"/>
  <c r="CT613" i="28"/>
  <c r="CU808" i="28"/>
  <c r="CT808" i="28"/>
  <c r="CU302" i="28"/>
  <c r="CT302" i="28"/>
  <c r="CU346" i="28"/>
  <c r="CT346" i="28"/>
  <c r="CU424" i="28"/>
  <c r="CT424" i="28"/>
  <c r="CU393" i="28"/>
  <c r="CT393" i="28"/>
  <c r="CU474" i="28"/>
  <c r="CT474" i="28"/>
  <c r="CU499" i="28"/>
  <c r="CT499" i="28"/>
  <c r="CU639" i="28"/>
  <c r="CT639" i="28"/>
  <c r="CU797" i="28"/>
  <c r="CT797" i="28"/>
  <c r="CU813" i="28"/>
  <c r="CT813" i="28"/>
  <c r="CU840" i="28"/>
  <c r="CT840" i="28"/>
  <c r="CU873" i="28"/>
  <c r="CT873" i="28"/>
  <c r="CU882" i="28"/>
  <c r="CT882" i="28"/>
  <c r="CU895" i="28"/>
  <c r="CT895" i="28"/>
  <c r="CU921" i="28"/>
  <c r="CT921" i="28"/>
  <c r="CU931" i="28"/>
  <c r="CT931" i="28"/>
  <c r="CU940" i="28"/>
  <c r="CT940" i="28"/>
  <c r="CU954" i="28"/>
  <c r="CT954" i="28"/>
  <c r="CU962" i="28"/>
  <c r="CT962" i="28"/>
  <c r="CU969" i="28"/>
  <c r="CT969" i="28"/>
  <c r="CU980" i="28"/>
  <c r="CT980" i="28"/>
  <c r="CT1029" i="28"/>
  <c r="CU1029" i="28"/>
  <c r="CU1039" i="28"/>
  <c r="CT1039" i="28"/>
  <c r="CU1047" i="28"/>
  <c r="CT1047" i="28"/>
  <c r="CU1056" i="28"/>
  <c r="CT1056" i="28"/>
  <c r="CU1068" i="28"/>
  <c r="CT1068" i="28"/>
  <c r="CU1087" i="28"/>
  <c r="CT1087" i="28"/>
  <c r="CU1096" i="28"/>
  <c r="CT1096" i="28"/>
  <c r="CU350" i="28"/>
  <c r="CT350" i="28"/>
  <c r="CU430" i="28"/>
  <c r="CT430" i="28"/>
  <c r="CU569" i="28"/>
  <c r="CT569" i="28"/>
  <c r="CU723" i="28"/>
  <c r="CT723" i="28"/>
  <c r="CU250" i="28"/>
  <c r="CT250" i="28"/>
  <c r="CU307" i="28"/>
  <c r="CT307" i="28"/>
  <c r="CU523" i="28"/>
  <c r="CT523" i="28"/>
  <c r="CU551" i="28"/>
  <c r="CT551" i="28"/>
  <c r="CU681" i="28"/>
  <c r="CT681" i="28"/>
  <c r="CT714" i="28"/>
  <c r="CU714" i="28"/>
  <c r="CU747" i="28"/>
  <c r="CT747" i="28"/>
  <c r="CU791" i="28"/>
  <c r="CT791" i="28"/>
  <c r="CU824" i="28"/>
  <c r="CT824" i="28"/>
  <c r="CU860" i="28"/>
  <c r="CT860" i="28"/>
  <c r="CU922" i="28"/>
  <c r="CT922" i="28"/>
  <c r="CU951" i="28"/>
  <c r="CT951" i="28"/>
  <c r="CU1089" i="28"/>
  <c r="CT1089" i="28"/>
  <c r="CU318" i="28"/>
  <c r="CT318" i="28"/>
  <c r="CU361" i="28"/>
  <c r="CT361" i="28"/>
  <c r="CU409" i="28"/>
  <c r="CT409" i="28"/>
  <c r="CU476" i="28"/>
  <c r="CT476" i="28"/>
  <c r="CU452" i="28"/>
  <c r="CT452" i="28"/>
  <c r="CU649" i="28"/>
  <c r="CT649" i="28"/>
  <c r="CU672" i="28"/>
  <c r="CT672" i="28"/>
  <c r="CU700" i="28"/>
  <c r="CT700" i="28"/>
  <c r="CU862" i="28"/>
  <c r="CT862" i="28"/>
  <c r="CU533" i="28"/>
  <c r="CT533" i="28"/>
  <c r="CU616" i="28"/>
  <c r="CT616" i="28"/>
  <c r="CU674" i="28"/>
  <c r="CT674" i="28"/>
  <c r="CU1032" i="28"/>
  <c r="CT1032" i="28"/>
  <c r="CU211" i="28"/>
  <c r="CT211" i="28"/>
  <c r="CU238" i="28"/>
  <c r="CT238" i="28"/>
  <c r="CU303" i="28"/>
  <c r="CT303" i="28"/>
  <c r="CU320" i="28"/>
  <c r="CT320" i="28"/>
  <c r="CU334" i="28"/>
  <c r="CT334" i="28"/>
  <c r="CU347" i="28"/>
  <c r="CT347" i="28"/>
  <c r="CU364" i="28"/>
  <c r="CT364" i="28"/>
  <c r="CU382" i="28"/>
  <c r="CT382" i="28"/>
  <c r="CU395" i="28"/>
  <c r="CT395" i="28"/>
  <c r="CU412" i="28"/>
  <c r="CT412" i="28"/>
  <c r="CU425" i="28"/>
  <c r="CT425" i="28"/>
  <c r="CU436" i="28"/>
  <c r="CT436" i="28"/>
  <c r="CU193" i="28"/>
  <c r="CT193" i="28"/>
  <c r="CU299" i="28"/>
  <c r="CT299" i="28"/>
  <c r="CU400" i="28"/>
  <c r="CT400" i="28"/>
  <c r="CU444" i="28"/>
  <c r="CT444" i="28"/>
  <c r="CU454" i="28"/>
  <c r="CT454" i="28"/>
  <c r="CU466" i="28"/>
  <c r="CT466" i="28"/>
  <c r="CU475" i="28"/>
  <c r="CT475" i="28"/>
  <c r="CU481" i="28"/>
  <c r="CT481" i="28"/>
  <c r="CU502" i="28"/>
  <c r="CT502" i="28"/>
  <c r="CT514" i="28"/>
  <c r="CU514" i="28"/>
  <c r="CU525" i="28"/>
  <c r="CT525" i="28"/>
  <c r="CU564" i="28"/>
  <c r="CT564" i="28"/>
  <c r="CU634" i="28"/>
  <c r="CT634" i="28"/>
  <c r="CU642" i="28"/>
  <c r="CT642" i="28"/>
  <c r="CU655" i="28"/>
  <c r="CT655" i="28"/>
  <c r="CU667" i="28"/>
  <c r="CT667" i="28"/>
  <c r="CU677" i="28"/>
  <c r="CT677" i="28"/>
  <c r="CU688" i="28"/>
  <c r="CT688" i="28"/>
  <c r="CU705" i="28"/>
  <c r="CT705" i="28"/>
  <c r="CU716" i="28"/>
  <c r="CT716" i="28"/>
  <c r="CU726" i="28"/>
  <c r="CT726" i="28"/>
  <c r="CU750" i="28"/>
  <c r="CT750" i="28"/>
  <c r="CU758" i="28"/>
  <c r="CT758" i="28"/>
  <c r="CU766" i="28"/>
  <c r="CT766" i="28"/>
  <c r="CU781" i="28"/>
  <c r="CT781" i="28"/>
  <c r="CU790" i="28"/>
  <c r="CT790" i="28"/>
  <c r="CU800" i="28"/>
  <c r="CT800" i="28"/>
  <c r="CU819" i="28"/>
  <c r="CT819" i="28"/>
  <c r="CU831" i="28"/>
  <c r="CT831" i="28"/>
  <c r="CT847" i="28"/>
  <c r="CU847" i="28"/>
  <c r="CU865" i="28"/>
  <c r="CT865" i="28"/>
  <c r="CU876" i="28"/>
  <c r="CT876" i="28"/>
  <c r="CU890" i="28"/>
  <c r="CT890" i="28"/>
  <c r="CU898" i="28"/>
  <c r="CT898" i="28"/>
  <c r="CU916" i="28"/>
  <c r="CT916" i="28"/>
  <c r="CT926" i="28"/>
  <c r="CU926" i="28"/>
  <c r="CU934" i="28"/>
  <c r="CT934" i="28"/>
  <c r="CU943" i="28"/>
  <c r="CT943" i="28"/>
  <c r="CU958" i="28"/>
  <c r="CT958" i="28"/>
  <c r="CU965" i="28"/>
  <c r="CT965" i="28"/>
  <c r="CU973" i="28"/>
  <c r="CT973" i="28"/>
  <c r="CU984" i="28"/>
  <c r="CT984" i="28"/>
  <c r="CU992" i="28"/>
  <c r="CT992" i="28"/>
  <c r="CU1034" i="28"/>
  <c r="CT1034" i="28"/>
  <c r="CU1042" i="28"/>
  <c r="CT1042" i="28"/>
  <c r="CU1050" i="28"/>
  <c r="CT1050" i="28"/>
  <c r="CU1063" i="28"/>
  <c r="CT1063" i="28"/>
  <c r="CU1082" i="28"/>
  <c r="CT1082" i="28"/>
  <c r="CU1092" i="28"/>
  <c r="CT1092" i="28"/>
  <c r="CU1099" i="28"/>
  <c r="CT1099" i="28"/>
  <c r="CU663" i="28"/>
  <c r="CT663" i="28"/>
  <c r="CU1061" i="28"/>
  <c r="CT1061" i="28"/>
  <c r="CU315" i="28"/>
  <c r="CT315" i="28"/>
  <c r="CU417" i="28"/>
  <c r="CT417" i="28"/>
  <c r="CU365" i="28"/>
  <c r="CT365" i="28"/>
  <c r="CU698" i="28"/>
  <c r="CT698" i="28"/>
  <c r="CU872" i="28"/>
  <c r="CT872" i="28"/>
  <c r="CU259" i="28"/>
  <c r="CT259" i="28"/>
  <c r="CU495" i="28"/>
  <c r="CT495" i="28"/>
  <c r="CU558" i="28"/>
  <c r="CT558" i="28"/>
  <c r="CU693" i="28"/>
  <c r="CT693" i="28"/>
  <c r="CU722" i="28"/>
  <c r="CT722" i="28"/>
  <c r="CU775" i="28"/>
  <c r="CT775" i="28"/>
  <c r="CU832" i="28"/>
  <c r="CT832" i="28"/>
  <c r="CU237" i="28"/>
  <c r="CT237" i="28"/>
  <c r="CU380" i="28"/>
  <c r="CT380" i="28"/>
  <c r="CT298" i="28"/>
  <c r="CU298" i="28"/>
  <c r="CU511" i="28"/>
  <c r="CT511" i="28"/>
  <c r="CU724" i="28"/>
  <c r="CT724" i="28"/>
  <c r="CU755" i="28"/>
  <c r="CT755" i="28"/>
  <c r="CU777" i="28"/>
  <c r="CT777" i="28"/>
  <c r="CU828" i="28"/>
  <c r="CT828" i="28"/>
  <c r="CU557" i="28"/>
  <c r="CT557" i="28"/>
  <c r="CU617" i="28"/>
  <c r="CT617" i="28"/>
  <c r="CU740" i="28"/>
  <c r="CT740" i="28"/>
  <c r="CU1062" i="28"/>
  <c r="CT1062" i="28"/>
  <c r="CU214" i="28"/>
  <c r="CT214" i="28"/>
  <c r="CU277" i="28"/>
  <c r="CT277" i="28"/>
  <c r="CU304" i="28"/>
  <c r="CT304" i="28"/>
  <c r="CU319" i="28"/>
  <c r="CT319" i="28"/>
  <c r="CU335" i="28"/>
  <c r="CT335" i="28"/>
  <c r="CU348" i="28"/>
  <c r="CT348" i="28"/>
  <c r="CU367" i="28"/>
  <c r="CT367" i="28"/>
  <c r="CU384" i="28"/>
  <c r="CT384" i="28"/>
  <c r="CU396" i="28"/>
  <c r="CT396" i="28"/>
  <c r="CU413" i="28"/>
  <c r="CT413" i="28"/>
  <c r="CU426" i="28"/>
  <c r="CT426" i="28"/>
  <c r="CU437" i="28"/>
  <c r="CT437" i="28"/>
  <c r="CU202" i="28"/>
  <c r="CT202" i="28"/>
  <c r="CU345" i="28"/>
  <c r="CT345" i="28"/>
  <c r="CU399" i="28"/>
  <c r="CT399" i="28"/>
  <c r="CU445" i="28"/>
  <c r="CT445" i="28"/>
  <c r="CU458" i="28"/>
  <c r="CT458" i="28"/>
  <c r="CU468" i="28"/>
  <c r="CT468" i="28"/>
  <c r="CU487" i="28"/>
  <c r="CT487" i="28"/>
  <c r="CU509" i="28"/>
  <c r="CT509" i="28"/>
  <c r="CU517" i="28"/>
  <c r="CT517" i="28"/>
  <c r="CU543" i="28"/>
  <c r="CT543" i="28"/>
  <c r="CU568" i="28"/>
  <c r="CT568" i="28"/>
  <c r="CU637" i="28"/>
  <c r="CT637" i="28"/>
  <c r="CU646" i="28"/>
  <c r="CT646" i="28"/>
  <c r="CU658" i="28"/>
  <c r="CT658" i="28"/>
  <c r="CU670" i="28"/>
  <c r="CT670" i="28"/>
  <c r="CU680" i="28"/>
  <c r="CT680" i="28"/>
  <c r="CU690" i="28"/>
  <c r="CT690" i="28"/>
  <c r="CU708" i="28"/>
  <c r="CT708" i="28"/>
  <c r="CU720" i="28"/>
  <c r="CT720" i="28"/>
  <c r="CU739" i="28"/>
  <c r="CT739" i="28"/>
  <c r="CU753" i="28"/>
  <c r="CT753" i="28"/>
  <c r="CU761" i="28"/>
  <c r="CT761" i="28"/>
  <c r="CU773" i="28"/>
  <c r="CT773" i="28"/>
  <c r="CU784" i="28"/>
  <c r="CT784" i="28"/>
  <c r="CU793" i="28"/>
  <c r="CT793" i="28"/>
  <c r="CU805" i="28"/>
  <c r="CT805" i="28"/>
  <c r="CU823" i="28"/>
  <c r="CT823" i="28"/>
  <c r="CU838" i="28"/>
  <c r="CT838" i="28"/>
  <c r="CU852" i="28"/>
  <c r="CT852" i="28"/>
  <c r="CU871" i="28"/>
  <c r="CT871" i="28"/>
  <c r="CU880" i="28"/>
  <c r="CT880" i="28"/>
  <c r="CU893" i="28"/>
  <c r="CT893" i="28"/>
  <c r="CU902" i="28"/>
  <c r="CT902" i="28"/>
  <c r="CU919" i="28"/>
  <c r="CT919" i="28"/>
  <c r="CU929" i="28"/>
  <c r="CT929" i="28"/>
  <c r="CU937" i="28"/>
  <c r="CT937" i="28"/>
  <c r="CU949" i="28"/>
  <c r="CT949" i="28"/>
  <c r="CU960" i="28"/>
  <c r="CT960" i="28"/>
  <c r="CU968" i="28"/>
  <c r="CT968" i="28"/>
  <c r="CU976" i="28"/>
  <c r="CT976" i="28"/>
  <c r="CU987" i="28"/>
  <c r="CT987" i="28"/>
  <c r="CU1027" i="28"/>
  <c r="CT1027" i="28"/>
  <c r="CU1037" i="28"/>
  <c r="CT1037" i="28"/>
  <c r="CU1045" i="28"/>
  <c r="CT1045" i="28"/>
  <c r="CU1053" i="28"/>
  <c r="CT1053" i="28"/>
  <c r="CU1066" i="28"/>
  <c r="CT1066" i="28"/>
  <c r="CU1084" i="28"/>
  <c r="CT1084" i="28"/>
  <c r="CU1094" i="28"/>
  <c r="CT1094" i="28"/>
  <c r="CU1103" i="28"/>
  <c r="CT1103" i="28"/>
  <c r="CU612" i="28"/>
  <c r="CT612" i="28"/>
  <c r="CU339" i="28"/>
  <c r="CT339" i="28"/>
  <c r="CU429" i="28"/>
  <c r="CT429" i="28"/>
  <c r="CU471" i="28"/>
  <c r="CT471" i="28"/>
  <c r="CU544" i="28"/>
  <c r="CT544" i="28"/>
  <c r="CU648" i="28"/>
  <c r="CT648" i="28"/>
  <c r="CT682" i="28"/>
  <c r="CU682" i="28"/>
  <c r="CU742" i="28"/>
  <c r="CT742" i="28"/>
  <c r="CU308" i="28"/>
  <c r="CT308" i="28"/>
  <c r="CU535" i="28"/>
  <c r="CT535" i="28"/>
  <c r="CU695" i="28"/>
  <c r="CT695" i="28"/>
  <c r="CU732" i="28"/>
  <c r="CT732" i="28"/>
  <c r="CU810" i="28"/>
  <c r="CT810" i="28"/>
  <c r="CU883" i="28"/>
  <c r="CT883" i="28"/>
  <c r="CU333" i="28"/>
  <c r="CT333" i="28"/>
  <c r="CU435" i="28"/>
  <c r="CT435" i="28"/>
  <c r="CU467" i="28"/>
  <c r="CT467" i="28"/>
  <c r="CU520" i="28"/>
  <c r="CT520" i="28"/>
  <c r="CU620" i="28"/>
  <c r="CT620" i="28"/>
  <c r="CU660" i="28"/>
  <c r="CT660" i="28"/>
  <c r="CT683" i="28"/>
  <c r="CU683" i="28"/>
  <c r="CU710" i="28"/>
  <c r="CT710" i="28"/>
  <c r="CU744" i="28"/>
  <c r="CT744" i="28"/>
  <c r="CU764" i="28"/>
  <c r="CT764" i="28"/>
  <c r="CU910" i="28"/>
  <c r="CT910" i="28"/>
  <c r="CU989" i="28"/>
  <c r="CT989" i="28"/>
  <c r="CU996" i="28"/>
  <c r="CU615" i="28"/>
  <c r="CT615" i="28"/>
  <c r="CU664" i="28"/>
  <c r="CT664" i="28"/>
  <c r="CU915" i="28"/>
  <c r="CT915" i="28"/>
  <c r="CU1102" i="28"/>
  <c r="CT1102" i="28"/>
  <c r="CU220" i="28"/>
  <c r="CT220" i="28"/>
  <c r="CU278" i="28"/>
  <c r="CT278" i="28"/>
  <c r="CU305" i="28"/>
  <c r="CT305" i="28"/>
  <c r="CU321" i="28"/>
  <c r="CT321" i="28"/>
  <c r="CU337" i="28"/>
  <c r="CT337" i="28"/>
  <c r="CU349" i="28"/>
  <c r="CT349" i="28"/>
  <c r="CU368" i="28"/>
  <c r="CT368" i="28"/>
  <c r="CU386" i="28"/>
  <c r="CT386" i="28"/>
  <c r="CU397" i="28"/>
  <c r="CT397" i="28"/>
  <c r="CU414" i="28"/>
  <c r="CT414" i="28"/>
  <c r="CU427" i="28"/>
  <c r="CT427" i="28"/>
  <c r="CU439" i="28"/>
  <c r="CT439" i="28"/>
  <c r="CU208" i="28"/>
  <c r="CT208" i="28"/>
  <c r="CU353" i="28"/>
  <c r="CT353" i="28"/>
  <c r="CU420" i="28"/>
  <c r="CT420" i="28"/>
  <c r="CU446" i="28"/>
  <c r="CT446" i="28"/>
  <c r="CU459" i="28"/>
  <c r="CT459" i="28"/>
  <c r="CU469" i="28"/>
  <c r="CT469" i="28"/>
  <c r="CU478" i="28"/>
  <c r="CT478" i="28"/>
  <c r="CU500" i="28"/>
  <c r="CT500" i="28"/>
  <c r="CU512" i="28"/>
  <c r="CT512" i="28"/>
  <c r="CU521" i="28"/>
  <c r="CT521" i="28"/>
  <c r="CU562" i="28"/>
  <c r="CT562" i="28"/>
  <c r="CU621" i="28"/>
  <c r="CT621" i="28"/>
  <c r="CU640" i="28"/>
  <c r="CT640" i="28"/>
  <c r="CU650" i="28"/>
  <c r="CT650" i="28"/>
  <c r="CU661" i="28"/>
  <c r="CT661" i="28"/>
  <c r="CU675" i="28"/>
  <c r="CT675" i="28"/>
  <c r="CU687" i="28"/>
  <c r="CT687" i="28"/>
  <c r="CU702" i="28"/>
  <c r="CT702" i="28"/>
  <c r="CU712" i="28"/>
  <c r="CT712" i="28"/>
  <c r="CU725" i="28"/>
  <c r="CT725" i="28"/>
  <c r="CU745" i="28"/>
  <c r="CT745" i="28"/>
  <c r="CU756" i="28"/>
  <c r="CT756" i="28"/>
  <c r="CU763" i="28"/>
  <c r="CT763" i="28"/>
  <c r="CT778" i="28"/>
  <c r="CU778" i="28"/>
  <c r="CU788" i="28"/>
  <c r="CT788" i="28"/>
  <c r="CU798" i="28"/>
  <c r="CT798" i="28"/>
  <c r="CU816" i="28"/>
  <c r="CT816" i="28"/>
  <c r="CU829" i="28"/>
  <c r="CT829" i="28"/>
  <c r="CU845" i="28"/>
  <c r="CT845" i="28"/>
  <c r="CU863" i="28"/>
  <c r="CT863" i="28"/>
  <c r="CU874" i="28"/>
  <c r="CT874" i="28"/>
  <c r="CU884" i="28"/>
  <c r="CT884" i="28"/>
  <c r="CU896" i="28"/>
  <c r="CT896" i="28"/>
  <c r="CU913" i="28"/>
  <c r="CT913" i="28"/>
  <c r="CU923" i="28"/>
  <c r="CT923" i="28"/>
  <c r="CU932" i="28"/>
  <c r="CT932" i="28"/>
  <c r="CU941" i="28"/>
  <c r="CT941" i="28"/>
  <c r="CU955" i="28"/>
  <c r="CT955" i="28"/>
  <c r="CU964" i="28"/>
  <c r="CT964" i="28"/>
  <c r="CU971" i="28"/>
  <c r="CT971" i="28"/>
  <c r="CU981" i="28"/>
  <c r="CT981" i="28"/>
  <c r="CU990" i="28"/>
  <c r="CT990" i="28"/>
  <c r="CU480" i="28"/>
  <c r="CT480" i="28"/>
  <c r="CU554" i="28"/>
  <c r="CT554" i="28"/>
  <c r="CU653" i="28"/>
  <c r="CT653" i="28"/>
  <c r="CU685" i="28"/>
  <c r="CT685" i="28"/>
  <c r="CU735" i="28"/>
  <c r="CT735" i="28"/>
  <c r="CU749" i="28"/>
  <c r="CT749" i="28"/>
  <c r="CU814" i="28"/>
  <c r="CT814" i="28"/>
  <c r="CU835" i="28"/>
  <c r="CT835" i="28"/>
  <c r="CU908" i="28"/>
  <c r="CT908" i="28"/>
  <c r="CU946" i="28"/>
  <c r="CT946" i="28"/>
  <c r="CU977" i="28"/>
  <c r="CT977" i="28"/>
  <c r="CU983" i="28"/>
  <c r="CT983" i="28"/>
  <c r="CU1030" i="28"/>
  <c r="CT1030" i="28"/>
  <c r="CU1040" i="28"/>
  <c r="CT1040" i="28"/>
  <c r="CU1048" i="28"/>
  <c r="CT1048" i="28"/>
  <c r="CU1058" i="28"/>
  <c r="CT1058" i="28"/>
  <c r="CU1069" i="28"/>
  <c r="CT1069" i="28"/>
  <c r="CU1086" i="28"/>
  <c r="CT1086" i="28"/>
  <c r="CU1097" i="28"/>
  <c r="CT1097" i="28"/>
  <c r="CU330" i="28"/>
  <c r="CT330" i="28"/>
  <c r="CU510" i="28"/>
  <c r="CT510" i="28"/>
  <c r="CU671" i="28"/>
  <c r="CT671" i="28"/>
  <c r="CU282" i="28"/>
  <c r="CT282" i="28"/>
  <c r="CU527" i="28"/>
  <c r="CT527" i="28"/>
  <c r="CU560" i="28"/>
  <c r="CT560" i="28"/>
  <c r="CU701" i="28"/>
  <c r="CT701" i="28"/>
  <c r="CU737" i="28"/>
  <c r="CT737" i="28"/>
  <c r="CU812" i="28"/>
  <c r="CT812" i="28"/>
  <c r="CU870" i="28"/>
  <c r="CT870" i="28"/>
  <c r="CU993" i="28"/>
  <c r="CT993" i="28"/>
  <c r="CU662" i="28"/>
  <c r="CT662" i="28"/>
  <c r="CU210" i="28"/>
  <c r="CT210" i="28"/>
  <c r="CU394" i="28"/>
  <c r="CT394" i="28"/>
  <c r="CU442" i="28"/>
  <c r="CT442" i="28"/>
  <c r="CU556" i="28"/>
  <c r="CT556" i="28"/>
  <c r="CU787" i="28"/>
  <c r="CT787" i="28"/>
  <c r="CU251" i="28"/>
  <c r="CT251" i="28"/>
  <c r="CT258" i="28"/>
  <c r="CU258" i="28"/>
  <c r="CU260" i="28"/>
  <c r="CT260" i="28"/>
  <c r="CU261" i="28"/>
  <c r="CT261" i="28"/>
  <c r="CU281" i="28"/>
  <c r="CT281" i="28"/>
  <c r="CU306" i="28"/>
  <c r="CT306" i="28"/>
  <c r="CU372" i="28"/>
  <c r="CT372" i="28"/>
  <c r="CU485" i="28"/>
  <c r="CT485" i="28"/>
  <c r="CU519" i="28"/>
  <c r="CT519" i="28"/>
  <c r="CU524" i="28"/>
  <c r="CT524" i="28"/>
  <c r="CU528" i="28"/>
  <c r="CT528" i="28"/>
  <c r="CU530" i="28"/>
  <c r="CT530" i="28"/>
  <c r="CU536" i="28"/>
  <c r="CT536" i="28"/>
  <c r="CU552" i="28"/>
  <c r="CT552" i="28"/>
  <c r="CU559" i="28"/>
  <c r="CT559" i="28"/>
  <c r="CU561" i="28"/>
  <c r="CT561" i="28"/>
  <c r="CU644" i="28"/>
  <c r="CT644" i="28"/>
  <c r="CU692" i="28"/>
  <c r="CT692" i="28"/>
  <c r="CU694" i="28"/>
  <c r="CT694" i="28"/>
  <c r="CU696" i="28"/>
  <c r="CT696" i="28"/>
  <c r="CU703" i="28"/>
  <c r="CT703" i="28"/>
  <c r="CU713" i="28"/>
  <c r="CT713" i="28"/>
  <c r="CU721" i="28"/>
  <c r="CT721" i="28"/>
  <c r="CU728" i="28"/>
  <c r="CT728" i="28"/>
  <c r="CU731" i="28"/>
  <c r="CT731" i="28"/>
  <c r="CU733" i="28"/>
  <c r="CT733" i="28"/>
  <c r="CU738" i="28"/>
  <c r="CT738" i="28"/>
  <c r="CT746" i="28"/>
  <c r="CU746" i="28"/>
  <c r="CU772" i="28"/>
  <c r="CT772" i="28"/>
  <c r="CU786" i="28"/>
  <c r="CT786" i="28"/>
  <c r="CU802" i="28"/>
  <c r="CT802" i="28"/>
  <c r="CU807" i="28"/>
  <c r="CT807" i="28"/>
  <c r="CU811" i="28"/>
  <c r="CT811" i="28"/>
  <c r="CU821" i="28"/>
  <c r="CT821" i="28"/>
  <c r="CU827" i="28"/>
  <c r="CT827" i="28"/>
  <c r="CU837" i="28"/>
  <c r="CT837" i="28"/>
  <c r="CU850" i="28"/>
  <c r="CT850" i="28"/>
  <c r="CU867" i="28"/>
  <c r="CT867" i="28"/>
  <c r="CU879" i="28"/>
  <c r="CT879" i="28"/>
  <c r="CU886" i="28"/>
  <c r="CT886" i="28"/>
  <c r="CU906" i="28"/>
  <c r="CT906" i="28"/>
  <c r="CU924" i="28"/>
  <c r="CT924" i="28"/>
  <c r="CU950" i="28"/>
  <c r="CT950" i="28"/>
  <c r="CU952" i="28"/>
  <c r="CT952" i="28"/>
  <c r="CU1005" i="28"/>
  <c r="CT1005" i="28"/>
  <c r="CU532" i="28"/>
  <c r="CT532" i="28"/>
  <c r="CT619" i="28"/>
  <c r="CU619" i="28"/>
  <c r="CU673" i="28"/>
  <c r="CT673" i="28"/>
  <c r="CU1054" i="28"/>
  <c r="CT1054" i="28"/>
  <c r="CU222" i="28"/>
  <c r="CT222" i="28"/>
  <c r="CU280" i="28"/>
  <c r="CT280" i="28"/>
  <c r="CU311" i="28"/>
  <c r="CT311" i="28"/>
  <c r="CT322" i="28"/>
  <c r="CU322" i="28"/>
  <c r="CU338" i="28"/>
  <c r="CT338" i="28"/>
  <c r="CU351" i="28"/>
  <c r="CT351" i="28"/>
  <c r="CU369" i="28"/>
  <c r="CT369" i="28"/>
  <c r="CU388" i="28"/>
  <c r="CT388" i="28"/>
  <c r="CU398" i="28"/>
  <c r="CT398" i="28"/>
  <c r="CU416" i="28"/>
  <c r="CT416" i="28"/>
  <c r="CU428" i="28"/>
  <c r="CT428" i="28"/>
  <c r="CU443" i="28"/>
  <c r="CT443" i="28"/>
  <c r="CU231" i="28"/>
  <c r="CT231" i="28"/>
  <c r="CU360" i="28"/>
  <c r="CT360" i="28"/>
  <c r="CU422" i="28"/>
  <c r="CT422" i="28"/>
  <c r="CU447" i="28"/>
  <c r="CT447" i="28"/>
  <c r="CU461" i="28"/>
  <c r="CT461" i="28"/>
  <c r="CU470" i="28"/>
  <c r="CT470" i="28"/>
  <c r="CU484" i="28"/>
  <c r="CT484" i="28"/>
  <c r="CU503" i="28"/>
  <c r="CT503" i="28"/>
  <c r="CU515" i="28"/>
  <c r="CT515" i="28"/>
  <c r="CU526" i="28"/>
  <c r="CT526" i="28"/>
  <c r="CU566" i="28"/>
  <c r="CT566" i="28"/>
  <c r="CU635" i="28"/>
  <c r="CT635" i="28"/>
  <c r="CU645" i="28"/>
  <c r="CT645" i="28"/>
  <c r="CU656" i="28"/>
  <c r="CT656" i="28"/>
  <c r="CU668" i="28"/>
  <c r="CT668" i="28"/>
  <c r="CU678" i="28"/>
  <c r="CT678" i="28"/>
  <c r="CU689" i="28"/>
  <c r="CT689" i="28"/>
  <c r="CU706" i="28"/>
  <c r="CT706" i="28"/>
  <c r="CU717" i="28"/>
  <c r="CT717" i="28"/>
  <c r="CU730" i="28"/>
  <c r="CT730" i="28"/>
  <c r="CU751" i="28"/>
  <c r="CT751" i="28"/>
  <c r="CU759" i="28"/>
  <c r="CT759" i="28"/>
  <c r="CU768" i="28"/>
  <c r="CT768" i="28"/>
  <c r="CU782" i="28"/>
  <c r="CT782" i="28"/>
  <c r="CU792" i="28"/>
  <c r="CT792" i="28"/>
  <c r="CU803" i="28"/>
  <c r="CT803" i="28"/>
  <c r="CU818" i="28"/>
  <c r="CT818" i="28"/>
  <c r="CU833" i="28"/>
  <c r="CT833" i="28"/>
  <c r="CU848" i="28"/>
  <c r="CT848" i="28"/>
  <c r="CU866" i="28"/>
  <c r="CT866" i="28"/>
  <c r="CU877" i="28"/>
  <c r="CT877" i="28"/>
  <c r="CU891" i="28"/>
  <c r="CT891" i="28"/>
  <c r="CU900" i="28"/>
  <c r="CT900" i="28"/>
  <c r="CU917" i="28"/>
  <c r="CT917" i="28"/>
  <c r="CU927" i="28"/>
  <c r="CT927" i="28"/>
  <c r="CU935" i="28"/>
  <c r="CT935" i="28"/>
  <c r="CU945" i="28"/>
  <c r="CT945" i="28"/>
  <c r="CU957" i="28"/>
  <c r="CT957" i="28"/>
  <c r="CU967" i="28"/>
  <c r="CT967" i="28"/>
  <c r="CU974" i="28"/>
  <c r="CT974" i="28"/>
  <c r="CU985" i="28"/>
  <c r="CT985" i="28"/>
  <c r="CU994" i="28"/>
  <c r="CT994" i="28"/>
  <c r="CU1035" i="28"/>
  <c r="CT1035" i="28"/>
  <c r="CU1043" i="28"/>
  <c r="CT1043" i="28"/>
  <c r="CU1051" i="28"/>
  <c r="CT1051" i="28"/>
  <c r="CU1064" i="28"/>
  <c r="CT1064" i="28"/>
  <c r="CU1083" i="28"/>
  <c r="CT1083" i="28"/>
  <c r="CU1090" i="28"/>
  <c r="CT1090" i="28"/>
  <c r="CU1100" i="28"/>
  <c r="CT1100" i="28"/>
  <c r="N7" i="69"/>
  <c r="O7" i="69"/>
  <c r="CA477" i="28"/>
  <c r="BZ477" i="28"/>
  <c r="CA465" i="28"/>
  <c r="BZ465" i="28"/>
  <c r="CA460" i="28"/>
  <c r="BZ460" i="28"/>
  <c r="CA440" i="28"/>
  <c r="BZ440" i="28"/>
  <c r="CA421" i="28"/>
  <c r="BZ421" i="28"/>
  <c r="CA415" i="28"/>
  <c r="BZ415" i="28"/>
  <c r="CA411" i="28"/>
  <c r="BZ411" i="28"/>
  <c r="CA408" i="28"/>
  <c r="BZ408" i="28"/>
  <c r="CA405" i="28"/>
  <c r="BZ405" i="28"/>
  <c r="CA403" i="28"/>
  <c r="BZ403" i="28"/>
  <c r="CA404" i="28"/>
  <c r="BZ404" i="28"/>
  <c r="CA389" i="28"/>
  <c r="BZ389" i="28"/>
  <c r="CA381" i="28"/>
  <c r="BZ381" i="28"/>
  <c r="CA370" i="28"/>
  <c r="BZ370" i="28"/>
  <c r="CA344" i="28"/>
  <c r="BZ344" i="28"/>
  <c r="CA342" i="28"/>
  <c r="BZ342" i="28"/>
  <c r="CA301" i="28"/>
  <c r="BZ301" i="28"/>
  <c r="CA292" i="28"/>
  <c r="BZ292" i="28"/>
  <c r="CA225" i="28"/>
  <c r="BZ225" i="28"/>
  <c r="CA206" i="28"/>
  <c r="BZ206" i="28"/>
  <c r="CA195" i="28"/>
  <c r="BZ195" i="28"/>
  <c r="CA194" i="28"/>
  <c r="BZ194" i="28"/>
  <c r="CA191" i="28"/>
  <c r="BZ191" i="28"/>
  <c r="BZ457" i="28"/>
  <c r="BZ456" i="28"/>
  <c r="BZ441" i="28"/>
  <c r="BZ434" i="28"/>
  <c r="BZ423" i="28"/>
  <c r="BZ387" i="28"/>
  <c r="BZ383" i="28"/>
  <c r="BZ377" i="28"/>
  <c r="BZ376" i="28"/>
  <c r="BZ371" i="28"/>
  <c r="BZ363" i="28"/>
  <c r="BZ362" i="28"/>
  <c r="BZ358" i="28"/>
  <c r="BZ357" i="28"/>
  <c r="BZ356" i="28"/>
  <c r="BZ354" i="28"/>
  <c r="BZ352" i="28"/>
  <c r="BZ343" i="28"/>
  <c r="BZ336" i="28"/>
  <c r="BZ323" i="28"/>
  <c r="BZ312" i="28"/>
  <c r="BZ310" i="28"/>
  <c r="BZ309" i="28"/>
  <c r="BZ297" i="28"/>
  <c r="BZ296" i="28"/>
  <c r="BZ295" i="28"/>
  <c r="BZ276" i="28"/>
  <c r="BZ264" i="28"/>
  <c r="BZ263" i="28"/>
  <c r="BZ239" i="28"/>
  <c r="BZ236" i="28"/>
  <c r="BZ235" i="28"/>
  <c r="BZ226" i="28"/>
  <c r="BZ221" i="28"/>
  <c r="BZ218" i="28"/>
  <c r="BZ219" i="28"/>
  <c r="BZ216" i="28"/>
  <c r="BZ215" i="28"/>
  <c r="BZ213" i="28"/>
  <c r="BZ212" i="28"/>
  <c r="BZ207" i="28"/>
  <c r="BZ203" i="28"/>
  <c r="BZ192" i="28"/>
  <c r="BY190" i="28"/>
  <c r="BY189" i="28"/>
  <c r="BY188" i="28"/>
  <c r="BY187" i="28"/>
  <c r="BY186" i="28"/>
  <c r="BY185" i="28"/>
  <c r="BY184" i="28"/>
  <c r="BY183" i="28"/>
  <c r="BY182" i="28"/>
  <c r="BY181" i="28"/>
  <c r="BY180" i="28"/>
  <c r="BY178" i="28"/>
  <c r="BY177" i="28"/>
  <c r="BY176" i="28"/>
  <c r="BY175" i="28"/>
  <c r="BY174" i="28"/>
  <c r="BY173" i="28"/>
  <c r="BY172" i="28"/>
  <c r="BY171" i="28"/>
  <c r="BY170" i="28"/>
  <c r="BY169" i="28"/>
  <c r="BY168" i="28"/>
  <c r="BY167" i="28"/>
  <c r="BY166" i="28"/>
  <c r="BY165" i="28"/>
  <c r="BY164" i="28"/>
  <c r="BY163" i="28"/>
  <c r="BY162" i="28"/>
  <c r="BY161" i="28"/>
  <c r="BY160" i="28"/>
  <c r="BY159" i="28"/>
  <c r="BY158" i="28"/>
  <c r="BY157" i="28"/>
  <c r="BY156" i="28"/>
  <c r="BY153" i="28"/>
  <c r="BY151" i="28"/>
  <c r="BY152" i="28"/>
  <c r="BY150" i="28"/>
  <c r="BY149" i="28"/>
  <c r="BY148" i="28"/>
  <c r="BY147" i="28"/>
  <c r="BY146" i="28"/>
  <c r="BY145" i="28"/>
  <c r="BY143" i="28"/>
  <c r="BY144" i="28"/>
  <c r="BY142" i="28"/>
  <c r="BY141" i="28"/>
  <c r="BY139" i="28"/>
  <c r="BY140" i="28"/>
  <c r="BY138" i="28"/>
  <c r="BY137" i="28"/>
  <c r="BY136" i="28"/>
  <c r="BY134" i="28"/>
  <c r="BY135" i="28"/>
  <c r="BY133" i="28"/>
  <c r="BY132" i="28"/>
  <c r="BY131" i="28"/>
  <c r="BY129" i="28"/>
  <c r="BY127" i="28"/>
  <c r="BY128" i="28"/>
  <c r="BY125" i="28"/>
  <c r="BY126" i="28"/>
  <c r="BY122" i="28"/>
  <c r="BY121" i="28"/>
  <c r="BY117" i="28"/>
  <c r="BY116" i="28"/>
  <c r="BY115" i="28"/>
  <c r="BY114" i="28"/>
  <c r="BY113" i="28"/>
  <c r="BY112" i="28"/>
  <c r="BY111" i="28"/>
  <c r="BY108" i="28"/>
  <c r="BY106" i="28"/>
  <c r="BY105" i="28"/>
  <c r="BY104" i="28"/>
  <c r="BY103" i="28"/>
  <c r="BY102" i="28"/>
  <c r="BY101" i="28"/>
  <c r="BY100" i="28"/>
  <c r="BY96" i="28"/>
  <c r="BY94" i="28"/>
  <c r="BY91" i="28"/>
  <c r="BY90" i="28"/>
  <c r="BY87" i="28"/>
  <c r="BY88" i="28"/>
  <c r="BY84" i="28"/>
  <c r="BY78" i="28"/>
  <c r="BY70" i="28"/>
  <c r="BY67" i="28"/>
  <c r="BY68" i="28"/>
  <c r="BY69" i="28"/>
  <c r="BY65" i="28"/>
  <c r="BY66" i="28"/>
  <c r="BY64" i="28"/>
  <c r="BY63" i="28"/>
  <c r="BY60" i="28"/>
  <c r="BY59" i="28"/>
  <c r="BY58" i="28"/>
  <c r="BY56" i="28"/>
  <c r="BY55" i="28"/>
  <c r="BY54" i="28"/>
  <c r="BY53" i="28"/>
  <c r="BY52" i="28"/>
  <c r="BY45" i="28"/>
  <c r="BY44" i="28"/>
  <c r="BY43" i="28"/>
  <c r="BY42" i="28"/>
  <c r="BY40" i="28"/>
  <c r="BY39" i="28"/>
  <c r="BY38" i="28"/>
  <c r="BY37" i="28"/>
  <c r="BY36" i="28"/>
  <c r="BY34" i="28"/>
  <c r="BY33" i="28"/>
  <c r="BY31" i="28"/>
  <c r="BY22" i="28"/>
  <c r="BY21" i="28"/>
  <c r="BY20" i="28"/>
  <c r="BY17" i="28"/>
  <c r="BY15" i="28"/>
  <c r="BY13" i="28"/>
  <c r="BY14" i="28"/>
  <c r="BY12" i="28"/>
  <c r="BY11" i="28"/>
  <c r="BY10" i="28"/>
  <c r="BY9" i="28"/>
  <c r="BY8" i="28"/>
  <c r="BY7" i="28"/>
  <c r="BY6" i="28"/>
  <c r="BY5" i="28"/>
  <c r="BY4" i="28"/>
  <c r="BY2" i="28"/>
  <c r="BY3" i="28"/>
  <c r="BY179" i="28"/>
  <c r="BY155" i="28"/>
  <c r="BY154" i="28"/>
  <c r="BY130" i="28"/>
  <c r="BY123" i="28"/>
  <c r="BY124" i="28"/>
  <c r="BY120" i="28"/>
  <c r="BY119" i="28"/>
  <c r="BY118" i="28"/>
  <c r="BY109" i="28"/>
  <c r="BY110" i="28"/>
  <c r="BY107" i="28"/>
  <c r="BY99" i="28"/>
  <c r="BY98" i="28"/>
  <c r="BY97" i="28"/>
  <c r="BY95" i="28"/>
  <c r="BY93" i="28"/>
  <c r="BY92" i="28"/>
  <c r="BY89" i="28"/>
  <c r="BY86" i="28"/>
  <c r="BY85" i="28"/>
  <c r="BY83" i="28"/>
  <c r="BY82" i="28"/>
  <c r="BY79" i="28"/>
  <c r="BY80" i="28"/>
  <c r="BY81" i="28"/>
  <c r="BY77" i="28"/>
  <c r="BY75" i="28"/>
  <c r="BY76" i="28"/>
  <c r="BY73" i="28"/>
  <c r="BY74" i="28"/>
  <c r="BY71" i="28"/>
  <c r="BY72" i="28"/>
  <c r="BY62" i="28"/>
  <c r="BY61" i="28"/>
  <c r="BY57" i="28"/>
  <c r="BY51" i="28"/>
  <c r="BY50" i="28"/>
  <c r="BY49" i="28"/>
  <c r="BY48" i="28"/>
  <c r="BY47" i="28"/>
  <c r="BY46" i="28"/>
  <c r="BY41" i="28"/>
  <c r="BY35" i="28"/>
  <c r="BY32" i="28"/>
  <c r="BY30" i="28"/>
  <c r="BY28" i="28"/>
  <c r="BY29" i="28"/>
  <c r="BY26" i="28"/>
  <c r="BY27" i="28"/>
  <c r="BY25" i="28"/>
  <c r="BY24" i="28"/>
  <c r="BY23" i="28"/>
  <c r="BY19" i="28"/>
  <c r="BY18" i="28"/>
  <c r="BY16" i="28"/>
  <c r="CD1200" i="28"/>
  <c r="CD1201" i="28"/>
  <c r="CD1202" i="28"/>
  <c r="CU343" i="28" l="1"/>
  <c r="CT343" i="28"/>
  <c r="CU1201" i="28"/>
  <c r="CT1201" i="28"/>
  <c r="CU371" i="28"/>
  <c r="CT371" i="28"/>
  <c r="CU389" i="28"/>
  <c r="CT389" i="28"/>
  <c r="CU296" i="28"/>
  <c r="CT296" i="28"/>
  <c r="CU212" i="28"/>
  <c r="CT212" i="28"/>
  <c r="CU235" i="28"/>
  <c r="CT235" i="28"/>
  <c r="CU297" i="28"/>
  <c r="CT297" i="28"/>
  <c r="CT354" i="28"/>
  <c r="CU354" i="28"/>
  <c r="CU377" i="28"/>
  <c r="CT377" i="28"/>
  <c r="CU191" i="28"/>
  <c r="CT191" i="28"/>
  <c r="CU225" i="28"/>
  <c r="CT225" i="28"/>
  <c r="CU344" i="28"/>
  <c r="CT344" i="28"/>
  <c r="CU404" i="28"/>
  <c r="CT404" i="28"/>
  <c r="CU411" i="28"/>
  <c r="CT411" i="28"/>
  <c r="CU460" i="28"/>
  <c r="CT460" i="28"/>
  <c r="CU295" i="28"/>
  <c r="CT295" i="28"/>
  <c r="CU342" i="28"/>
  <c r="CT342" i="28"/>
  <c r="CU408" i="28"/>
  <c r="CT408" i="28"/>
  <c r="CU207" i="28"/>
  <c r="CT207" i="28"/>
  <c r="CU213" i="28"/>
  <c r="CT213" i="28"/>
  <c r="CU236" i="28"/>
  <c r="CT236" i="28"/>
  <c r="CU309" i="28"/>
  <c r="CT309" i="28"/>
  <c r="CU356" i="28"/>
  <c r="CT356" i="28"/>
  <c r="CU383" i="28"/>
  <c r="CT383" i="28"/>
  <c r="CU457" i="28"/>
  <c r="CT457" i="28"/>
  <c r="CU370" i="28"/>
  <c r="CT370" i="28"/>
  <c r="CU203" i="28"/>
  <c r="CT203" i="28"/>
  <c r="CU456" i="28"/>
  <c r="CT456" i="28"/>
  <c r="CU352" i="28"/>
  <c r="CT352" i="28"/>
  <c r="CU215" i="28"/>
  <c r="CT215" i="28"/>
  <c r="CU357" i="28"/>
  <c r="CT357" i="28"/>
  <c r="CU194" i="28"/>
  <c r="CT194" i="28"/>
  <c r="CU415" i="28"/>
  <c r="CT415" i="28"/>
  <c r="CU216" i="28"/>
  <c r="CT216" i="28"/>
  <c r="CU263" i="28"/>
  <c r="CT263" i="28"/>
  <c r="CU312" i="28"/>
  <c r="CT312" i="28"/>
  <c r="CU358" i="28"/>
  <c r="CT358" i="28"/>
  <c r="CU423" i="28"/>
  <c r="CT423" i="28"/>
  <c r="CU221" i="28"/>
  <c r="CT221" i="28"/>
  <c r="CU206" i="28"/>
  <c r="CT206" i="28"/>
  <c r="CU440" i="28"/>
  <c r="CT440" i="28"/>
  <c r="CU1200" i="28"/>
  <c r="CT1200" i="28"/>
  <c r="CU226" i="28"/>
  <c r="CT226" i="28"/>
  <c r="CU376" i="28"/>
  <c r="CT376" i="28"/>
  <c r="CU239" i="28"/>
  <c r="CT239" i="28"/>
  <c r="CU387" i="28"/>
  <c r="CT387" i="28"/>
  <c r="CU292" i="28"/>
  <c r="CT292" i="28"/>
  <c r="CU465" i="28"/>
  <c r="CT465" i="28"/>
  <c r="CU264" i="28"/>
  <c r="CT264" i="28"/>
  <c r="CT362" i="28"/>
  <c r="CU362" i="28"/>
  <c r="CU195" i="28"/>
  <c r="CT195" i="28"/>
  <c r="CU301" i="28"/>
  <c r="CT301" i="28"/>
  <c r="CU381" i="28"/>
  <c r="CT381" i="28"/>
  <c r="CU405" i="28"/>
  <c r="CT405" i="28"/>
  <c r="CU477" i="28"/>
  <c r="CT477" i="28"/>
  <c r="CU310" i="28"/>
  <c r="CT310" i="28"/>
  <c r="CU403" i="28"/>
  <c r="CT403" i="28"/>
  <c r="CU219" i="28"/>
  <c r="CT219" i="28"/>
  <c r="CU323" i="28"/>
  <c r="CT323" i="28"/>
  <c r="CU434" i="28"/>
  <c r="CT434" i="28"/>
  <c r="CU421" i="28"/>
  <c r="CT421" i="28"/>
  <c r="CU1202" i="28"/>
  <c r="CT1202" i="28"/>
  <c r="CU192" i="28"/>
  <c r="CT192" i="28"/>
  <c r="CU218" i="28"/>
  <c r="CT218" i="28"/>
  <c r="CU276" i="28"/>
  <c r="CT276" i="28"/>
  <c r="CU336" i="28"/>
  <c r="CT336" i="28"/>
  <c r="CU363" i="28"/>
  <c r="CT363" i="28"/>
  <c r="CU441" i="28"/>
  <c r="CT441" i="28"/>
  <c r="L7" i="69"/>
  <c r="CC547" i="28"/>
  <c r="K7" i="69" s="1"/>
  <c r="CB547" i="28"/>
  <c r="CA547" i="28"/>
  <c r="CT547" i="28" l="1"/>
  <c r="CU547" i="28"/>
  <c r="CB859" i="28"/>
  <c r="CB858" i="28"/>
  <c r="CB857" i="28"/>
  <c r="CB856" i="28"/>
  <c r="CB855" i="28"/>
  <c r="CB854" i="28"/>
  <c r="CB853" i="28"/>
  <c r="CA508" i="28"/>
  <c r="CA507" i="28"/>
  <c r="CA506" i="28"/>
  <c r="CA505" i="28"/>
  <c r="CU854" i="28" l="1"/>
  <c r="CT854" i="28"/>
  <c r="CU853" i="28"/>
  <c r="CT853" i="28"/>
  <c r="CU508" i="28"/>
  <c r="CT508" i="28"/>
  <c r="CU857" i="28"/>
  <c r="CT857" i="28"/>
  <c r="CU855" i="28"/>
  <c r="CT855" i="28"/>
  <c r="CU856" i="28"/>
  <c r="CT856" i="28"/>
  <c r="CU505" i="28"/>
  <c r="CT505" i="28"/>
  <c r="CU506" i="28"/>
  <c r="CT506" i="28"/>
  <c r="CU858" i="28"/>
  <c r="CT858" i="28"/>
  <c r="CU507" i="28"/>
  <c r="CT507" i="28"/>
  <c r="CU859" i="28"/>
  <c r="CT859" i="28"/>
  <c r="CA201" i="28"/>
  <c r="CU201" i="28" l="1"/>
  <c r="CT201" i="28"/>
  <c r="BZ375" i="28"/>
  <c r="BZ374" i="28"/>
  <c r="CU374" i="28" l="1"/>
  <c r="CT374" i="28"/>
  <c r="CU375" i="28"/>
  <c r="CT375" i="28"/>
  <c r="CA1057" i="28"/>
  <c r="CA820" i="28"/>
  <c r="CA780" i="28"/>
  <c r="CB771" i="28"/>
  <c r="CB770" i="28"/>
  <c r="CB643" i="28"/>
  <c r="CB774" i="28"/>
  <c r="CB851" i="28"/>
  <c r="CB825" i="28"/>
  <c r="CA654" i="28"/>
  <c r="CA289" i="28"/>
  <c r="CA843" i="28"/>
  <c r="CA844" i="28"/>
  <c r="CA842" i="28"/>
  <c r="BZ314" i="28"/>
  <c r="BZ313" i="28"/>
  <c r="CA796" i="28"/>
  <c r="CU780" i="28" l="1"/>
  <c r="CT780" i="28"/>
  <c r="CU289" i="28"/>
  <c r="CT289" i="28"/>
  <c r="CU654" i="28"/>
  <c r="CT654" i="28"/>
  <c r="CU820" i="28"/>
  <c r="CT820" i="28"/>
  <c r="CU843" i="28"/>
  <c r="CT843" i="28"/>
  <c r="CU796" i="28"/>
  <c r="CT796" i="28"/>
  <c r="CU313" i="28"/>
  <c r="CT313" i="28"/>
  <c r="CU771" i="28"/>
  <c r="CT771" i="28"/>
  <c r="CU1057" i="28"/>
  <c r="CT1057" i="28"/>
  <c r="CU851" i="28"/>
  <c r="CT851" i="28"/>
  <c r="CU314" i="28"/>
  <c r="CT314" i="28"/>
  <c r="CU842" i="28"/>
  <c r="CT842" i="28"/>
  <c r="CU643" i="28"/>
  <c r="CT643" i="28"/>
  <c r="CU825" i="28"/>
  <c r="CT825" i="28"/>
  <c r="CU774" i="28"/>
  <c r="CT774" i="28"/>
  <c r="CU844" i="28"/>
  <c r="CT844" i="28"/>
  <c r="CT770" i="28"/>
  <c r="CU770" i="28"/>
  <c r="CA869" i="28"/>
  <c r="CA275" i="28"/>
  <c r="CA274" i="28"/>
  <c r="CA905" i="28"/>
  <c r="CA904" i="28"/>
  <c r="CA903" i="28"/>
  <c r="CB912" i="28"/>
  <c r="CB911" i="28"/>
  <c r="BZ199" i="28"/>
  <c r="CB283" i="28"/>
  <c r="CB284" i="28"/>
  <c r="CU904" i="28" l="1"/>
  <c r="CT904" i="28"/>
  <c r="CU903" i="28"/>
  <c r="CT903" i="28"/>
  <c r="CU905" i="28"/>
  <c r="CT905" i="28"/>
  <c r="CU274" i="28"/>
  <c r="CT274" i="28"/>
  <c r="CU275" i="28"/>
  <c r="CT275" i="28"/>
  <c r="H7" i="69"/>
  <c r="CU199" i="28"/>
  <c r="CT199" i="28"/>
  <c r="CU911" i="28"/>
  <c r="CT911" i="28"/>
  <c r="CU284" i="28"/>
  <c r="CT284" i="28"/>
  <c r="CU283" i="28"/>
  <c r="CT283" i="28"/>
  <c r="CU869" i="28"/>
  <c r="CT869" i="28"/>
  <c r="CU912" i="28"/>
  <c r="CT912" i="28"/>
  <c r="I7" i="69"/>
  <c r="CE1002" i="28"/>
  <c r="CU1002" i="28" s="1"/>
  <c r="CE1004" i="28"/>
  <c r="CU1004" i="28" s="1"/>
  <c r="CE1003" i="28"/>
  <c r="CU1003" i="28" s="1"/>
  <c r="CB1000" i="28"/>
  <c r="CB1001" i="28"/>
  <c r="CB998" i="28"/>
  <c r="CB999" i="28"/>
  <c r="CU999" i="28" l="1"/>
  <c r="CT999" i="28"/>
  <c r="CU998" i="28"/>
  <c r="CT998" i="28"/>
  <c r="J7" i="69"/>
  <c r="CU1000" i="28"/>
  <c r="CT1000" i="28"/>
  <c r="CU1001" i="28"/>
  <c r="CT1001" i="28"/>
  <c r="M7" i="69"/>
  <c r="J268" i="22"/>
  <c r="L256" i="22" l="1"/>
  <c r="K246" i="22" l="1"/>
  <c r="H210" i="22" l="1"/>
  <c r="J210" i="22" s="1"/>
  <c r="G210" i="22" s="1"/>
  <c r="K167" i="22"/>
  <c r="D167" i="22" s="1"/>
  <c r="I167" i="22"/>
  <c r="F167" i="22" s="1"/>
  <c r="K156" i="22"/>
  <c r="D156" i="22" s="1"/>
  <c r="I156" i="22"/>
  <c r="F156" i="22" s="1"/>
  <c r="D129" i="22"/>
  <c r="F129" i="22"/>
  <c r="B129" i="22"/>
  <c r="E349" i="22" l="1"/>
  <c r="E339" i="22"/>
  <c r="C210" i="22"/>
  <c r="E210" i="22"/>
  <c r="I210" i="22"/>
  <c r="J167" i="22"/>
  <c r="H167" i="22"/>
  <c r="J156" i="22"/>
  <c r="H156" i="22"/>
  <c r="H129" i="22"/>
  <c r="J129" i="22"/>
  <c r="G129" i="22" s="1"/>
  <c r="F130" i="22"/>
  <c r="D130" i="22"/>
  <c r="B130" i="22"/>
  <c r="E129" i="22" l="1"/>
  <c r="C129" i="22"/>
  <c r="I129" i="22"/>
  <c r="J11" i="22" l="1"/>
  <c r="K10" i="22"/>
  <c r="K9" i="22"/>
  <c r="I33" i="22"/>
  <c r="I32" i="22"/>
  <c r="J33" i="22" l="1"/>
  <c r="J32" i="22"/>
  <c r="I34" i="22"/>
  <c r="K11" i="22"/>
  <c r="G6" i="69" s="1"/>
  <c r="L10" i="22"/>
  <c r="L9" i="22"/>
  <c r="I22" i="22" l="1"/>
  <c r="D39" i="22"/>
  <c r="L266" i="22" l="1"/>
  <c r="E279" i="22"/>
  <c r="I324" i="22"/>
  <c r="E290" i="22"/>
  <c r="C324" i="22"/>
  <c r="G290" i="22"/>
  <c r="D292" i="22"/>
  <c r="F334" i="22"/>
  <c r="E287" i="22"/>
  <c r="F338" i="22"/>
  <c r="F335" i="22"/>
  <c r="D312" i="22"/>
  <c r="H310" i="22"/>
  <c r="H324" i="22"/>
  <c r="D290" i="22"/>
  <c r="D300" i="22"/>
  <c r="G277" i="22"/>
  <c r="G301" i="22"/>
  <c r="F333" i="22"/>
  <c r="C308" i="22"/>
  <c r="E280" i="22"/>
  <c r="I300" i="22"/>
  <c r="F345" i="22"/>
  <c r="F310" i="22"/>
  <c r="D275" i="22"/>
  <c r="D293" i="22"/>
  <c r="I322" i="22"/>
  <c r="I320" i="22"/>
  <c r="E310" i="22"/>
  <c r="J300" i="22"/>
  <c r="G324" i="22"/>
  <c r="G300" i="22"/>
  <c r="G292" i="22"/>
  <c r="D282" i="22"/>
  <c r="E284" i="22"/>
  <c r="M252" i="22"/>
  <c r="G287" i="22"/>
  <c r="E276" i="22"/>
  <c r="E282" i="22"/>
  <c r="G320" i="22"/>
  <c r="F301" i="22"/>
  <c r="J301" i="22"/>
  <c r="D277" i="22"/>
  <c r="E322" i="22"/>
  <c r="D286" i="22"/>
  <c r="G310" i="22"/>
  <c r="D284" i="22"/>
  <c r="E274" i="22"/>
  <c r="K265" i="22"/>
  <c r="D278" i="22"/>
  <c r="F343" i="22"/>
  <c r="D289" i="22"/>
  <c r="H308" i="22"/>
  <c r="D274" i="22"/>
  <c r="K262" i="22"/>
  <c r="E275" i="22"/>
  <c r="F312" i="22"/>
  <c r="F320" i="22"/>
  <c r="G281" i="22"/>
  <c r="I301" i="22"/>
  <c r="G278" i="22"/>
  <c r="K263" i="22"/>
  <c r="G322" i="22"/>
  <c r="D320" i="22"/>
  <c r="G283" i="22"/>
  <c r="F308" i="22"/>
  <c r="G286" i="22"/>
  <c r="F344" i="22"/>
  <c r="F324" i="22"/>
  <c r="F346" i="22"/>
  <c r="C320" i="22"/>
  <c r="D279" i="22"/>
  <c r="C301" i="22"/>
  <c r="E320" i="22"/>
  <c r="E308" i="22"/>
  <c r="E292" i="22"/>
  <c r="D281" i="22"/>
  <c r="I312" i="22"/>
  <c r="G289" i="22"/>
  <c r="C300" i="22"/>
  <c r="G284" i="22"/>
  <c r="G274" i="22"/>
  <c r="M253" i="22"/>
  <c r="D280" i="22"/>
  <c r="C322" i="22"/>
  <c r="D308" i="22"/>
  <c r="H320" i="22"/>
  <c r="D283" i="22"/>
  <c r="G291" i="22"/>
  <c r="E286" i="22"/>
  <c r="D322" i="22"/>
  <c r="K261" i="22"/>
  <c r="E281" i="22"/>
  <c r="E278" i="22"/>
  <c r="E291" i="22"/>
  <c r="H322" i="22"/>
  <c r="F322" i="22"/>
  <c r="F348" i="22"/>
  <c r="D301" i="22"/>
  <c r="I310" i="22"/>
  <c r="D287" i="22"/>
  <c r="C310" i="22"/>
  <c r="G280" i="22"/>
  <c r="E312" i="22"/>
  <c r="E285" i="22"/>
  <c r="G275" i="22"/>
  <c r="E277" i="22"/>
  <c r="M251" i="22"/>
  <c r="D285" i="22"/>
  <c r="F300" i="22"/>
  <c r="G282" i="22"/>
  <c r="E283" i="22"/>
  <c r="E289" i="22"/>
  <c r="K267" i="22"/>
  <c r="D310" i="22"/>
  <c r="G285" i="22"/>
  <c r="D288" i="22"/>
  <c r="G312" i="22"/>
  <c r="G276" i="22"/>
  <c r="E288" i="22"/>
  <c r="H312" i="22"/>
  <c r="D324" i="22"/>
  <c r="E324" i="22"/>
  <c r="M254" i="22"/>
  <c r="D276" i="22"/>
  <c r="C312" i="22"/>
  <c r="F337" i="22"/>
  <c r="E293" i="22"/>
  <c r="F347" i="22"/>
  <c r="I308" i="22"/>
  <c r="G279" i="22"/>
  <c r="G308" i="22"/>
  <c r="D291" i="22"/>
  <c r="K264" i="22"/>
  <c r="G293" i="22"/>
  <c r="G288" i="22"/>
  <c r="G333" i="22" l="1"/>
  <c r="G346" i="22"/>
  <c r="G344" i="22"/>
  <c r="G345" i="22"/>
  <c r="G347" i="22"/>
  <c r="F349" i="22"/>
  <c r="G343" i="22"/>
  <c r="G348" i="22"/>
  <c r="G335" i="22"/>
  <c r="F339" i="22"/>
  <c r="G337" i="22"/>
  <c r="G336" i="22"/>
  <c r="G334" i="22"/>
  <c r="G338" i="22"/>
  <c r="N251" i="22"/>
  <c r="N252" i="22"/>
  <c r="N253" i="22"/>
  <c r="N254" i="22"/>
  <c r="K268" i="22"/>
  <c r="L261" i="22"/>
  <c r="L262" i="22"/>
  <c r="L263" i="22"/>
  <c r="L264" i="22"/>
  <c r="L265" i="22"/>
  <c r="L267" i="22"/>
  <c r="I166" i="22"/>
  <c r="D211" i="22"/>
  <c r="E189" i="22"/>
  <c r="L241" i="22"/>
  <c r="C189" i="22"/>
  <c r="D189" i="22"/>
  <c r="B233" i="22"/>
  <c r="B211" i="22"/>
  <c r="F211" i="22"/>
  <c r="L245" i="22"/>
  <c r="L244" i="22"/>
  <c r="E168" i="22"/>
  <c r="M255" i="22"/>
  <c r="D233" i="22"/>
  <c r="B189" i="22"/>
  <c r="L243" i="22"/>
  <c r="C233" i="22"/>
  <c r="L242" i="22"/>
  <c r="C168" i="22"/>
  <c r="E233" i="22"/>
  <c r="G168" i="22"/>
  <c r="M256" i="22" l="1"/>
  <c r="N255" i="22"/>
  <c r="L246" i="22"/>
  <c r="M241" i="22"/>
  <c r="M242" i="22"/>
  <c r="M243" i="22"/>
  <c r="M244" i="22"/>
  <c r="M245" i="22"/>
  <c r="B234" i="22"/>
  <c r="F233" i="22"/>
  <c r="F234" i="22" s="1"/>
  <c r="B212" i="22"/>
  <c r="D212" i="22"/>
  <c r="D234" i="22"/>
  <c r="C234" i="22"/>
  <c r="G233" i="22"/>
  <c r="G234" i="22" s="1"/>
  <c r="F212" i="22"/>
  <c r="H211" i="22"/>
  <c r="E234" i="22"/>
  <c r="B190" i="22"/>
  <c r="F189" i="22"/>
  <c r="F190" i="22" s="1"/>
  <c r="C190" i="22"/>
  <c r="G189" i="22"/>
  <c r="G190" i="22" s="1"/>
  <c r="D190" i="22"/>
  <c r="E190" i="22"/>
  <c r="K168" i="22"/>
  <c r="D168" i="22" s="1"/>
  <c r="I168" i="22"/>
  <c r="G169" i="22"/>
  <c r="E169" i="22"/>
  <c r="C169" i="22"/>
  <c r="H127" i="22"/>
  <c r="I68" i="22"/>
  <c r="F53" i="22"/>
  <c r="H58" i="22"/>
  <c r="J59" i="22"/>
  <c r="H55" i="22"/>
  <c r="C157" i="22"/>
  <c r="D104" i="22"/>
  <c r="I53" i="22"/>
  <c r="D41" i="22"/>
  <c r="D98" i="22"/>
  <c r="K56" i="22"/>
  <c r="E58" i="22"/>
  <c r="H59" i="22"/>
  <c r="I56" i="22"/>
  <c r="E103" i="22"/>
  <c r="H68" i="22"/>
  <c r="D105" i="22"/>
  <c r="D57" i="22"/>
  <c r="F71" i="22"/>
  <c r="I59" i="22"/>
  <c r="K55" i="22"/>
  <c r="H53" i="22"/>
  <c r="D59" i="22"/>
  <c r="I70" i="22"/>
  <c r="H69" i="22"/>
  <c r="K53" i="22"/>
  <c r="G69" i="22"/>
  <c r="I58" i="22"/>
  <c r="F67" i="22"/>
  <c r="F57" i="22"/>
  <c r="D72" i="22"/>
  <c r="H56" i="22"/>
  <c r="D54" i="22"/>
  <c r="G68" i="22"/>
  <c r="J56" i="22"/>
  <c r="D58" i="22"/>
  <c r="F68" i="22"/>
  <c r="D53" i="22"/>
  <c r="E59" i="22"/>
  <c r="E72" i="22"/>
  <c r="K59" i="22"/>
  <c r="F103" i="22"/>
  <c r="F41" i="22"/>
  <c r="J57" i="22"/>
  <c r="I71" i="22"/>
  <c r="G71" i="22"/>
  <c r="G57" i="22"/>
  <c r="G56" i="22"/>
  <c r="G157" i="22"/>
  <c r="E105" i="22"/>
  <c r="G67" i="22"/>
  <c r="F54" i="22"/>
  <c r="E67" i="22"/>
  <c r="D103" i="22"/>
  <c r="E68" i="22"/>
  <c r="G53" i="22"/>
  <c r="E70" i="22"/>
  <c r="J53" i="22"/>
  <c r="I67" i="22"/>
  <c r="F59" i="22"/>
  <c r="E54" i="22"/>
  <c r="G59" i="22"/>
  <c r="D69" i="22"/>
  <c r="E57" i="22"/>
  <c r="C93" i="22"/>
  <c r="I54" i="22"/>
  <c r="D71" i="22"/>
  <c r="G55" i="22"/>
  <c r="G41" i="22"/>
  <c r="E157" i="22"/>
  <c r="D55" i="22"/>
  <c r="J54" i="22"/>
  <c r="D67" i="22"/>
  <c r="E98" i="22"/>
  <c r="F105" i="22"/>
  <c r="H54" i="22"/>
  <c r="E104" i="22"/>
  <c r="E97" i="22"/>
  <c r="H67" i="22"/>
  <c r="F104" i="22"/>
  <c r="G54" i="22"/>
  <c r="K57" i="22"/>
  <c r="B93" i="22"/>
  <c r="H70" i="22"/>
  <c r="K58" i="22"/>
  <c r="D93" i="22"/>
  <c r="D97" i="22"/>
  <c r="F69" i="22"/>
  <c r="E55" i="22"/>
  <c r="J58" i="22"/>
  <c r="F58" i="22"/>
  <c r="D68" i="22"/>
  <c r="H72" i="22"/>
  <c r="C97" i="22"/>
  <c r="C98" i="22"/>
  <c r="J55" i="22"/>
  <c r="G72" i="22"/>
  <c r="F55" i="22"/>
  <c r="I57" i="22"/>
  <c r="E53" i="22"/>
  <c r="G70" i="22"/>
  <c r="K54" i="22"/>
  <c r="G58" i="22"/>
  <c r="D70" i="22"/>
  <c r="E56" i="22"/>
  <c r="D56" i="22"/>
  <c r="E69" i="22"/>
  <c r="E41" i="22"/>
  <c r="F70" i="22"/>
  <c r="F56" i="22"/>
  <c r="I55" i="22"/>
  <c r="H71" i="22"/>
  <c r="I72" i="22"/>
  <c r="F72" i="22"/>
  <c r="H57" i="22"/>
  <c r="I69" i="22"/>
  <c r="E71" i="22"/>
  <c r="L55" i="22" l="1"/>
  <c r="P55" i="22" s="1"/>
  <c r="M55" i="22"/>
  <c r="Q55" i="22" s="1"/>
  <c r="J211" i="22"/>
  <c r="I211" i="22" s="1"/>
  <c r="J168" i="22"/>
  <c r="F168" i="22"/>
  <c r="H168" i="22"/>
  <c r="K157" i="22"/>
  <c r="C158" i="22"/>
  <c r="I157" i="22"/>
  <c r="E158" i="22"/>
  <c r="G158" i="22"/>
  <c r="J128" i="22"/>
  <c r="H128" i="22"/>
  <c r="H130" i="22" s="1"/>
  <c r="D60" i="22"/>
  <c r="D44" i="22"/>
  <c r="E44" i="22"/>
  <c r="E43" i="22"/>
  <c r="G45" i="22"/>
  <c r="D43" i="22"/>
  <c r="F45" i="22"/>
  <c r="E128" i="22" l="1"/>
  <c r="E211" i="22"/>
  <c r="C211" i="22"/>
  <c r="G211" i="22"/>
  <c r="J157" i="22"/>
  <c r="H157" i="22"/>
  <c r="F157" i="22"/>
  <c r="D157" i="22"/>
  <c r="I128" i="22"/>
  <c r="G128" i="22"/>
  <c r="C128" i="22"/>
  <c r="H44" i="22"/>
  <c r="I44" i="22"/>
  <c r="H45" i="22"/>
  <c r="I45" i="22"/>
  <c r="D40" i="22"/>
  <c r="F39" i="22"/>
  <c r="G40" i="22"/>
  <c r="F40" i="22"/>
  <c r="F42" i="22"/>
  <c r="E39" i="22"/>
  <c r="G39" i="22"/>
  <c r="E42" i="22"/>
  <c r="D42" i="22"/>
  <c r="E40" i="22"/>
  <c r="G42" i="22"/>
  <c r="D46" i="22" l="1"/>
  <c r="E46" i="22"/>
  <c r="F46" i="22"/>
  <c r="G46" i="22"/>
  <c r="H34" i="22"/>
  <c r="F6" i="69" l="1"/>
  <c r="C12" i="69" l="1"/>
  <c r="C10" i="69"/>
  <c r="D10" i="69" s="1"/>
  <c r="E10" i="69" s="1"/>
  <c r="F10" i="69" s="1"/>
  <c r="G10" i="69" s="1"/>
  <c r="H10" i="69" s="1"/>
  <c r="I10" i="69" s="1"/>
  <c r="J10" i="69" s="1"/>
  <c r="K10" i="69" s="1"/>
  <c r="L10" i="69" s="1"/>
  <c r="M10" i="69" s="1"/>
  <c r="N10" i="69" s="1"/>
  <c r="O10" i="69" s="1"/>
  <c r="P10" i="69" s="1"/>
  <c r="Q10" i="69" s="1"/>
  <c r="R10" i="69" s="1"/>
  <c r="S10" i="69" s="1"/>
  <c r="T10" i="69" s="1"/>
  <c r="U10" i="69" s="1"/>
  <c r="D5" i="69"/>
  <c r="E5" i="69" s="1"/>
  <c r="F5" i="69" s="1"/>
  <c r="G5" i="69" s="1"/>
  <c r="H5" i="69" s="1"/>
  <c r="I5" i="69" s="1"/>
  <c r="J5" i="69" s="1"/>
  <c r="K5" i="69" s="1"/>
  <c r="L5" i="69" s="1"/>
  <c r="C349" i="22" l="1"/>
  <c r="C339" i="22"/>
  <c r="D349" i="22" l="1"/>
  <c r="G349" i="22" s="1"/>
  <c r="J256" i="22"/>
  <c r="D339" i="22" l="1"/>
  <c r="G339" i="22" s="1"/>
  <c r="I154" i="22"/>
  <c r="J74" i="22" l="1"/>
  <c r="K74" i="22"/>
  <c r="M73" i="22"/>
  <c r="L73" i="22"/>
  <c r="P73" i="22" s="1"/>
  <c r="Q73" i="22" l="1"/>
  <c r="J60" i="22"/>
  <c r="K60" i="22"/>
  <c r="G11" i="22" l="1"/>
  <c r="C6" i="69" l="1"/>
  <c r="C8" i="69" s="1"/>
  <c r="G34" i="22"/>
  <c r="E300" i="22"/>
  <c r="L72" i="22"/>
  <c r="P72" i="22" s="1"/>
  <c r="N72" i="22" s="1"/>
  <c r="H40" i="22"/>
  <c r="I39" i="22"/>
  <c r="H39" i="22"/>
  <c r="K155" i="22"/>
  <c r="D155" i="22" s="1"/>
  <c r="L58" i="22"/>
  <c r="P58" i="22" s="1"/>
  <c r="M70" i="22"/>
  <c r="Q70" i="22" s="1"/>
  <c r="O70" i="22" s="1"/>
  <c r="E60" i="22"/>
  <c r="G60" i="22"/>
  <c r="F74" i="22"/>
  <c r="H43" i="22"/>
  <c r="G294" i="22"/>
  <c r="M59" i="22"/>
  <c r="Q59" i="22" s="1"/>
  <c r="L71" i="22"/>
  <c r="P71" i="22" s="1"/>
  <c r="N71" i="22" s="1"/>
  <c r="L70" i="22"/>
  <c r="P70" i="22" s="1"/>
  <c r="N70" i="22" s="1"/>
  <c r="M72" i="22"/>
  <c r="Q72" i="22" s="1"/>
  <c r="O72" i="22" s="1"/>
  <c r="H60" i="22"/>
  <c r="L54" i="22"/>
  <c r="P54" i="22" s="1"/>
  <c r="H300" i="22"/>
  <c r="H301" i="22"/>
  <c r="I268" i="22"/>
  <c r="E294" i="22"/>
  <c r="L59" i="22"/>
  <c r="P59" i="22" s="1"/>
  <c r="E106" i="22"/>
  <c r="E107" i="22" s="1"/>
  <c r="K300" i="22"/>
  <c r="D106" i="22"/>
  <c r="D107" i="22" s="1"/>
  <c r="L69" i="22"/>
  <c r="P69" i="22" s="1"/>
  <c r="N69" i="22" s="1"/>
  <c r="L57" i="22"/>
  <c r="P57" i="22" s="1"/>
  <c r="L56" i="22"/>
  <c r="P56" i="22" s="1"/>
  <c r="M57" i="22"/>
  <c r="Q57" i="22" s="1"/>
  <c r="M56" i="22"/>
  <c r="Q56" i="22" s="1"/>
  <c r="I60" i="22"/>
  <c r="M54" i="22"/>
  <c r="Q54" i="22" s="1"/>
  <c r="G74" i="22"/>
  <c r="M71" i="22"/>
  <c r="Q71" i="22" s="1"/>
  <c r="O71" i="22" s="1"/>
  <c r="L68" i="22"/>
  <c r="H74" i="22"/>
  <c r="M58" i="22"/>
  <c r="Q58" i="22" s="1"/>
  <c r="M69" i="22"/>
  <c r="Q69" i="22" s="1"/>
  <c r="O69" i="22" s="1"/>
  <c r="I74" i="22"/>
  <c r="M68" i="22"/>
  <c r="I43" i="22"/>
  <c r="I40" i="22"/>
  <c r="H42" i="22"/>
  <c r="I41" i="22"/>
  <c r="H41" i="22"/>
  <c r="K301" i="22"/>
  <c r="K166" i="22"/>
  <c r="E301" i="22"/>
  <c r="I155" i="22"/>
  <c r="J246" i="22"/>
  <c r="I42" i="22"/>
  <c r="I11" i="22"/>
  <c r="K164" i="22"/>
  <c r="D164" i="22" s="1"/>
  <c r="I164" i="22"/>
  <c r="K153" i="22"/>
  <c r="I153" i="22"/>
  <c r="H153" i="22" l="1"/>
  <c r="I158" i="22"/>
  <c r="D12" i="69"/>
  <c r="D166" i="22"/>
  <c r="C11" i="69"/>
  <c r="F106" i="22"/>
  <c r="F107" i="22" s="1"/>
  <c r="K256" i="22"/>
  <c r="E6" i="69"/>
  <c r="H155" i="22"/>
  <c r="J155" i="22"/>
  <c r="L74" i="22"/>
  <c r="P68" i="22"/>
  <c r="N68" i="22" s="1"/>
  <c r="F166" i="22"/>
  <c r="J166" i="22"/>
  <c r="H166" i="22"/>
  <c r="F155" i="22"/>
  <c r="Q68" i="22"/>
  <c r="O68" i="22" s="1"/>
  <c r="M74" i="22"/>
  <c r="H209" i="22"/>
  <c r="H212" i="22" s="1"/>
  <c r="J127" i="22"/>
  <c r="J130" i="22" s="1"/>
  <c r="J153" i="22"/>
  <c r="J164" i="22"/>
  <c r="F164" i="22"/>
  <c r="H164" i="22"/>
  <c r="F153" i="22"/>
  <c r="D153" i="22"/>
  <c r="K165" i="22"/>
  <c r="D165" i="22" s="1"/>
  <c r="I165" i="22"/>
  <c r="I169" i="22" s="1"/>
  <c r="K154" i="22"/>
  <c r="D154" i="22" s="1"/>
  <c r="E34" i="22"/>
  <c r="E127" i="22" l="1"/>
  <c r="K169" i="22"/>
  <c r="D169" i="22" s="1"/>
  <c r="H169" i="22"/>
  <c r="F169" i="22"/>
  <c r="K158" i="22"/>
  <c r="D158" i="22" s="1"/>
  <c r="C127" i="22"/>
  <c r="G127" i="22"/>
  <c r="J209" i="22"/>
  <c r="J212" i="22" s="1"/>
  <c r="J165" i="22"/>
  <c r="J154" i="22"/>
  <c r="H165" i="22"/>
  <c r="F165" i="22"/>
  <c r="H154" i="22"/>
  <c r="F154" i="22"/>
  <c r="J169" i="22" l="1"/>
  <c r="J158" i="22"/>
  <c r="G209" i="22"/>
  <c r="C209" i="22"/>
  <c r="E209" i="22"/>
  <c r="I209" i="22"/>
  <c r="H158" i="22"/>
  <c r="F158" i="22"/>
  <c r="F11" i="22" l="1"/>
  <c r="M10" i="22"/>
  <c r="E11" i="22"/>
  <c r="I15" i="22" s="1"/>
  <c r="G268" i="22" l="1"/>
  <c r="F268" i="22" l="1"/>
  <c r="E268" i="22"/>
  <c r="H268" i="22" l="1"/>
  <c r="L268" i="22" s="1"/>
  <c r="I246" i="22"/>
  <c r="O58" i="22" l="1"/>
  <c r="N58" i="22"/>
  <c r="H246" i="22" l="1"/>
  <c r="H11" i="22" l="1"/>
  <c r="D6" i="69" l="1"/>
  <c r="D256" i="22"/>
  <c r="E256" i="22"/>
  <c r="F256" i="22"/>
  <c r="G256" i="22"/>
  <c r="F246" i="22"/>
  <c r="E246" i="22"/>
  <c r="D246" i="22"/>
  <c r="C246" i="22"/>
  <c r="D8" i="69" l="1"/>
  <c r="E8" i="69" s="1"/>
  <c r="F8" i="69" s="1"/>
  <c r="G8" i="69" s="1"/>
  <c r="H8" i="69" s="1"/>
  <c r="I8" i="69" s="1"/>
  <c r="J8" i="69" s="1"/>
  <c r="K8" i="69" s="1"/>
  <c r="L8" i="69" s="1"/>
  <c r="M8" i="69" s="1"/>
  <c r="N8" i="69" s="1"/>
  <c r="O8" i="69" s="1"/>
  <c r="P8" i="69" s="1"/>
  <c r="Q8" i="69" s="1"/>
  <c r="R8" i="69" s="1"/>
  <c r="S8" i="69" s="1"/>
  <c r="T8" i="69" s="1"/>
  <c r="U8" i="69" s="1"/>
  <c r="V8" i="69" s="1"/>
  <c r="V11" i="69" s="1"/>
  <c r="G246" i="22"/>
  <c r="M246" i="22" s="1"/>
  <c r="F12" i="69" l="1"/>
  <c r="D11" i="69"/>
  <c r="E12" i="69"/>
  <c r="E11" i="69"/>
  <c r="M9" i="22"/>
  <c r="L11" i="22"/>
  <c r="I16" i="22" s="1"/>
  <c r="I17" i="22" s="1"/>
  <c r="I18" i="22" s="1"/>
  <c r="G12" i="69" l="1"/>
  <c r="F11" i="69"/>
  <c r="H12" i="69"/>
  <c r="G11" i="69"/>
  <c r="M11" i="22"/>
  <c r="K33" i="22"/>
  <c r="I19" i="22"/>
  <c r="I24" i="22"/>
  <c r="H314" i="22"/>
  <c r="D326" i="22"/>
  <c r="O55" i="22"/>
  <c r="H326" i="22"/>
  <c r="I302" i="22"/>
  <c r="E314" i="22"/>
  <c r="C314" i="22"/>
  <c r="L53" i="22"/>
  <c r="P53" i="22" s="1"/>
  <c r="E74" i="22"/>
  <c r="Q74" i="22" s="1"/>
  <c r="O74" i="22" s="1"/>
  <c r="O57" i="22"/>
  <c r="G302" i="22"/>
  <c r="F302" i="22"/>
  <c r="D302" i="22"/>
  <c r="C302" i="22"/>
  <c r="D294" i="22"/>
  <c r="D99" i="22"/>
  <c r="J302" i="22"/>
  <c r="D314" i="22"/>
  <c r="G326" i="22"/>
  <c r="E99" i="22"/>
  <c r="D74" i="22"/>
  <c r="P74" i="22" s="1"/>
  <c r="N74" i="22" s="1"/>
  <c r="F60" i="22"/>
  <c r="M67" i="22"/>
  <c r="F326" i="22"/>
  <c r="I326" i="22"/>
  <c r="L67" i="22"/>
  <c r="P67" i="22" s="1"/>
  <c r="N67" i="22" s="1"/>
  <c r="E302" i="22"/>
  <c r="F314" i="22"/>
  <c r="M53" i="22"/>
  <c r="C326" i="22"/>
  <c r="G314" i="22"/>
  <c r="I314" i="22"/>
  <c r="E326" i="22"/>
  <c r="C99" i="22"/>
  <c r="Q53" i="22" l="1"/>
  <c r="O53" i="22" s="1"/>
  <c r="I12" i="69"/>
  <c r="H11" i="69"/>
  <c r="Q67" i="22"/>
  <c r="O67" i="22" s="1"/>
  <c r="H46" i="22"/>
  <c r="I46" i="22"/>
  <c r="N54" i="22"/>
  <c r="L60" i="22"/>
  <c r="P60" i="22" s="1"/>
  <c r="O56" i="22"/>
  <c r="M60" i="22"/>
  <c r="Q60" i="22" s="1"/>
  <c r="O54" i="22"/>
  <c r="N57" i="22"/>
  <c r="N56" i="22"/>
  <c r="N55" i="22"/>
  <c r="F34" i="22"/>
  <c r="J34" i="22" s="1"/>
  <c r="K32" i="22"/>
  <c r="I20" i="22"/>
  <c r="I21" i="22" s="1"/>
  <c r="I23" i="22"/>
  <c r="K302" i="22"/>
  <c r="N53" i="22"/>
  <c r="J326" i="22"/>
  <c r="H302" i="22"/>
  <c r="J314" i="22"/>
  <c r="G212" i="22"/>
  <c r="J324" i="22"/>
  <c r="C325" i="22" s="1"/>
  <c r="J310" i="22"/>
  <c r="K34" i="22" l="1"/>
  <c r="J12" i="69"/>
  <c r="I11" i="69"/>
  <c r="I127" i="22"/>
  <c r="H327" i="22"/>
  <c r="C327" i="22"/>
  <c r="D327" i="22"/>
  <c r="I327" i="22"/>
  <c r="G327" i="22"/>
  <c r="F327" i="22"/>
  <c r="O60" i="22"/>
  <c r="G315" i="22"/>
  <c r="E315" i="22"/>
  <c r="F315" i="22"/>
  <c r="C315" i="22"/>
  <c r="I315" i="22"/>
  <c r="D315" i="22"/>
  <c r="J312" i="22" s="1"/>
  <c r="H315" i="22"/>
  <c r="N60" i="22"/>
  <c r="E327" i="22"/>
  <c r="I212" i="22"/>
  <c r="E212" i="22"/>
  <c r="C212" i="22"/>
  <c r="C311" i="22"/>
  <c r="I311" i="22"/>
  <c r="D311" i="22"/>
  <c r="H311" i="22"/>
  <c r="G311" i="22"/>
  <c r="E311" i="22"/>
  <c r="F311" i="22"/>
  <c r="I325" i="22"/>
  <c r="F325" i="22"/>
  <c r="D325" i="22"/>
  <c r="E325" i="22"/>
  <c r="G325" i="22"/>
  <c r="J322" i="22"/>
  <c r="H325" i="22"/>
  <c r="K12" i="69" l="1"/>
  <c r="J11" i="69"/>
  <c r="C130" i="22"/>
  <c r="I130" i="22"/>
  <c r="E130" i="22"/>
  <c r="G130" i="22"/>
  <c r="J327" i="22"/>
  <c r="I313" i="22"/>
  <c r="F313" i="22"/>
  <c r="D313" i="22"/>
  <c r="H313" i="22"/>
  <c r="C313" i="22"/>
  <c r="E313" i="22"/>
  <c r="G313" i="22"/>
  <c r="J315" i="22"/>
  <c r="J311" i="22"/>
  <c r="F323" i="22"/>
  <c r="I323" i="22"/>
  <c r="C323" i="22"/>
  <c r="G323" i="22"/>
  <c r="H323" i="22"/>
  <c r="E323" i="22"/>
  <c r="D323" i="22"/>
  <c r="J308" i="22"/>
  <c r="L12" i="69" l="1"/>
  <c r="K11" i="69"/>
  <c r="J313" i="22"/>
  <c r="J323" i="22"/>
  <c r="E309" i="22"/>
  <c r="F309" i="22"/>
  <c r="D309" i="22"/>
  <c r="G309" i="22"/>
  <c r="I309" i="22"/>
  <c r="C309" i="22"/>
  <c r="H309" i="22"/>
  <c r="J320" i="22"/>
  <c r="L11" i="69" l="1"/>
  <c r="J309" i="22"/>
  <c r="D321" i="22"/>
  <c r="F321" i="22"/>
  <c r="I321" i="22"/>
  <c r="H321" i="22"/>
  <c r="E321" i="22"/>
  <c r="C321" i="22"/>
  <c r="G321" i="22"/>
  <c r="M11" i="69" l="1"/>
  <c r="J321" i="22"/>
  <c r="N11" i="69" l="1"/>
  <c r="I256" i="22"/>
  <c r="N256" i="22" s="1"/>
  <c r="O11" i="69" l="1"/>
  <c r="P11" i="69" l="1"/>
  <c r="Q11" i="69" l="1"/>
  <c r="R11" i="69" l="1"/>
  <c r="S11" i="69" l="1"/>
  <c r="T11" i="69" l="1"/>
  <c r="U11" i="69"/>
</calcChain>
</file>

<file path=xl/sharedStrings.xml><?xml version="1.0" encoding="utf-8"?>
<sst xmlns="http://schemas.openxmlformats.org/spreadsheetml/2006/main" count="19400" uniqueCount="3272">
  <si>
    <t>Wandsworth Local Plan – Authority Monitoring Report 2019/20
Housing Policy Performance Report – Summary Tables</t>
  </si>
  <si>
    <t>Housing Supply</t>
  </si>
  <si>
    <t>Table 1a</t>
  </si>
  <si>
    <t>Performance against London Plan target</t>
  </si>
  <si>
    <t>Net Additional Dwellings</t>
  </si>
  <si>
    <t>London Plan Target</t>
  </si>
  <si>
    <t>Annual Target</t>
  </si>
  <si>
    <t xml:space="preserve">Provision 
(50% of Plan Period)   </t>
  </si>
  <si>
    <t>Total Provision</t>
  </si>
  <si>
    <t>% of 10-Year Target</t>
  </si>
  <si>
    <t>2015/16</t>
  </si>
  <si>
    <t>2016/17</t>
  </si>
  <si>
    <t>2017/18</t>
  </si>
  <si>
    <t>2018/19</t>
  </si>
  <si>
    <t>2019/20</t>
  </si>
  <si>
    <t>Conventional Supply</t>
  </si>
  <si>
    <t>Non-Self-Contained Household Spaces</t>
  </si>
  <si>
    <t>Total</t>
  </si>
  <si>
    <t>Table 1b</t>
  </si>
  <si>
    <t>Five year housing land supply calculation</t>
  </si>
  <si>
    <t>a</t>
  </si>
  <si>
    <t>London Plan target 1 April 2015 to 31 March 2025</t>
  </si>
  <si>
    <t>b</t>
  </si>
  <si>
    <t>Net completions 1 April 2015 to 31 March 2020</t>
  </si>
  <si>
    <t>c</t>
  </si>
  <si>
    <t>Remaining London Plan target 1 April 2020 to 31 March 2025</t>
  </si>
  <si>
    <t>a − b</t>
  </si>
  <si>
    <t>d</t>
  </si>
  <si>
    <t>Average per year</t>
  </si>
  <si>
    <t>c / 5 years</t>
  </si>
  <si>
    <t>e</t>
  </si>
  <si>
    <t>Five year requirement</t>
  </si>
  <si>
    <t>d × 5</t>
  </si>
  <si>
    <t>f</t>
  </si>
  <si>
    <t>Five percent buffer</t>
  </si>
  <si>
    <t>e × 0.05</t>
  </si>
  <si>
    <t>g</t>
  </si>
  <si>
    <t>Five year requirement including 5% buffer</t>
  </si>
  <si>
    <t>e + f</t>
  </si>
  <si>
    <t>h</t>
  </si>
  <si>
    <t>Estimated supply over five year period</t>
  </si>
  <si>
    <t>i</t>
  </si>
  <si>
    <t>Five year land supply as a percentage of requirement (excluding 5% buffer)</t>
  </si>
  <si>
    <r>
      <t xml:space="preserve">h / e </t>
    </r>
    <r>
      <rPr>
        <sz val="8"/>
        <rFont val="Calibri"/>
        <family val="2"/>
      </rPr>
      <t>×</t>
    </r>
    <r>
      <rPr>
        <sz val="8"/>
        <rFont val="Arial"/>
        <family val="2"/>
      </rPr>
      <t xml:space="preserve"> 100</t>
    </r>
  </si>
  <si>
    <t>j</t>
  </si>
  <si>
    <t>Five year land supply in years (excluding 5% buffer)</t>
  </si>
  <si>
    <t>h / d</t>
  </si>
  <si>
    <t>Note: All dwelling counts in the following tables, Tables 1c–20, are of conventional supply.</t>
  </si>
  <si>
    <t>Table 1c</t>
  </si>
  <si>
    <t>Net affordable housing completions against Local Plan target</t>
  </si>
  <si>
    <t>Tenure</t>
  </si>
  <si>
    <t>Local Plan Target</t>
  </si>
  <si>
    <t>Completions (100% of Target Period)</t>
  </si>
  <si>
    <t>% of 5-Year Target</t>
  </si>
  <si>
    <t>Intermediate</t>
  </si>
  <si>
    <t>Social/Affordable Rent</t>
  </si>
  <si>
    <t>Table 2</t>
  </si>
  <si>
    <t>Housing land capacity at 31 March 2020</t>
  </si>
  <si>
    <t>Housing Capacity</t>
  </si>
  <si>
    <t>New Build</t>
  </si>
  <si>
    <t>Conversions</t>
  </si>
  <si>
    <t xml:space="preserve">Gross </t>
  </si>
  <si>
    <t>Net</t>
  </si>
  <si>
    <t>Completed 2019/20</t>
  </si>
  <si>
    <t>Under Construction</t>
  </si>
  <si>
    <t>Planning Permissions</t>
  </si>
  <si>
    <t>Applications Undecided</t>
  </si>
  <si>
    <t>Identified Sites</t>
  </si>
  <si>
    <t>Potential Sites</t>
  </si>
  <si>
    <t>Small Sites Allowance</t>
  </si>
  <si>
    <t>Total Pipeline at 31 March 2020</t>
  </si>
  <si>
    <t>Note: Pipeline includes some dwellings expected to be completed beyond the phasing to 2039/40 shown in the housing trajectory</t>
  </si>
  <si>
    <t>Table 3</t>
  </si>
  <si>
    <t>Housing land capacity at 31 March 2020, by tenure</t>
  </si>
  <si>
    <t>Status</t>
  </si>
  <si>
    <t>Open Market</t>
  </si>
  <si>
    <t>Affordable</t>
  </si>
  <si>
    <t>Unknown</t>
  </si>
  <si>
    <t>Total Affordable</t>
  </si>
  <si>
    <t>% Affordable</t>
  </si>
  <si>
    <t>Gross</t>
  </si>
  <si>
    <t xml:space="preserve">Applications Undecided </t>
  </si>
  <si>
    <t>Table 4</t>
  </si>
  <si>
    <t>Housing land capacity at 31 March 2020, by tenure (new build only)</t>
  </si>
  <si>
    <t>Table 5</t>
  </si>
  <si>
    <t>Net units granted planning permission, started and completed over time</t>
  </si>
  <si>
    <t>Year</t>
  </si>
  <si>
    <t xml:space="preserve"> Permissions</t>
  </si>
  <si>
    <t xml:space="preserve"> Starts</t>
  </si>
  <si>
    <t xml:space="preserve"> Completions</t>
  </si>
  <si>
    <t>2005/06</t>
  </si>
  <si>
    <t>2006/07</t>
  </si>
  <si>
    <t>2007/08</t>
  </si>
  <si>
    <t>2008/09</t>
  </si>
  <si>
    <t>2009/10</t>
  </si>
  <si>
    <t>2010/11</t>
  </si>
  <si>
    <t>2011/12</t>
  </si>
  <si>
    <t>2012/13</t>
  </si>
  <si>
    <t>2013/14</t>
  </si>
  <si>
    <t>2014/15</t>
  </si>
  <si>
    <t>Table 6</t>
  </si>
  <si>
    <t>Net units granted planning permission, started and completed in 2019/20 by development type</t>
  </si>
  <si>
    <t>Development Type</t>
  </si>
  <si>
    <t>Permissions</t>
  </si>
  <si>
    <t>Starts</t>
  </si>
  <si>
    <t>Completions</t>
  </si>
  <si>
    <t>Table 7</t>
  </si>
  <si>
    <t>Net units granted planning permission, started or completed in 2019/20 by tenure</t>
  </si>
  <si>
    <t>All Developments by Tenure</t>
  </si>
  <si>
    <t>Table 8a</t>
  </si>
  <si>
    <t>Net completions by tenure and financial year over time</t>
  </si>
  <si>
    <t xml:space="preserve"> Open Market</t>
  </si>
  <si>
    <t xml:space="preserve"> Intermediate</t>
  </si>
  <si>
    <t xml:space="preserve"> Social/Affordable Rent</t>
  </si>
  <si>
    <t>Units</t>
  </si>
  <si>
    <t>%</t>
  </si>
  <si>
    <t>Large Developments by Tenure</t>
  </si>
  <si>
    <t>Table 8b</t>
  </si>
  <si>
    <t>Net completions on VNEB sites with developments of 10 or more dwellings, against Local Plan affordable mix targets</t>
  </si>
  <si>
    <t>Target (VNEB)</t>
  </si>
  <si>
    <t>Table 8c</t>
  </si>
  <si>
    <t>Net completions on sites outside VNEB with developments of 10 or more dwellings, against Local Plan affordable mix targets</t>
  </si>
  <si>
    <t>Target (outside VNEB)</t>
  </si>
  <si>
    <t>Conversions/New Build</t>
  </si>
  <si>
    <t>Table 9</t>
  </si>
  <si>
    <t>Net completions by development type over time</t>
  </si>
  <si>
    <t>Table 10</t>
  </si>
  <si>
    <t>Net units starts by tenure and financial year over time</t>
  </si>
  <si>
    <t>New Permissions</t>
  </si>
  <si>
    <t>Table 11</t>
  </si>
  <si>
    <t>Net units with new planning permission by development type over time</t>
  </si>
  <si>
    <t xml:space="preserve"> New Build</t>
  </si>
  <si>
    <t xml:space="preserve"> Conversions</t>
  </si>
  <si>
    <t>Spatial Areas</t>
  </si>
  <si>
    <t>Town Centres</t>
  </si>
  <si>
    <t>Table 12</t>
  </si>
  <si>
    <t>Net completions in town centres</t>
  </si>
  <si>
    <t>Town Centre</t>
  </si>
  <si>
    <t>Balham</t>
  </si>
  <si>
    <t>Clapham Junction</t>
  </si>
  <si>
    <t>Putney</t>
  </si>
  <si>
    <t>Tooting</t>
  </si>
  <si>
    <t>Wandsworth</t>
  </si>
  <si>
    <t>Regeneration Areas</t>
  </si>
  <si>
    <t>Table 13</t>
  </si>
  <si>
    <t>Net completions in regeneration areas</t>
  </si>
  <si>
    <t>Regeneration Area</t>
  </si>
  <si>
    <t>Latchmere</t>
  </si>
  <si>
    <t>Queenstown</t>
  </si>
  <si>
    <t>Roehampton and Putney Heath</t>
  </si>
  <si>
    <t>Rest of Wandsworth</t>
  </si>
  <si>
    <t>Policy Areas</t>
  </si>
  <si>
    <t>Table 14</t>
  </si>
  <si>
    <t>Net completions by policy areas</t>
  </si>
  <si>
    <t>Policy Area</t>
  </si>
  <si>
    <t>Central Wandsworth and the Wandle Delta</t>
  </si>
  <si>
    <t>Clapham Junction and the Adjoining Area</t>
  </si>
  <si>
    <t>Nine Elms and North-East Battersea</t>
  </si>
  <si>
    <t>Thames Policy Area excluding Other Policy Areas</t>
  </si>
  <si>
    <t>Wandle Valley</t>
  </si>
  <si>
    <t>Roehampton (The Heart of Roehampton)</t>
  </si>
  <si>
    <t>East Putney and Upper Richmond Road</t>
  </si>
  <si>
    <t>Wards</t>
  </si>
  <si>
    <t>Table 15</t>
  </si>
  <si>
    <t>Net units by ward with planning permission not started or under construction as at 31 March 2020 or completed in 2019/20</t>
  </si>
  <si>
    <t>Ward</t>
  </si>
  <si>
    <t>Not Started</t>
  </si>
  <si>
    <t>Bedford</t>
  </si>
  <si>
    <t>Earlsfield</t>
  </si>
  <si>
    <t>East Putney</t>
  </si>
  <si>
    <t>Fairfield</t>
  </si>
  <si>
    <t>Furzedown</t>
  </si>
  <si>
    <t>Graveney</t>
  </si>
  <si>
    <t>Nightingale</t>
  </si>
  <si>
    <t>Northcote</t>
  </si>
  <si>
    <t>Shaftesbury</t>
  </si>
  <si>
    <t>Southfields</t>
  </si>
  <si>
    <t>St Mary's Park</t>
  </si>
  <si>
    <t>Thamesfield</t>
  </si>
  <si>
    <t>Wandsworth Common</t>
  </si>
  <si>
    <t>West Hill</t>
  </si>
  <si>
    <t>West Putney</t>
  </si>
  <si>
    <t>Vauxhall, Nine Elms, Battersea Opportunity Area (VNEB)</t>
  </si>
  <si>
    <t>Table 16</t>
  </si>
  <si>
    <t>Net units in VNEB by tenure with planning permissions not started or under construction as at 31 March 2020 or completed in 2019/20</t>
  </si>
  <si>
    <t>Market</t>
  </si>
  <si>
    <t>VNEB</t>
  </si>
  <si>
    <t>Dwelling Mix</t>
  </si>
  <si>
    <t>Table 17</t>
  </si>
  <si>
    <t>Net new build units completed by unit size and tenure</t>
  </si>
  <si>
    <t>Studio</t>
  </si>
  <si>
    <t>1 bed</t>
  </si>
  <si>
    <t>2 bed</t>
  </si>
  <si>
    <t>3 bed</t>
  </si>
  <si>
    <t>4 bed</t>
  </si>
  <si>
    <t>5+ bed</t>
  </si>
  <si>
    <t>Not Known</t>
  </si>
  <si>
    <t>Table 18</t>
  </si>
  <si>
    <t>Net new build units with planning permission by unit size and tenure</t>
  </si>
  <si>
    <t>Table 19</t>
  </si>
  <si>
    <t>Completed conversions (gross units)</t>
  </si>
  <si>
    <t>House &gt; Flats</t>
  </si>
  <si>
    <t>Flats &gt; House</t>
  </si>
  <si>
    <t>Flats &gt; Flats</t>
  </si>
  <si>
    <t>Houses &gt; Houses</t>
  </si>
  <si>
    <t>Change of Use</t>
  </si>
  <si>
    <t>Vertical Extension</t>
  </si>
  <si>
    <t>Table 20</t>
  </si>
  <si>
    <t>Conversions with planning permission (gross units)</t>
  </si>
  <si>
    <t>For more information email planninginformation@wandsworth.gov.uk or call Planning Information on 020 8871 7620</t>
  </si>
  <si>
    <t>Last updated 05/11/2020</t>
  </si>
  <si>
    <t>Housing Trajectory</t>
  </si>
  <si>
    <t>London Plan Period</t>
  </si>
  <si>
    <t>2015 Further Alterations to the London Plan</t>
  </si>
  <si>
    <t>2015 Further Alterations to the London Plan (Continued)</t>
  </si>
  <si>
    <t>2020/21</t>
  </si>
  <si>
    <t>2021/22</t>
  </si>
  <si>
    <t>2022/23</t>
  </si>
  <si>
    <t>2023/24</t>
  </si>
  <si>
    <t>2024/25</t>
  </si>
  <si>
    <t>2025/26</t>
  </si>
  <si>
    <t>2026/27</t>
  </si>
  <si>
    <t>2027/28</t>
  </si>
  <si>
    <t>2028/29</t>
  </si>
  <si>
    <t>2029/30</t>
  </si>
  <si>
    <t>2030/31</t>
  </si>
  <si>
    <t>2031/32</t>
  </si>
  <si>
    <t>2032/33</t>
  </si>
  <si>
    <t>2033/34</t>
  </si>
  <si>
    <t>2034/35</t>
  </si>
  <si>
    <t>Years of Plan Remaining</t>
  </si>
  <si>
    <t>Past Completions</t>
  </si>
  <si>
    <t>Projected Completions</t>
  </si>
  <si>
    <t>Cumulative Completions over Plan Period</t>
  </si>
  <si>
    <t>Target</t>
  </si>
  <si>
    <t>Cumulative Target over Plan Period</t>
  </si>
  <si>
    <t>Delivery against Target</t>
  </si>
  <si>
    <t>Cumulative Completions above Cumulative Target</t>
  </si>
  <si>
    <t>Managed Annual Target Taking Account of Past and Projected Completions</t>
  </si>
  <si>
    <t>Site</t>
  </si>
  <si>
    <t>Application</t>
  </si>
  <si>
    <t>Address</t>
  </si>
  <si>
    <t>Phase</t>
  </si>
  <si>
    <t>Easting</t>
  </si>
  <si>
    <t>Northing</t>
  </si>
  <si>
    <t>Site Construction Date</t>
  </si>
  <si>
    <t>Site Completion Date</t>
  </si>
  <si>
    <t>Phase Existing Units</t>
  </si>
  <si>
    <t>Phase Proposed Units</t>
  </si>
  <si>
    <t>Phase Net Units</t>
  </si>
  <si>
    <t>Application Proposed Units</t>
  </si>
  <si>
    <t>Application Net Units</t>
  </si>
  <si>
    <t>Scheme of 10 or More Proposed Units</t>
  </si>
  <si>
    <t>Proposal</t>
  </si>
  <si>
    <t>Application Status</t>
  </si>
  <si>
    <t>Application Received Date</t>
  </si>
  <si>
    <t>Application Decision Date</t>
  </si>
  <si>
    <t>Reporting Year Decision</t>
  </si>
  <si>
    <t>Appeal Status</t>
  </si>
  <si>
    <t>Appeal Decision Date</t>
  </si>
  <si>
    <t>Land Type</t>
  </si>
  <si>
    <t>Large Residential Development Type</t>
  </si>
  <si>
    <t>Minor Residential Development Type</t>
  </si>
  <si>
    <t>Phase Residential Site Area (ha)</t>
  </si>
  <si>
    <t>Phase Construction Date</t>
  </si>
  <si>
    <t>Reporting Year Start</t>
  </si>
  <si>
    <t>Phase Completion Date</t>
  </si>
  <si>
    <t>Tenure Code</t>
  </si>
  <si>
    <t>Site Specific Allocations Document Reference</t>
  </si>
  <si>
    <t>London SHLAA 2017 Reference</t>
  </si>
  <si>
    <t>Lifetime Homes</t>
  </si>
  <si>
    <t>M4(2) Dwellings</t>
  </si>
  <si>
    <t>Wheelchair Accessible Homes</t>
  </si>
  <si>
    <t>M4(3) Dwellings</t>
  </si>
  <si>
    <t>Net Studio Units</t>
  </si>
  <si>
    <t>Net 1 Bed Units</t>
  </si>
  <si>
    <t>Net 2 Bed Units</t>
  </si>
  <si>
    <t>Net 3 Bed Units</t>
  </si>
  <si>
    <t>Net 4 Bed Units</t>
  </si>
  <si>
    <t>Net 5+ Bed Units</t>
  </si>
  <si>
    <t>Net Not Known Bed Units</t>
  </si>
  <si>
    <t>Net Studio Flats</t>
  </si>
  <si>
    <t>Net 1 Bed Flats</t>
  </si>
  <si>
    <t>Net 2 Bed Flats</t>
  </si>
  <si>
    <t>Net 3 Bed Flats</t>
  </si>
  <si>
    <t>Net 4 Bed Flats</t>
  </si>
  <si>
    <t>Net 5+ Bed Flats</t>
  </si>
  <si>
    <t>Net Not Known Bed Flats</t>
  </si>
  <si>
    <t>Net Studio Houses</t>
  </si>
  <si>
    <t>Net 1 Bed Houses</t>
  </si>
  <si>
    <t>Net 2 Bed Houses</t>
  </si>
  <si>
    <t>Net 3 Bed Houses</t>
  </si>
  <si>
    <t>Net 4 Bed Houses</t>
  </si>
  <si>
    <t>Net 5+ Bed Houses</t>
  </si>
  <si>
    <t>Net Not Known Bed Houses</t>
  </si>
  <si>
    <t>Net Studio Live Work</t>
  </si>
  <si>
    <t>Net 1 Bed Live Work</t>
  </si>
  <si>
    <t>Net 2 Bed Live Work</t>
  </si>
  <si>
    <t>Net 3 Bed Live Work</t>
  </si>
  <si>
    <t>Net 4 Bed Live Work</t>
  </si>
  <si>
    <t>Net 5+ Bed Live Work</t>
  </si>
  <si>
    <t>Net Not Known Live Work</t>
  </si>
  <si>
    <t>Heart of Roehampton</t>
  </si>
  <si>
    <t>Thames Policy Area Excluding Nine Elms, North-East Battersea, Central Wandsworth and the Wandle Delta</t>
  </si>
  <si>
    <t>Phasing Assumption</t>
  </si>
  <si>
    <t>2035/36</t>
  </si>
  <si>
    <t>2036/37</t>
  </si>
  <si>
    <t>2037/38</t>
  </si>
  <si>
    <t>2038/39</t>
  </si>
  <si>
    <t>2039/40</t>
  </si>
  <si>
    <t>Delivery in 5 Years</t>
  </si>
  <si>
    <t>Delivery in 10 Years</t>
  </si>
  <si>
    <t>01 Completion</t>
  </si>
  <si>
    <t>2017/3227</t>
  </si>
  <si>
    <t>257 Putney Bridge Road</t>
  </si>
  <si>
    <t>Demolition of rear outbuildings and rear part of frontage building;  erection of three-storey building at the rear to provide 3 x 2-bedroom flats; alterations to frontage building including the change of use of the ground floor from A3 to C3, including a part single, part three-storey rear/side extension and rear roof extension to provide 2 x 1-bedroom and 1 x 2-bedroom flat and 1 x 3-bedroom flat with roof-terraces at rear of first and second floors and associated refuse and cycle storage **Application description annd application form revised**.</t>
  </si>
  <si>
    <t>PF</t>
  </si>
  <si>
    <t>Nil</t>
  </si>
  <si>
    <t>BF</t>
  </si>
  <si>
    <t>MIX</t>
  </si>
  <si>
    <t>n/a</t>
  </si>
  <si>
    <t>c+</t>
  </si>
  <si>
    <t>M</t>
  </si>
  <si>
    <t>2017/5673</t>
  </si>
  <si>
    <t>36 Hoyle Road</t>
  </si>
  <si>
    <t>Alterations including erection of two-storey side and single-storey rear extension and conversion of property to 1 x 3-bedroom, 1 x 2-bedroom and 1 x 1-bedroom flats with associated cycle and refuse storage.</t>
  </si>
  <si>
    <t>2017/5907</t>
  </si>
  <si>
    <t>362 Old York Road</t>
  </si>
  <si>
    <t>Alterations including erection of first floor rear extension with roof terrace above in connection with conversion of upper flat into two studio flats.</t>
  </si>
  <si>
    <t>Y</t>
  </si>
  <si>
    <t>2018/1481</t>
  </si>
  <si>
    <t>54 Balham Park Road</t>
  </si>
  <si>
    <t>Alterations including erection of domer roof extension to main rear roof including raising the ridge by 300mm and roof extension above part three-storey back addition. Erection of part two/part single-storey rear extension and single-storey side extension and formation roof terrace at third floor level with 1.7m high screen surround.  Replacement windows at rear and rooflights to front roof slope. Conversion of the existing two bedroom flat and 5 bedroom HMO into 4 self-contained flats (2 x 3 bedroom, 1 x 2 bedroom flats and 1x studio flat.)  Erection of a garden room in rear garden.</t>
  </si>
  <si>
    <t>2018/2775</t>
  </si>
  <si>
    <t>180 Northcote Road</t>
  </si>
  <si>
    <t>Change of use of existing warehouse buildings (Use Class B8) to a 3-bedroom dwelling (Use Class C3). Alterations to include a roof extension to main building, erection of front entry porch and single-storey glazed roof to link  dwelling to outbuilding, external cycle and waste store and associated landscaping and external changes.</t>
  </si>
  <si>
    <t>COU</t>
  </si>
  <si>
    <t>2019/3277</t>
  </si>
  <si>
    <t>13a St Johns Hill</t>
  </si>
  <si>
    <t>Alterations including erection of two storey rear/side extension and erection of mezzanine floor above existing back addition and a roof terrace at fourth floor level and create additional floor of accommodation in connection with conversion of existing flat into 1 x 1-bedroom and 1 x 3-bedroom flats. Replacement timber windows to the front.</t>
  </si>
  <si>
    <t>k</t>
  </si>
  <si>
    <t>2018/5262</t>
  </si>
  <si>
    <t>199B Upper Richmond Road</t>
  </si>
  <si>
    <t>Change of use from Shop (Class A1) to 1-bedroom flat (Class C3) with access from rear.</t>
  </si>
  <si>
    <t>2018/4924</t>
  </si>
  <si>
    <t>39 Hoyle Road</t>
  </si>
  <si>
    <t>conversion</t>
  </si>
  <si>
    <t>Alterations including erection of mansard roof extension (with french doors and safety railings) to main rear roof; three rooflights to the front roofslope; erection of extension above part of three storey rear addition in connection with conversion from 1 x 2 bed flat to 2 x 1 bed flats; erection of single storey rear extension to ground floor flat.</t>
  </si>
  <si>
    <t>CON</t>
  </si>
  <si>
    <t>extension</t>
  </si>
  <si>
    <t>2015/0164</t>
  </si>
  <si>
    <t>3 Alderbrook Road</t>
  </si>
  <si>
    <t>Conversion of ground floor level into 1 x one-bedroom and 1 x two-bedroom flat and extension to basement level including formation of front lightwells with grille over to create a 1 x three-bedroom flat.</t>
  </si>
  <si>
    <t>n</t>
  </si>
  <si>
    <t>2012/5699</t>
  </si>
  <si>
    <t>5 North Drive</t>
  </si>
  <si>
    <t>Removal of existing external fire escape and erection of two-storey side extension and part single, part two-storey rear extension, including formation of first floor rear roof terrace. Proposed extensions and associated alterations in connection with proposed conversion of annexe into two flats (1 x 3-bedroom and 1 x 2-bedroom).</t>
  </si>
  <si>
    <t>2019/1406</t>
  </si>
  <si>
    <t>2a Isis Street</t>
  </si>
  <si>
    <t>Variation of condition 2 (in accordance with approved drawings) pursuant to planning permission dated 25/05/2018 ref 2018/0250 (Demolition of existing buildings; erection of a two-storey (plus basement) building fronting onto Isis Street to form 1 x 1-bedroom, 1 x 2-bedroom residential units and bin store, including the formation of a rear lightwell and access to rear; erection of 3 x two-storey (plus basement) 2-bedroom residential units with lightwells to front and rear.) to allow 1). The two end units (3 &amp; 5) changed to 3 - bed units; 1no additional window at basement level front elevation to the 3 x two- storey (plus basements) residential units at the rear.</t>
  </si>
  <si>
    <t>S73</t>
  </si>
  <si>
    <t>NB</t>
  </si>
  <si>
    <t>2016/6276</t>
  </si>
  <si>
    <t>Garage at, 2a Amies Street (Rear of 2-14 &amp; 28-36)</t>
  </si>
  <si>
    <t>Alterations including the erection of a hip-to-gable side roof extension; dormer extension to main rear roof (with french doors and safety railings); and internal alterations in connection with creation of 1 x 1-bedroom flat.</t>
  </si>
  <si>
    <t>2017/3823</t>
  </si>
  <si>
    <t>94-94a Longley Road</t>
  </si>
  <si>
    <t>Block A</t>
  </si>
  <si>
    <t>Demolition of existing buildings and erection of two residential buildings:- Block A (front) amended/reduced 02.10.2017 to comprise 5 x 2 bedroom flats (with balconies/terraces on upper floors) ; Block B (rear) amended/reduced 02.10.2017 to comprise 3 x 2 bedroom flats and 1 x 1 bedroom flat (with first floor balconies); associated landscaping/bins and cycle storage..</t>
  </si>
  <si>
    <t>Block B</t>
  </si>
  <si>
    <t>2017/0437</t>
  </si>
  <si>
    <t>Land rear of 39, Himley Road (39b)</t>
  </si>
  <si>
    <t>Demolition of existing office building and erection of a two-storey building to provide 1x1 bedroom flat.</t>
  </si>
  <si>
    <t>2017/5336</t>
  </si>
  <si>
    <t>Upper floors, 33-37 St Johns Hill (Flats 1-10)</t>
  </si>
  <si>
    <t>Alterations including change of use of the commercial tenancy at 35 St Johns Hill from Sui Generis to D1 involving alterations to shop front; Change of use of the rear part of the site from D1/A2 to C3; Erection of single-storey rear extension to provide 2 x 2 bedroom units; provision of cycle and bin storage.</t>
  </si>
  <si>
    <t>2019/0545</t>
  </si>
  <si>
    <t>59 Battersea Bridge Road</t>
  </si>
  <si>
    <t>Alterations including erection of a rear extension and formation of terraces at third floor to create a 1 x 1 bedroom flat. Amendment to planning permission ref. 2018/3186 to provide an additonal terrace area.</t>
  </si>
  <si>
    <t>EXT</t>
  </si>
  <si>
    <t>2017/6357</t>
  </si>
  <si>
    <t>Putney Evangelical Church, Sefton Street</t>
  </si>
  <si>
    <t>Demolition of existing church and erection of 2 x two storey (plus roof) 4-bedroom houses with associated landscape and boundary treatment.</t>
  </si>
  <si>
    <t>RP</t>
  </si>
  <si>
    <t>APG</t>
  </si>
  <si>
    <t>2015/3161</t>
  </si>
  <si>
    <t>526 Garratt Lane</t>
  </si>
  <si>
    <t>Demolition of existing buildings and erection of three-storey building to provide 8 flats, with first and second level terraces and communal garden.</t>
  </si>
  <si>
    <t>2014/4626</t>
  </si>
  <si>
    <t>208-214 York Road and, 4 Chatfield Road</t>
  </si>
  <si>
    <t>Block B - Constance Court</t>
  </si>
  <si>
    <t>Redevelopment of the site incorporating the erection of a part 4/ part 5 storey building fronting York Road, and a 3-5 storey building partially fronting Chatfield Road and extending to part 5/ part 6 storey building to the rear to provide a total of 51 residential units (including balconies and terraces), 362 sqm of retail space (use class A1), 155 sqm of office space (use class B1a); excavation of basement to provide a car park (accessed off Chatfield Road), ancillary works and landscaping.</t>
  </si>
  <si>
    <t>PFLA</t>
  </si>
  <si>
    <t>10.10</t>
  </si>
  <si>
    <t>2015/0591</t>
  </si>
  <si>
    <t>Battersea Gasholder, 101 Prince of Wales Drive</t>
  </si>
  <si>
    <t>Block J</t>
  </si>
  <si>
    <t>Redevelopment of the site to provide a mixed-use development comprising 839 residential units, including affordable housing; approximately 5,700sqm of flexible commercial floorspace including retail, financial and professional services, cafe/restaurant, offices, education, community and leisure (A1/A2/A3/B1/D1/D2) uses within buildings ranging from 2 to 26 storeys high; together with landscaped private amenity space and public realm, including publicly accessible routes through the site; an energy centre; basement car parking; basement and ground level cycle parking; refuse storage and servicing; vehicular access and demolition of remaining single-storey structures along the western boundary of the site, excluding the telecommunications equipment._x000D_
An Environmental Statement has been submitted with the application under The Town and Country Planning (Environmental Impact Assessment) Regulations 2011.</t>
  </si>
  <si>
    <t>2.1.4</t>
  </si>
  <si>
    <t>ISO</t>
  </si>
  <si>
    <t>2016/6417</t>
  </si>
  <si>
    <t>Block H</t>
  </si>
  <si>
    <t>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
_x000D_
(The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t>
  </si>
  <si>
    <t>2017/5595</t>
  </si>
  <si>
    <t>Block D</t>
  </si>
  <si>
    <t>Alterations to internal layout of one 2-bedroom maisonette on the ground and first floor of Block D to create one 3-bedroom maisonette.</t>
  </si>
  <si>
    <t>S96A</t>
  </si>
  <si>
    <t>2017/6397</t>
  </si>
  <si>
    <t>The Stag PH, 96 Westbridge Road</t>
  </si>
  <si>
    <t>Change of use of the upper floor into a three-bedroom flat and creation of a new residential entrance. Ground and basement floors to be retained as a public house.</t>
  </si>
  <si>
    <t>2017/3099</t>
  </si>
  <si>
    <t>33 Roedean Crescent</t>
  </si>
  <si>
    <t>Demolition of existing building and erection of 2 x 5-bedroom three storey houses (top floor in roof); associated garages, landscaping and parking and alterations to front boundary; (Amended scheme to that granted planning permission dated 28/06/16 ref. 2016/1017 [Demolition of existing house and erection of 2 x three-storey houses plus basement houses with external light-wells and associated landscaping and car parking. Alterations to front boundary) to omit basements and lightwells and amend site layout.</t>
  </si>
  <si>
    <t>Gdn</t>
  </si>
  <si>
    <t>2018/4499</t>
  </si>
  <si>
    <t>22 Fernlea Road</t>
  </si>
  <si>
    <t>Enlargement of front lightwell and conversion of a basement into a self contained one-bedroom flat.</t>
  </si>
  <si>
    <t>2017/6631</t>
  </si>
  <si>
    <t>83 Lavender Hill</t>
  </si>
  <si>
    <t>Erection of a mansard roof extension to main rear roof and extensions at first, second and third floors and change of use of the property into 8-bedroom HMO (from Class C3 to Class Sui Genres).</t>
  </si>
  <si>
    <t>2017/3453</t>
  </si>
  <si>
    <t>51 Lydden Grove</t>
  </si>
  <si>
    <t>Erection of a two-storey detached house with associated landscaping and parking.</t>
  </si>
  <si>
    <t>2018/4535</t>
  </si>
  <si>
    <t>Cube Apartments, 119 Chatham Road</t>
  </si>
  <si>
    <t>Erection of a new floor of accommodation to form 1 x 2-bed flat and 1 x 1-bed flat at roof level.</t>
  </si>
  <si>
    <t>2018/1199</t>
  </si>
  <si>
    <t>Park House, 233 Roehampton Lane</t>
  </si>
  <si>
    <t>CoU from B1</t>
  </si>
  <si>
    <t>Alterations including erection of extension at ground floor level; rooflights and west facing dormer in connection with change of use from clinic (Class D1) and office (Class B1) to residential (Class C3) to create 4 x 2-bedroom flats..</t>
  </si>
  <si>
    <t>CoU from D1</t>
  </si>
  <si>
    <t>New build - extnesion to ground floor</t>
  </si>
  <si>
    <t>2018/3735</t>
  </si>
  <si>
    <t>64 Northcote Road</t>
  </si>
  <si>
    <t>Alterations including erection of rear mansard roof extension and side dormer extension to main roof; Erection of two-storey rear and single-storey side extensions at first floor level in connection with creation of additional 2-bedroom flat.</t>
  </si>
  <si>
    <t>2014/4516</t>
  </si>
  <si>
    <t>Tidbury Court, Stewarts Road</t>
  </si>
  <si>
    <t>Demolition of existing buildings and construction of a new 4-storey building to provide 22 flats for affordable rent, including associated landscaping, cycle and refuse stores.</t>
  </si>
  <si>
    <t>AC</t>
  </si>
  <si>
    <t>2.1.26</t>
  </si>
  <si>
    <t>2016/2182</t>
  </si>
  <si>
    <t>Jessica House, Red Lion Square</t>
  </si>
  <si>
    <t>Change of use of offices on part of ground, mezzanine and first floor and all other upper levels (2-4) from (Class B1a) to residential (Class C3) to provide 61 residential units.</t>
  </si>
  <si>
    <t>PAG</t>
  </si>
  <si>
    <t>OFC</t>
  </si>
  <si>
    <t>2018/0751</t>
  </si>
  <si>
    <t>Northern Building</t>
  </si>
  <si>
    <t>Alterations including erection of extensions at third floor levels to northern building and extension at fifth floor level to southern building to provide 9 residential units (4 x 1-bedroom and 5 x 2-bedroom flats) with roof terraces at third and fifth floor levels.</t>
  </si>
  <si>
    <t>Southern Building</t>
  </si>
  <si>
    <t>2017/0203</t>
  </si>
  <si>
    <t>435 Upper Richmond Road</t>
  </si>
  <si>
    <t>Erection of mansard extension to main rear roof (with French doors) including roof terrace to rear with 1.8m high screen surround and dormer roof extension to front;  two-storey rear extension and excavation to create basement including formation of front and rear lightwells in connection with conversion of property into 2 x 2-bedroom and 2 x 3-bedroom flats with associated cycle and refuse storage at 435 Upper Richmond Road.  Repositioning flank window to rear elevation of 437 Upper Richmond Road.</t>
  </si>
  <si>
    <t>2014/5149</t>
  </si>
  <si>
    <t>South Thames College &amp; Welbeck House, 17-27 Garratt Lane (Wandsworth Exchange)</t>
  </si>
  <si>
    <t>Block C</t>
  </si>
  <si>
    <t>Demolition of existing buildings and erection of four new buildings ranging in height from 4 to 26 storeys to provide 201 residential units, 2,458sq.m of commercial floor space (Class A1, A2, A3, A4 and A5, B1(a)) and D1 (relocation of Wandsworth library) and associated parking, access routes, amenity space, public realm works and alterations to the adjacent Old Burial Ground on Garratt Lane.</t>
  </si>
  <si>
    <t>3.1.4</t>
  </si>
  <si>
    <t>AA</t>
  </si>
  <si>
    <t>2015/5946</t>
  </si>
  <si>
    <t>Deed of variation of planning permission ref 2014/5149 dated 08/07/2015 for demolition of existing buildings and erection of four new buildings ranging in height from 4 to 26 storeys to provide 201 residential units, 2,458sq.m of commercial floor space (Class A1, A2, A3, A4 and A5, B1(a)) and D1 (relocation of Wandsworth library) and associated parking, access routes, amenity space, public realm works and alterations to the adjacent Old Burial Ground on Garratt Lane.</t>
  </si>
  <si>
    <t>S106</t>
  </si>
  <si>
    <t>nb</t>
  </si>
  <si>
    <t>2019/0536</t>
  </si>
  <si>
    <t>Main Site, Ballymore, Ponton Road (Embassy Gardens)</t>
  </si>
  <si>
    <t>A05</t>
  </si>
  <si>
    <t>Revised Reserved Matters details (appearance, layout) application in relation to Plot A05 within Phase 2 of the development permitted under planning permission 2011/1815, dated 30/03/12 (as amended) for the demolition of all existing buildings and construction of a mixed use redevelopment to provide residential units, including affordable housing, retail, financial and professional services, cafe/restaurant, bar and hot food take-away uses, car showrooms, office floorspace and flexible workspace, a hotel, community uses and assembly and leisure uses, associated basement and ground level parking and servicing; energy centres; new vehicle and pedestrian access and circulation; and new public amenity space and landscaping including part of the 'Linear Park'. The revised Reserved Matters are for the reconfiguration of the mezzanine area to achieve 2no. additional residential units, amendments to the ground floor layout and erection of additional retail screens, canopies and awnings.</t>
  </si>
  <si>
    <t>DT</t>
  </si>
  <si>
    <t>2.1.16</t>
  </si>
  <si>
    <t>2014/3467</t>
  </si>
  <si>
    <t>Site adjoining 60, Aliwal Road</t>
  </si>
  <si>
    <t>Demolition of two single storey prefabricated concrete lock up storage units and excavation to enable erection of 1 x 3 bedroom three-storey house with office (as live/work unit) included at basement level.</t>
  </si>
  <si>
    <t>2016/2986</t>
  </si>
  <si>
    <t>The Mission Hall, Walkers Place</t>
  </si>
  <si>
    <t>Demolition of existing building and erection of a new four-storey plus basement level building for use as either class B1 (office use) or class D1 (non residential institutions) at rear part of ground floor and lower ground floor, class A3 (cafe) including external seating area in front part ground floor, and 6 x 2-bed flats on the first to third floors, with associated terraces/balconies.</t>
  </si>
  <si>
    <t>2018/4973</t>
  </si>
  <si>
    <t>239 Wimbledon Park Road</t>
  </si>
  <si>
    <t>Determination as to whether prior approval is required for change of use from retail  (Class A1) at basement level from to a studio flat (Class C3).</t>
  </si>
  <si>
    <t>2019/3167</t>
  </si>
  <si>
    <t>160 Upper Tooting Road</t>
  </si>
  <si>
    <t>Alterations including erection of two-storey extension above ground floor in connection with formation of 2 x 2-bedroom flats with associated bin and cycle storage.</t>
  </si>
  <si>
    <t>2017/5094</t>
  </si>
  <si>
    <t>915 Garratt Lane</t>
  </si>
  <si>
    <t>Alterations including the demolition of the existing ground floor rear garage and the erection of a single storey rear extension and a single storey rear extension at first floor level in connection with change of use of rear of ground floor from retail (Class A1) to residential (Class C3) to provide one bedroom flat and internal alterations to the first floor flat.</t>
  </si>
  <si>
    <t>2013/3785</t>
  </si>
  <si>
    <t>Centre Square 1-9, 1 Hardwicks Square</t>
  </si>
  <si>
    <t>Prior approval for conversion of office (class B1) to two, two-bedroom residential units (class C3).</t>
  </si>
  <si>
    <t>2014/0058</t>
  </si>
  <si>
    <t>Land r/o, 14A Lavender Hill</t>
  </si>
  <si>
    <t>Erection of a one-bedroom dwelling at the rear of No.14 Lavender Hill with the associated amenity space, refuse and cycle space.</t>
  </si>
  <si>
    <t>2019/0889</t>
  </si>
  <si>
    <t>Gani Property Services, 58 Trinity Road</t>
  </si>
  <si>
    <t>Erection of extension to provide additional floor of accommodation and erection of extension above 2 storey back addition in connection with creation of a 1 x 2 bed flat.</t>
  </si>
  <si>
    <t>2017/3067</t>
  </si>
  <si>
    <t>148-150 Penwith Road</t>
  </si>
  <si>
    <t>Determination as to whether prior approval is required for change of use of offices on part first and second floor levels from (Class B1a)  to residential (Class C3) to provide 3 x 2-bedroom, 3 x 1-bedroom and 1 x studio flats.</t>
  </si>
  <si>
    <t>2017/6636</t>
  </si>
  <si>
    <t>Alterations in connection with change of use from Music School (Class D1) to residential (Class C3) to provide 2 x 1-bedroom flats.</t>
  </si>
  <si>
    <t>2018/2284</t>
  </si>
  <si>
    <t>216 Tooting High Street</t>
  </si>
  <si>
    <t>Erection of two-storey 2 bedroom house with associated refuse, cycle storage and parking.</t>
  </si>
  <si>
    <t>2014/4483</t>
  </si>
  <si>
    <t>Grange Cottage, 8A Bramcote Road</t>
  </si>
  <si>
    <t>Demolition of existing house and erection of two-storey (plus basement) house with a first floor balcony, associated landscaping and felling of 4 trees. Further consultation following Tree survey and site boundary adjustments.</t>
  </si>
  <si>
    <t>2014/4665</t>
  </si>
  <si>
    <t>Battersea Park East, Queenstown Road (Battersea Exchange)</t>
  </si>
  <si>
    <t>Block 01</t>
  </si>
  <si>
    <t>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
Applications for listed building consent for the elements of the works concerning Queenstown Road station (ref.2014/4687), and Battersea Park Railway Bridge (ref. 2014/4688) are submitted concurrently.</t>
  </si>
  <si>
    <t>2.1.30</t>
  </si>
  <si>
    <t>Block 02</t>
  </si>
  <si>
    <t>Block 04</t>
  </si>
  <si>
    <t>Block 05</t>
  </si>
  <si>
    <t>Block 09</t>
  </si>
  <si>
    <t>2014/6746</t>
  </si>
  <si>
    <t>Car Park and Land South of, Osiers Road</t>
  </si>
  <si>
    <t>Erection of three 10-storey blocks, linked at ground and first floor levels, to provide a mixed commercial and residential development on the existing car park site comprising a total of 470 sq.m. of commercial floorspace (Class A1, A2, A3, B1, D1 or D2) within 4 commercial units at ground floor level, 31 car parking spaces at first floor, and 85 residential units (15 x 1-bedroom, 61 x 2-bedroom and 9 x 3-bedroom) units  on the upper eight storeys (including 19 affordable housing units) with balconies or winter gardens.  The proposal also includes associated cycle parking, landscaping and other works, including a new sub-station and the provision of a publicly accessible 'pocket park' at the western end of the site.</t>
  </si>
  <si>
    <t>2019/0921</t>
  </si>
  <si>
    <t>Variation of S106 agreement pursuant to planning permission dated 17/09/2015 Ref:2014/6746 (Erection of three 10-storey blocks, linked at ground and first floor lvels, to provide a mixed commercial and residential development on the existing car park site comprising a total of 470sq.m of commercial floorspace (Class A1, A2, A3, B1, D1 or D2) within  commercial units at ground floor level, 31 car parkng spaces at first floor, and 85 residential units ( 15 x 1-bedroom, 61 x 2-bedroom and 9 x 3-bedroom) units on the upper eight storeys (including 19 affordable housing units) with balconies or winter gardens. The proposal also includes associated cycle parking, landscaping and other works, including a new sub-station and the provision f a publicly accessible "pocket park" at the western end of the site) to allow the swapping of an affordable unit with a private unit, maintaining the same overall dweling mix and number of affordable units.</t>
  </si>
  <si>
    <t>2015/7642</t>
  </si>
  <si>
    <t>341 Battersea Park Road</t>
  </si>
  <si>
    <t>Demolition of existing building to provide a mixed use development in a part-3, part-4 storey building (plus basement level) with side/rear lightwell and roof terrace.  Retail/professional services/restaurant/office uses (Use Class A1) at ground and basement levels and 10 residential units (2 x 1-bedroom, 6 x 2-bedroom and 2 x 3-bedroom) at basement, ground, first, second and third floors; associated cycle parking and refuse and recycling storage.</t>
  </si>
  <si>
    <t>2017/6753</t>
  </si>
  <si>
    <t>158 Battersea High Street</t>
  </si>
  <si>
    <t>Alterations include the erection of a two-storey extension in connection with the formation of a 1 x2-bedroom duplex flat.</t>
  </si>
  <si>
    <t>2018/2378</t>
  </si>
  <si>
    <t>BP Nightingale Service Station, 266 Balham High Road</t>
  </si>
  <si>
    <t>Variation of conditions 2, 5, 7, 10, 13 and 21, removal of condition 14 and change of wording to condition 12 of planning permission 2017/6232 which granted 'Demolition of existing petrol filling station (Class Sui Generis) and redevelopment of the site including erection of a 4-7 storey building to provide 69 units(20 x 1 bedrooms, 40x 2 bedrooms, 7 x 3 bedrooms, 1 x 4 bedroom and 1 studio)'. Proposals to be amended by way of : a revised lobby/refuse strategy; cycle strategy; courtyard landscaping details, provision of 1no. additional unit at 6th floor; revised layout and elevations; updated energy strategy and relocation of 2no shared ownership units.</t>
  </si>
  <si>
    <t>AS</t>
  </si>
  <si>
    <t>2015/3237</t>
  </si>
  <si>
    <t>44 Melrose Court, Melrose Road</t>
  </si>
  <si>
    <t>Demolition of garages and excavation in connection with erection of two storey dwelling (basement and ground floors). (Reduced lower ground footprint).</t>
  </si>
  <si>
    <t>2015/4817</t>
  </si>
  <si>
    <t>The Bricklayers Arms, 32 Waterman Street</t>
  </si>
  <si>
    <t>Demolition of existing ground floor rear back additions and erection of a two storey rear extension to re-provide accommodation to the public house at ground floor level (Use Class A4) and additional ancillary residential accommodation at first floor level; erection of a two-storey building with basement adjacent to the main public house to provide 1 x 1 bedroom flat and 1 x 2 bedroom flat with private amenity space</t>
  </si>
  <si>
    <t>2018/5005</t>
  </si>
  <si>
    <t>Palladino House &amp; Wood House 6 &amp; 7, Laurel Close</t>
  </si>
  <si>
    <t>Variation of condition 2 (in accordance with approved drawings) and removal of conditions 3 (arrangements for the storage of bicylces and refuse) and 4 (car parking management plan) pursuant to planning permission dated 17/12/2015 ref 2015/4036 (Change of use of existing three storey building from retirement housing, residential care home and general needs housing (Use Class C2) to 49 self contained flats (Use Class C3) as 18 x 1-bedroom, 14 x 2-bedroom, 6 x 3-bedroom, 10 x 4-bedroom units and 1 x 4-bedroom maisonette, to provide temporary emergency family accommodation prior to permanent housing allocation.) to allow external alterations to the walls/windows of flats GF13 &amp; GF14 and a new double glazed timber effect window to fit within existing opening within flat FF15A. Reconfigured layout to first floor to show 1 x one bed  flat (F15) and an additional 1 x studio flat (FF15a).  Reconfigured layout at second floor to show 1 x one bed (SF07) and  an addtional 1 x studio flat (SF05a) and reconfigured layouts to reduce 4 x four bed flats (SF01, SF08, TF91 and TF07) to 4 x three bed flats; sheffield bike rack to be relocated within/under the undercroft and will be monitored via CCTV cameras; and reduce the car parking to two parking bays for wheelchair uses and two spaces for staff only.</t>
  </si>
  <si>
    <t>OTC</t>
  </si>
  <si>
    <t>5.4</t>
  </si>
  <si>
    <t>2015/5926</t>
  </si>
  <si>
    <t>Garages &amp; Forecourt 72-82, 72-82 Gaskarth Road (1-6 Gaskarth Road)</t>
  </si>
  <si>
    <t>Demolition of existing garages and erection of part one, part two, part three-storey building to provide 4x2 bedroom flats and 2x1 bed flats with associated cycle storage and boundary treatments.</t>
  </si>
  <si>
    <t>2015/5987</t>
  </si>
  <si>
    <t>50 Chartfield Avenue</t>
  </si>
  <si>
    <t>Demolition of existing residential dwelling and the erection of two-storey dwellinghouse including basement and habitable roofspace.</t>
  </si>
  <si>
    <t>2018/0078</t>
  </si>
  <si>
    <t>357-359 Garratt Lane</t>
  </si>
  <si>
    <t>Alterations including refurbishment of commercial floorspace at basement and part ground floor levels; change of use of rear ground floor from retail (class A1) to residential (class C3) in relation to the conversion of the properties to 1 x 3 bedroom, 2 x 2 bedroom and 1 x 1 bedroom flats; alterations including first floor rear extension at no. 359, roof extensions above part of each two-storey back addition, extend existing dormer at no. 359, replacement of single-storey rear extension, roof terrace over at rear second floor level of no. 359 with screening; alterations to shopfront including reduction to the depth of the ground floor front elevation, excavations to create front lightwells with metal balustrades; creation of cycle and refuse store with access from side elevation.</t>
  </si>
  <si>
    <t>2016/2739</t>
  </si>
  <si>
    <t>Land rear of 968, 968 Garratt Lane</t>
  </si>
  <si>
    <t>Demolition of existing building and erection of three-storey building (including basement level with front lightwell) to provide 1x 1-bedroom unit and 2x 2-bedroom residential units.</t>
  </si>
  <si>
    <t>2016/0686</t>
  </si>
  <si>
    <t>68a, Kelmscott Road</t>
  </si>
  <si>
    <t>Alterations in connection with the change of use from office (Class B1) to 1 x 1-bedroom house (Class C3) including erection of front and rear roof extension and ground floor side extension. (Amendments to design of roof extension)</t>
  </si>
  <si>
    <t>2018/4970</t>
  </si>
  <si>
    <t>243 Wimbledon Park Road</t>
  </si>
  <si>
    <t>Determination as to whether prior approval is required for change of use of basement  from retail (Class A1) to 1 x studio flat (Class C3) including insertion of window in rear elevation.</t>
  </si>
  <si>
    <t>2016/2605</t>
  </si>
  <si>
    <t>52 Oakmead Road</t>
  </si>
  <si>
    <t>Alterations in connection with the creation of a 1x1-bedroom flat including erection of mansard roof extension to main rear roof including extension above part of two-storey back addition; formation of roof terrace above two-storey back addition with screen surround. Insertion of rooflights to front roofslope.  Provision of refuse store and cycle parking to front garden.</t>
  </si>
  <si>
    <t>2016/2696</t>
  </si>
  <si>
    <t>Keswick Heights 28, 28 Keswick Road</t>
  </si>
  <si>
    <t>Erection of additional floor of accommodation to provide 3 x 1-bedroom and 1 x 2-bedroom flats with roof terrace and associated safety screening.</t>
  </si>
  <si>
    <t>2016/2230</t>
  </si>
  <si>
    <t>Grafton House (Brodrick Road), 197 Trinity Road</t>
  </si>
  <si>
    <t>Demolition of existing garage and rear extension.  Erection of part two, part three-storey (basement to first floor) rear/side extensions, including formation of second floor rear roof terrace; excavation to create an enlarged basement including formation of front, side and rear lightwells. Works in connection with proposed conversion of the property into 5 residential units.</t>
  </si>
  <si>
    <t>2016/2770</t>
  </si>
  <si>
    <t>76-87 Arnal Crescent</t>
  </si>
  <si>
    <t>Alterations including infilling of undercroft parking area to provide 1 x 1-bedroom and 1 x 2- bedroom flats with erection of railings and access ramp to east elevation.</t>
  </si>
  <si>
    <t>2016/2823</t>
  </si>
  <si>
    <t>30 Harvard Mansions, St Johns Hill</t>
  </si>
  <si>
    <t>Conversion of existing 4 x bed flat into 1 x 1-bedroom flat and 1 x studio flats.</t>
  </si>
  <si>
    <t>2016/3297</t>
  </si>
  <si>
    <t>32 Malbrook Road</t>
  </si>
  <si>
    <t>Demolition of existing house and erection of 2 x two-storey semi-detached houses with accommodation at basement and roof levels; rebuilding of front and side boundary walls and associated landscaping.</t>
  </si>
  <si>
    <t>2017/0466</t>
  </si>
  <si>
    <t>25 West Hill Road</t>
  </si>
  <si>
    <t>Demolition of existing house and erection of 4 x three-storey (including basement) 5-bedroom houses (2 x detached and 2 x semi-detached) with associated landscaping and provision of 4 off-street parking spaces (Amendments to planning refusal 2016/2724).</t>
  </si>
  <si>
    <t>2018/1333</t>
  </si>
  <si>
    <t>72 Gowrie Road</t>
  </si>
  <si>
    <t>Demolition of existing dwellinghouse (except for front facade and front sections of the side facades) and erection of a replacement house, including excavation of basement with front and rear lightwells, increased ridge height by 350mm, front rooflights, erection of mansard roof extension to main rear roof and part single, part three-storey rear additions with a roof terrace and1.7m high surrounding screen.</t>
  </si>
  <si>
    <t>2016/4081</t>
  </si>
  <si>
    <t>Unit 5 Old School House, Bridge Lane</t>
  </si>
  <si>
    <t>Determination as to whether prior approval is required for change of use of office   from (Class B1a) to residential (Class C3)</t>
  </si>
  <si>
    <t>2018/3248</t>
  </si>
  <si>
    <t>38-40 Fernlea Road</t>
  </si>
  <si>
    <t>38 Fernlea Road conversion</t>
  </si>
  <si>
    <t>Conversion of basement, ground floor &amp; first floor flats to create 6 flats (2 x 2-bedroom and 4 x 1-bedroom). Lightwells to front with railings and bin and bicycle storage area to front. Alterations including erection of a part single-, part two-storey rear extension with terraces at ground floor level.</t>
  </si>
  <si>
    <t>38 Fernlea Road extn</t>
  </si>
  <si>
    <t>38-40 Fernlea Road 1st floor rear extn</t>
  </si>
  <si>
    <t>38-40 Fernlea Road extn 1st floor front</t>
  </si>
  <si>
    <t>40 Fernlea Road conversion</t>
  </si>
  <si>
    <t>40 Fernlea Road Extn</t>
  </si>
  <si>
    <t>2016/5245</t>
  </si>
  <si>
    <t>Garages south of 19-27, 19 Skelbrook Road</t>
  </si>
  <si>
    <t>Demolition of existing garages and erection of  2 x 2-storey, 3-bedroom houses with associated landscaping and 2 x off-street parking spaces with access from Summerley Street.</t>
  </si>
  <si>
    <t>2016/5139</t>
  </si>
  <si>
    <t>85 Elspeth Road</t>
  </si>
  <si>
    <t>Erection of mansard extension to main rear roof and formation of roof terrace with 1.7m glazed screen surround; excavation to enlarge basement including formation of front and rear lightwells with grille over; alterations in connection with conversion of property into 1 x 3-bedroom and 2 x 1-bedroom flats.</t>
  </si>
  <si>
    <t>2016/5168</t>
  </si>
  <si>
    <t>Land at  (west of HM Prison), Heathfield Square</t>
  </si>
  <si>
    <t>Redevelopment of the site to provide 18 residential units, comprising six 4-bedroomed houses and 12 flats (3 x one-bedroom, 5 x two-bedroom and 4 x three-bedroom), including 4 shared ownership units, in buildings ranging between two and four-storeys high, with additional accommodation with the roofspace, and including balconies and terraces, with 18 associated off-street parking spaces, cycle parking, access and landscaping works.</t>
  </si>
  <si>
    <t>9.4</t>
  </si>
  <si>
    <t>2016/6533</t>
  </si>
  <si>
    <t>523 Old York Road</t>
  </si>
  <si>
    <t>Erection of replacement part single-part two storey rear extensions, erection of mansard roof extension, erection of a front dormer, erection of a mansard roof extension above the back addition including formation of roof terrace with glazed screen surround, change of use of first floor and part of the ground floor office space, excavation to enlarge basement including formation of rear lightwells and alterations to provide 1 x 1-bedroom, 1 x 2-bedroom and 1 x 3-bedroom flats.</t>
  </si>
  <si>
    <t>2016/7163</t>
  </si>
  <si>
    <t>Ground and basement 190a, 190a Trinity Road</t>
  </si>
  <si>
    <t>Excavation to extend basement including formation of front and rear lightwells, and erection of single storey plus basement level rear extension, in association with subdivision of property into a 1 x two-bedroom and 1 x one-bedroom flats (amendments to application ref. 2016/1652 proposing revised design to rear extension and changes to front lightwell).</t>
  </si>
  <si>
    <t>2016/6183</t>
  </si>
  <si>
    <t>167B, 167 Latchmere Road</t>
  </si>
  <si>
    <t>Erection of mansard roof extension to main rear roof and above part of three storey back addition including formation of roof terrace with 1.7m high safety balustrade surround to create 1 x 2-bedroom unit.</t>
  </si>
  <si>
    <t>2016/6355</t>
  </si>
  <si>
    <t>122 Clapham Common West Side</t>
  </si>
  <si>
    <t>Alterations including erection of single storey side/rear extension, replacement windows, and bin store to front area in connection with conversion of building into 2 x 3-bedroom flats.</t>
  </si>
  <si>
    <t>2017/2906</t>
  </si>
  <si>
    <t>228 Mitcham Road</t>
  </si>
  <si>
    <t>Alterations including erection of a three-storey rear extension plus mansard roof extension to main rear roof and over rear extension, erection of a single storey rear/side extension, enlargement of basement including formation of front lighwell and excavation of rear garden, landscaping works and alterations in connection with conversion of building into 3 x 3-bedroom and 2 x 2-bedroom flats.</t>
  </si>
  <si>
    <t>2016/6876</t>
  </si>
  <si>
    <t>Ground floor flat, 38a Upper Richmond Road</t>
  </si>
  <si>
    <t>Determination as to whether prior approval is required for change of use from retail (Class A1) to 1 x 1-bedroom flat (Class C3).</t>
  </si>
  <si>
    <t>PANR</t>
  </si>
  <si>
    <t>2016/5554</t>
  </si>
  <si>
    <t>298 Battersea Park Road</t>
  </si>
  <si>
    <t>Erection of front, side and rear mansard roof extension (with a dormer window to the rear elevation) to provided an additional floor of accommodation, in connection with the creation of 1 x 1-bedroom flat.</t>
  </si>
  <si>
    <t>2016/6119</t>
  </si>
  <si>
    <t>56 Keswick Road</t>
  </si>
  <si>
    <t>Demolition of existing dwelling and erection of two-storey building (with accommodation at roof and basement levels), to provide 4 x 3-bedroom, 4 x 2-bedroom and 1 x 1-bedroom flats with associated roof terraces to north, east and south elevations; cycle and refuse storage, five car parking spaces and associated landscaping. Erection of replacement front and side boundary wall and railings with pedestrian and vehicular gates up to 1.3m high.</t>
  </si>
  <si>
    <t>2019/1716</t>
  </si>
  <si>
    <t>Heathmere School Keeper's House, Alton Road</t>
  </si>
  <si>
    <t>Variation of condition 2 (in accordance with approved drawings) pursuant to planning permission dated 24/03/2017 ref 2016/7179 (Erection of new three storey building comprising of 6 new residential dwellings (3 x two-bedroom duplex apartments at ground and first floor level, all with private external area to the rear, and 3 x one-bedroom loft apartments with rear balconies at second floor level). Associated landscaping, boundary treatment and cycle and refuse storage) to allow for second bedrooms and mezzanine in second floor apartments and insertion of additional windows in the rear elevation at third floor level.  [Updated Description and additonal drawing submitted].</t>
  </si>
  <si>
    <t>2017/2903</t>
  </si>
  <si>
    <t>528-536 Garratt Lane</t>
  </si>
  <si>
    <t>Demolition of existing building and erection of a part three, part four-storey building to provide retail unit at ground floor (Class A1) and 6 x 2-bedroom and 2 x 1-bedroom flats (Class C3) on the upper floors with balconies and terraces and provision for associated cycle parking, refuse storage and boundary treatment. [Amendments to fourth storey].</t>
  </si>
  <si>
    <t>2017/1585</t>
  </si>
  <si>
    <t>Flats 508 and 509, 334 Queenstown Road</t>
  </si>
  <si>
    <t>Conversion of two flats into one single dwelling.</t>
  </si>
  <si>
    <t>c-</t>
  </si>
  <si>
    <t>2016/6473</t>
  </si>
  <si>
    <t>521 Old York Road</t>
  </si>
  <si>
    <t>Erection of replacement two-storey rear extension; erection of mansard roof extension to main rear roof, insertion of front dormer and formation of rear roof terrace with screen surround; excavation to enlarge basement including formation of rear lightwell with grille over; alterations to rear and above retail unit to provide 3 x 2-bedroom and 1 x 1-bedroom flats.</t>
  </si>
  <si>
    <t>2017/0090</t>
  </si>
  <si>
    <t>Land at Wandsworth Riverside Quarter Phase 3 (Building 6B), Point Pleasant/Osiers Road</t>
  </si>
  <si>
    <t>Erection of a mixed use development in a building ranging between 11 storeys (ground plus mezzanine and 10 upper storeys) on the southern part of the site, rising up to 15 storeys (ground plus mezzanine and 14 upper storeys) at the northern end of the site adjacent to the river Thames frontage (the proposed development is on the site of the previously consented 9 storey building 6B, approved under application ref. 2009/3372). The development is to provide 918sq.m. (GIA) of commercial use on the ground floor, comprising 322 sq.m. of flexible B1 (business)/A1 (retail)/A3 (food and drink) floorspace, 174sqm of A3/A4 (food and drink) floorspace, and 422sq.m. of D2 (assembly and leisure) floorspace, with 172 residential units (of private and affordable tenure) on the upper floors, together with basement levels with 72 car and 340 cycle parking spaces, and associated amenity space provision including roof terraces and balconies, together with landscaping/areas of public realm, including space for outside seating and a riverside promenade. An Environmental Statement has been submitted with the application under the Town and Country Planning (Environmental Impact Assessment) Regulations 2011 (as amended).</t>
  </si>
  <si>
    <t>3.3.1</t>
  </si>
  <si>
    <t>2017/0724</t>
  </si>
  <si>
    <t>152 Ramsden Road</t>
  </si>
  <si>
    <t>Alterations including erection of roof extension with rear terrace to create two additional storeys of accomodation in connection with creation of additional 1 x 1-bedroom and 2 x 2-bedroom flats; installation of replacement windows and doors; erection of replacement garage.</t>
  </si>
  <si>
    <t>2016/7237</t>
  </si>
  <si>
    <t>118 Putney High Street</t>
  </si>
  <si>
    <t>Alterations including erection of additional storey of accommodation to form 1 x 1-bedroom flat (with French doors, roof terrace and safety railings), erection of a two-storey rear/side extension at first and second floors in connection with the conversion from 2 x 1 bedroom flats to form 2 x 2-bedroom flats. Installation of a bin and cycle storage to rear/side and enclose rear courtyard to form retail storage and staff area. Installation of 1 x air conditioning units and timber enclosure at rear first floor level.</t>
  </si>
  <si>
    <t>2017/6508</t>
  </si>
  <si>
    <t>88A Northcote Road</t>
  </si>
  <si>
    <t>Alterations including erection of mansard roof extension to main rear roof. Erection of first floor and second floor rear extensions; formation of roof terraces at first and second floor levels and conversion of flat into 1 x 1-bedroom &amp; 1 x 2-bedroom flats.</t>
  </si>
  <si>
    <t>2017/1589</t>
  </si>
  <si>
    <t>19-21 St Andrews Court</t>
  </si>
  <si>
    <t>Demolition of existing building and erection of a three-storey (plus basement and roof accomodation) building to provide 3 x 1-bedroom, 5 x 2-bedroom and 1 x 3-bedroom flats. Provision of cycle parking and refuse storage. Associated landscaping.</t>
  </si>
  <si>
    <t>2017/4356</t>
  </si>
  <si>
    <t>Units 11-13 &amp; 24-25 Blades Court, 121 Deodar Road</t>
  </si>
  <si>
    <t>Determination as to whether prior approval is required for change of use from offices (Class B1a) to residential (Class C3) to provide 12 x 1 bedroom  and 3 x 2-bedroom flats.</t>
  </si>
  <si>
    <t>2017/6216</t>
  </si>
  <si>
    <t>17 Strathblaine Road</t>
  </si>
  <si>
    <t>Extension to existing</t>
  </si>
  <si>
    <t>Alterations including erection of mansard roof extension to main rear roof (with French doors and safety railings) including raising the ridge by 0.15m and extension above three-storey back addition including formation of rear roof terrace at third floor level; railings to the first floor roof terrace to be replaced with a glazed balustrade; erection of single-storey rear/side extension;  All works in relation to the conversion of the building into 1 x 1 bedroomed and 2 x 3 bedroomed flats.</t>
  </si>
  <si>
    <t>2017/6920</t>
  </si>
  <si>
    <t>10 Sisters Avenue</t>
  </si>
  <si>
    <t>Alterations including erection of dormer roof extension to the side and rear (with balcony) of the main roof; erection of a part two-storey, part three storey rear extension to lower, ground and first floors and internal alterations in connection with the further conversion of the property from three flats into five flats (2 x 3 bedroom, 1 x 2 bedroom 1 x 1 bedroom and 1 studio flat) . Provision of bike and bin store to front garden and replacement of existing windows.</t>
  </si>
  <si>
    <t>2017/2623</t>
  </si>
  <si>
    <t>141 Sellincourt Road</t>
  </si>
  <si>
    <t>Alterations including erection of mansard roof extension to main rear roof (with French doors and safety railings) and extension above part of two-story back addition; formation of roof terrace above two-storey back addition with 1.8m high screen surround in connection with creation of a self-contained unit at roof level.</t>
  </si>
  <si>
    <t>2017/5495</t>
  </si>
  <si>
    <t>57 Louisville Road</t>
  </si>
  <si>
    <t>Alterations including erection of mansard roof extension (with French doors and safety railings) and erection of single-storey side/rear extension in connection with the change of use of the property from HMO (Class Sui Generis) into 1 x 1-bedroom, 1 x 2-bedroom and 1 x 3-bedroom flats (Class C3) with associated cycle and refuse storage.  Alterations and restoration of front elevation and front boundary treatment.</t>
  </si>
  <si>
    <t>2017/3002</t>
  </si>
  <si>
    <t>37 Fanthorpe Street</t>
  </si>
  <si>
    <t>Alterations including erection of hip to gable and rear mansard roof extension (with French doors and safety railings) and erection of extension above two-storey rear addition.  Erection of single-storey rear/side extension in connection with the use of the property as a 5-bedroom house.</t>
  </si>
  <si>
    <t>2018/0300</t>
  </si>
  <si>
    <t>The Queens Arms P.H., 139 St Philip Street</t>
  </si>
  <si>
    <t>Use of the basement and ground floors as a public house (Use Class A4), an additional storey through a roof extension to create a 1 x 3-bedroom flat, a single storey side extension at first floor level and conversion of the first and second floors into 3 x 2-bedroom flats and 1 x studio flat.</t>
  </si>
  <si>
    <t>2018/2936</t>
  </si>
  <si>
    <t>83 Garratt Terrace</t>
  </si>
  <si>
    <t>Alterations including erection of mansard roof extensions to main rear roof including raising the ridge by 200mm; Installation of 8no. rooflights to front roofslope; Erection of extension above three-storey back addition; Installation of french doors and safety railings at first, second and third floor levels at rear elevation; Erection of extension to first floor back addition to create flat roof, in connection with creation of 1 x 3-bedroom, 1 x 2-bedroom, 1 x 1-bedroom and 1 x studio flats.</t>
  </si>
  <si>
    <t>2017/4231</t>
  </si>
  <si>
    <t>78 Tooting Bec Road</t>
  </si>
  <si>
    <t>Alterations including erection of mansard roof extension to main rear roof (with French doors and safety railings) and extension above part of two-storey back addition; formation of roof terrace above two-storey back addition with 1.7m high screen surround in connection with conversion of property into 1 x 1-bedroom flat.</t>
  </si>
  <si>
    <t>2017/5308</t>
  </si>
  <si>
    <t>96 Moyser Road</t>
  </si>
  <si>
    <t>Alterations including the demolition of existing single storey rear commercial unit and construction of new single storey rear addition to create two x 1 bedroom single storey dwellings and the change of use of the ground floor and basement of no. 96 Moyser Road from retail (Use Class A1) to a two bedroom flat (Use Class C3). Excavation works to create a two lightwells (one to the front and one to the side of no 96 Moyser Road) and associated cycle parking and refuse facilities.</t>
  </si>
  <si>
    <t>2017/3856</t>
  </si>
  <si>
    <t>123a Falcon Road</t>
  </si>
  <si>
    <t>Alterations including mansard extension to main rear roof and extension over back-addition in connection with conversion of existing flat into 1 x 1-bedroom and 1 x 2-bedroom flats.</t>
  </si>
  <si>
    <t>2019/2859</t>
  </si>
  <si>
    <t>13 Upper Tooting Road</t>
  </si>
  <si>
    <t>Alterations including erection of mansard roof extension over main rear roof; erection of a two-storey rear/side extension at first and second floors; erection of single storey extension of existing back addition;  in connection with the conversion of the upper floors to 1x 2 bed and 3 x 1 bed flats.</t>
  </si>
  <si>
    <t>2017/5589</t>
  </si>
  <si>
    <t>32/32a Hoyle Road</t>
  </si>
  <si>
    <t>Alterations and extensions including the enlargement of the three-storey back addition, enlargement of the existing two storey extension and erection of a single storey ground floor extension in connection with conversion of property into 1 x 1 bedroom, 1 x 2 bedroom and 1 x 3 bedroom flats with associated landscaping and cycle/bin storage.</t>
  </si>
  <si>
    <t>2017/5935</t>
  </si>
  <si>
    <t>204a Upper Richmond Road</t>
  </si>
  <si>
    <t>Alterations in connection with conversion of upper floors into 1 x 2-bedroom and 1 x 1-bedroom flats.</t>
  </si>
  <si>
    <t>2017/5648</t>
  </si>
  <si>
    <t>2 Eardley Road</t>
  </si>
  <si>
    <t>Alterations including amalgamation of flats A and B, enlargement of window opening and installation of french doors. Demolition of existing garages and erection of two-storey (plus roof level) 3-bedroom detached house with associated landscaping, cycle and refuse storage.</t>
  </si>
  <si>
    <t>2017/6286</t>
  </si>
  <si>
    <t>121-135 Putney High Street</t>
  </si>
  <si>
    <t>Alterations including erection of front and rear mansard roof extensions to provide additional floor of accommodation; first floor level rear extensions with roof terraces above and rear access walkway in connection with reconfiguration of six flats to create 5 x 1-bed, 6 x 2-bed and 5 x 3-bed flats; refuse and cycle stores at rear.</t>
  </si>
  <si>
    <t>2017/5993</t>
  </si>
  <si>
    <t>30 Sisters Avenue</t>
  </si>
  <si>
    <t>Alterations including the erection of mansard extension to main rear roof including raising the ridge; erection of extension above part of rear addition, and raising of the eaves of the rear addition; formation of roof terrace above rear addition; single-storey side and rear extension, excavation of basement with formation of front and rear lightwells (with stairs) in connection with change of use of the property into 5 x 1-bedroom and 2 x 2 bedroom flats with associated cycle parking and refuse store.</t>
  </si>
  <si>
    <t>2017/5244</t>
  </si>
  <si>
    <t>Garages west of 1a, 1a Isis Street</t>
  </si>
  <si>
    <t>The demolition of existing garages and the erection of a two-storey 1-bedroom dwelling.</t>
  </si>
  <si>
    <t>2018/2953</t>
  </si>
  <si>
    <t>113-115 Falcon road</t>
  </si>
  <si>
    <t>Alterations including demolition of existing rear extension and erection of three-storey rear extension to provide 1 x 2-bedroom flat and roof terrace with 1.8m high screen surround.</t>
  </si>
  <si>
    <t>2017/6849</t>
  </si>
  <si>
    <t>62 St Johns Road</t>
  </si>
  <si>
    <t>Alterations including infill of lower and upper ground floor lightwells, and first floor rear extension to allow the change of use of upper levels from Shop (Class A1) to 3 no. residential units (Class C3).</t>
  </si>
  <si>
    <t>2018/0117</t>
  </si>
  <si>
    <t>66 Mellison Road</t>
  </si>
  <si>
    <t>Erection of roof extension to main rear roof (with French doors and safety railings) including raising the ridge by 200mm and extension above part of two-storey back addition; formation of roof terrace above two-storey back addition with 1.7m high screen surround in connection with converting existing self-contained flat into 1 x 2-bedroom and 1 x 1-bedroom units.</t>
  </si>
  <si>
    <t>2018/0209</t>
  </si>
  <si>
    <t>150 Elsenham Street</t>
  </si>
  <si>
    <t>Conversion of property into 1 x 3-bedroom and 2 x 2-bedroom flats, retention of the increased roof ridge by 100mm and recladding of rear dormer to main roof (AMENDED DESCRIPTION/PLANS)</t>
  </si>
  <si>
    <t>2018/0569</t>
  </si>
  <si>
    <t>Store rear of 27, 27 Webbs Road</t>
  </si>
  <si>
    <t>Determination as to whether prior approval is required for change of use from storage (Class B8) to residential (Class C3) to provide 1 x studio flat.</t>
  </si>
  <si>
    <t>2019/1175</t>
  </si>
  <si>
    <t>130 Brookwood Road</t>
  </si>
  <si>
    <t>CoU</t>
  </si>
  <si>
    <t>Alterations in connection with change of use from offices (Class A2) to residential (Class C3) to provide 1 x 3-bedroom flat and enlarge existing flat, with associated refuse and cycle storage.</t>
  </si>
  <si>
    <t>extn</t>
  </si>
  <si>
    <t>2018/0793</t>
  </si>
  <si>
    <t>1 &amp; 1a, 1 Nepean Street</t>
  </si>
  <si>
    <t>Alterations including erection of rear dormer, front rooflights and extension above two-storey back addition which would exceed the main ridge height by 0.8m; erection of single-storey rear and side extensions in connection with use as a single dwelling house.</t>
  </si>
  <si>
    <t>2018/0807</t>
  </si>
  <si>
    <t>Unit 31 Ransomes Dock Business Centre, 35-37 Parkgate Road (Ransomes Dock Business Centre)</t>
  </si>
  <si>
    <t>Determination as to whether prior approval is required for change of use from office at ground floor level (Use Class B1(a)) to residential (Use Class C3) to provide 1 x 1 bedroom and 1 x 2 bedroom flats.</t>
  </si>
  <si>
    <t>2018/1169</t>
  </si>
  <si>
    <t>43 Leverson Street</t>
  </si>
  <si>
    <t>Conversion of the ground floor property from retail (Class A1) to a one-bedroom flat (Class C3 Residential) with access to the rear garden and alterations including new shopfront.</t>
  </si>
  <si>
    <t>2018/4614</t>
  </si>
  <si>
    <t>5 &amp; 5a Kyrle road</t>
  </si>
  <si>
    <t>Alterations including erection of mansard roof extension to main rear roof; erection of a part-single/part three-storey rear extension; formation of second floor roof terrace with screen surround. Excavation to enlarge basement and conversion of 2 x 2-bedroom flats into 5-bedroom house.</t>
  </si>
  <si>
    <t>2018/1762</t>
  </si>
  <si>
    <t>13a, 13a Oakmead Road</t>
  </si>
  <si>
    <t>extension to exisiting</t>
  </si>
  <si>
    <t>Alterations including erection of mansard roof extension to main rear and extension above part of two-storey back addition; formation of roof terrace above two-storey back addition with 1.7m high screen surround and conversion of the first floor flat to 1 x 1-bedroom and 1 x 3-bedroom flats.</t>
  </si>
  <si>
    <t>2018/4318</t>
  </si>
  <si>
    <t>9 Rotherwood Road</t>
  </si>
  <si>
    <t>Use as a single dwelling house.</t>
  </si>
  <si>
    <t>2018/1420</t>
  </si>
  <si>
    <t>Units 11-13 Blades Court, 121 Deodar Road</t>
  </si>
  <si>
    <t>Erection of mansard style roof extension to provide 2 x two-bedroom flats with associated refuse and cycle storage.</t>
  </si>
  <si>
    <t>2018/1879</t>
  </si>
  <si>
    <t>11 Chestnut Grove</t>
  </si>
  <si>
    <t>Use of part of the ground floor as retail (Class A1) as a mini cab (Sui Generis) and rear part as residential living accommodation (Class C3).</t>
  </si>
  <si>
    <t>2018/2281</t>
  </si>
  <si>
    <t>22 Hoyle Road</t>
  </si>
  <si>
    <t>Conversion</t>
  </si>
  <si>
    <t>Alterations including erection of mansard roof extension to main rear roof including raising the ridge by 200mm, erection of roof extension over two storey back addition; erection of single storey rear/side extension; and associated refuse store; in connection with conversion into 1 x 3-bedroom and 2 x 2-bedroom flats.</t>
  </si>
  <si>
    <t>2019/2564</t>
  </si>
  <si>
    <t>5 Gambole Road</t>
  </si>
  <si>
    <t>Alterations in connection with conversion of dwellinghouse into 1 x 3-bedroom, 1 x 2-bedroom and 2 x 1-bedroom flats with associated refuse and cycle storage; retrospective application for alterations to roof including ridge raise and ground floor window cill heights (revised description).</t>
  </si>
  <si>
    <t>2018/3506</t>
  </si>
  <si>
    <t>181a Replingham Road</t>
  </si>
  <si>
    <t>Alterations including erection of rear roof extension to main roof and above part of two-storey back addition; formation of roof terrace above two-storey back addition with 1.6m high screen surround in connection with provision of 1 x 1-bedroom flat.</t>
  </si>
  <si>
    <t>2018/1821</t>
  </si>
  <si>
    <t>977 Garratt Lane</t>
  </si>
  <si>
    <t>Change of use from residential (Class C3) to large HMO (Sui Generis) including internal alterations.</t>
  </si>
  <si>
    <t>2019/2598</t>
  </si>
  <si>
    <t>46 Webbs Road</t>
  </si>
  <si>
    <t>Alterations to existing commercial space at ground and basement level to create a 1-bedroom residential unit to the rear including the basement area. Retention of the commercial unit to the front (Class A1)</t>
  </si>
  <si>
    <t>2018/5566</t>
  </si>
  <si>
    <t>5 Duchess Court, 2 Dinsmore Road</t>
  </si>
  <si>
    <t>Determination as to whether prior approval is required for change of use from office(Class B1) to 1 x 2-bedroom flat (Class C3).</t>
  </si>
  <si>
    <t>2018/5448</t>
  </si>
  <si>
    <t>35 Comyn Road</t>
  </si>
  <si>
    <t>Alterations including erection of extension above part of three storey back addition, erection of part single/part two storey side/rear extension and excavation to enlarge basement with rear lightwell in connection with conversion into 1 x 1-bedroom, 1 x 2-bedroom and 1 x 3-bedroom flats with associated bin storage.</t>
  </si>
  <si>
    <t>2018/5878</t>
  </si>
  <si>
    <t>Rear of, 12 Lavender Hill</t>
  </si>
  <si>
    <t>Erection of single storey 1-bedroom dwelling with associated refuse and cycle storage.</t>
  </si>
  <si>
    <t>2018/5931</t>
  </si>
  <si>
    <t>9, 10,11 and 12 Marcus Street</t>
  </si>
  <si>
    <t>Alterations including erection of mansard roof extension to main rear roof including raising the ridge by 280mm and erection of roof extension over part of two-storey back addition in connection with provision of 1 x 2-bedroom flat.</t>
  </si>
  <si>
    <t>2018/6114</t>
  </si>
  <si>
    <t>70a Stapleton Road</t>
  </si>
  <si>
    <t>Erection of mansard roof extension to main rear roof and extension above part of two-storey back addition (with French doors and safety railings); formation of roof terrace above two-storey back addition with 1.7m high screen surround; conversion of 1 x 2 bedroom flat to 1 x 3-bedroom and 1 x 1-bedroom flat.</t>
  </si>
  <si>
    <t>2019/0055</t>
  </si>
  <si>
    <t>849 Garratt Lane</t>
  </si>
  <si>
    <t>Alterations in connection with change of use of ground floor and basement shop (Class A1) to 1-bedroom flat (Class C3).</t>
  </si>
  <si>
    <t>2019/0357</t>
  </si>
  <si>
    <t>70 Gilbey Road</t>
  </si>
  <si>
    <t>Continued use as three-bedroom flat.</t>
  </si>
  <si>
    <t>LDC Exist</t>
  </si>
  <si>
    <t>2019/1434</t>
  </si>
  <si>
    <t>62 Eardley Road</t>
  </si>
  <si>
    <t>Continued use as two self-contained 1-bedroom flats.</t>
  </si>
  <si>
    <t>2019/2296</t>
  </si>
  <si>
    <t>89 Garratt Terrace</t>
  </si>
  <si>
    <t>Alterations in connection with conversion of dwelling house into 1 x 3-bedroom, 1 x 2-bedroom, 1 x 1-bedroom and 1x studio flat with associated refuse storage.</t>
  </si>
  <si>
    <t>2019/2117</t>
  </si>
  <si>
    <t>1b Stareathbourne Road</t>
  </si>
  <si>
    <t>Change of use from Single dwelling (Use C3) to a HMO (Class C4).</t>
  </si>
  <si>
    <t>LDC Prop</t>
  </si>
  <si>
    <t>2019/3291</t>
  </si>
  <si>
    <t>53 Clapham Common North Side</t>
  </si>
  <si>
    <t>Continued use of the property as 3 x 2-bedroom self contained flats.</t>
  </si>
  <si>
    <t>2019/3633</t>
  </si>
  <si>
    <t>12 Cabul Road</t>
  </si>
  <si>
    <t>Continued use as 1 x 1 bedroom and 1 x 2 bedroom flats.</t>
  </si>
  <si>
    <t>2019/4381</t>
  </si>
  <si>
    <t>60 Coverton Road</t>
  </si>
  <si>
    <t>Alterations in connection with conversion of single-dwelling house into 1 x 3-bedroom, 1 x 2-bedroom, 1 x 1-bedroom and 1 x 1-bedroom/1-person units with associated refuse storage.</t>
  </si>
  <si>
    <t>02 Under Construction</t>
  </si>
  <si>
    <t>2016/4028</t>
  </si>
  <si>
    <t>Land adjoining 14, Cairns Road (16)</t>
  </si>
  <si>
    <t>Erection of a four-storey building to provide 2 x 2-bedroom flats and formation of roof terrace to rear.</t>
  </si>
  <si>
    <t>2013/5712</t>
  </si>
  <si>
    <t>70-74 St John's Hill (Public open space east of 76)</t>
  </si>
  <si>
    <t>Erection of four-storey plus basement building to provide Class A1 shops at ground floor with 8 flats above including a first floor roof garden.</t>
  </si>
  <si>
    <t>2019/2856</t>
  </si>
  <si>
    <t>1 Anhalt Road</t>
  </si>
  <si>
    <t>Determination as to whether prior approval is required for change of use from office (Class B1) to 1 x 2-bedroom flat (Class C3).</t>
  </si>
  <si>
    <t>2019/5585</t>
  </si>
  <si>
    <t>Erection of three/four-storey building at rear to provide 2 x 2-bedroom and 1 x 3-bedroom flats with associated cycle and refuse storage. (Amendments to pp 2017/3227 dated 05/10/2017 for Demolition of rear outbuildings and rear part of frontage building;  erection of three-storey building at the rear to provide 3 x 2-bedroom flats; alterations to frontage building including the change of use of the ground floor from A3 to C3, including a part single, part three-storey rear/side extension and rear roof extension to provide 2 x 1-bedroom and 1 x 2-bedroom flat and 1 x 3-bedroom flat with roof-terraces at rear of first and second floors and associated refuse and cycle storage.</t>
  </si>
  <si>
    <t>2019/2213</t>
  </si>
  <si>
    <t>Newcombe House, 319-323 Battersea Park Road</t>
  </si>
  <si>
    <t>Non-material amendment to planning permission dated 28/03/2019 ref 2018/5826 (Demolition of existing building and erection of a four-storey building to provide ground floor commercial unit (flexible A1/A2 use) (163sqm) and 6 x 2-bedroom and 3 x 1-bedroom flats with associated cycle and refuse storage (revised drawings including three addtional terraces) to allow addition of a lift to the development.</t>
  </si>
  <si>
    <t>2016/4188</t>
  </si>
  <si>
    <t>Battersea Technology College and 3 Culovert Road, 401 Battersea Park Road (Harris Academy)</t>
  </si>
  <si>
    <t>Part Hybrid planning application (part detailed / part outline) for: 1) Outline approval for layout and massing only for a new sports hall in association with the Harris Academy; 2) Detailed approval for a building of part 11, 13 and 14 storeys with basement to provide a mixed use scheme including 39 residential units (Class C3) and 1,248 sq.m. GIA of offices (Class B1), with associated cycle parking spaces, 17 car parking spaces, landscaping and public realm improvements. (AMENDED DRAWINGS)_x000D_
 _x000D_
The main revisions to the original scheme are summarised as:_x000D_
 _x000D_
- Resiting the 14-storey tower building further to the east by 1 metre._x000D_
- Modifications to the cladding materials: Introducing a brick cladding material and reducing the level of the glazing on the 14 storey tower building._x000D_
- Revised landscaping strategy: To include new trees at the junction of Culvert Road and Battersea Park Road and within the Harris Academy fronting onto Battersea Park Road._x000D_
- Resiting the 14-storey tower building further to the east by 1 metre._x000D_
- Modifications to the cladding materials: Introducing a brick cladding material and reducing the level of the glazing on the 14 storey tower building._x000D_
- Revised landscaping strategy: To include new trees at the junction of Culvert Road and Battersea Park Road and within the Harris Academy fronting onto Battersea Park Road</t>
  </si>
  <si>
    <t>IR</t>
  </si>
  <si>
    <t>2017/4808</t>
  </si>
  <si>
    <t>Section House, 3-5 Nightingale Lane</t>
  </si>
  <si>
    <t>Non-material amendment to planning permission dated 04/01/2016 ref 2015/2469 [Demolition of the existing building (Class B1 Use) and redevelopment of the site to provide a 4 -7 storey care facility (Class C2 Use) comprising 102 units, together with ancillary retail, cafe, day centre and accessible swimming pool; access, parking and associated landscaping.] to allow the reduction iof residential units from 102 to 94; Alterations to the size and layout of residential units from 25 x 1 bed, 63 x 2 bed &amp; 14 x 3 bed to 28 x 1 bed, 49 x 2 bed and 17 x 2+/3 bed units; Change 6 duplex residential units at fifth and sixth floor to 6 units at fifth floor and 2 larger units at sixth floor [This removes the need to introduce individual lifts within the duplexes and the internal staircases can be omitted and the intermediate floor level has been lowered.]; installing an additional core  staircase and lift up to the sixth floor; introduction of a continuous corridor at most floor levels to allow access to both_x000D_
staircases and to reduce the number of lifts required; reduction in size of the basement floor area;  introduction of a solid timber panel within the fenestration at every level to the north elevation; changes to the ground floor communal areas to include two new guest suites with the introduction of fenestration within the vehicular arch; relocation of the car park at basement level to the rear of the building; changes to the size and location of plant area at basement level; formation of new entrance doors to bar/bistro; increase in depth of 1st floor balconies on front elevation to same depth as upper floor balconies and external staircase from basement to ground level emerging at the kink in the southern boundary of site.</t>
  </si>
  <si>
    <t>2012/5470</t>
  </si>
  <si>
    <t>Trade Tower, Plantation Wharf, Coral Row (Plantation Wharf)</t>
  </si>
  <si>
    <t>Erection of part five, part six additional floors to Trade Tower following removal of existing 12th and 13th floors. Alterations to entrance fronting Gartons Way including installation of structural framework to ground and first floors. Alterations and extensions in connection with the formation of 18 flats (net increase of 18 flats). (Renewal of planning permission 2009/3853 dated 19.07.2010)</t>
  </si>
  <si>
    <t>10.15</t>
  </si>
  <si>
    <t>2017/0764</t>
  </si>
  <si>
    <t>Battersea Park Studios, 2 Shuttleworth Road (131 Battersea High Street)</t>
  </si>
  <si>
    <t>Minor Material Amendment (Section 73) and Variation of conditions 2, 12, 18,21, 22, 34, 35 and 36 pursuant to planning permission dated 13/01/2017 ref 2015/2963 (Demolition of existing recording studio and lock-up garages and erection of a three- to seven-storey building with basement to provide 77 residential units (C3 use class) (19 x1 bedroom, 50 x 2 bedroom, 8 x 3 bedroom) and 624 sqm of recording studio floorspace (sui-generis use class); associated car parking, landscaping and public realm improvements) so as to allow (i) change to description of development (ii) update to list of plans (iii) details of noise insulation (iv) update to elevation drawings (v) reduction in number of cycle storage spaces (vi) changes in wheelchair adaptable units (vii) amend requirement for waste and recycling strategy as basement recording studio is no longer proposed (viii) deletion of condition relating to restriction of the use of the basement (xvi) update of landscaping plans.</t>
  </si>
  <si>
    <t>2019/2689</t>
  </si>
  <si>
    <t>76 a &amp; b, 76 Moyser Road</t>
  </si>
  <si>
    <t>Determination as to whether prior approval is required for change of use from business (Class B1) to 2 x 1-bedroom flat (Class C3).</t>
  </si>
  <si>
    <t>2012/3143</t>
  </si>
  <si>
    <t>265 Putney Bridge Road</t>
  </si>
  <si>
    <t>Demolition of existing rear addition. Excavation of basement and erection of ground floor rear extension in connection with the use of the rear of the property as a three-bedroom dwelling.</t>
  </si>
  <si>
    <t>2014/5786</t>
  </si>
  <si>
    <t>Market Towers, 1 Nine Elms Lane (One Nine Elms)</t>
  </si>
  <si>
    <t>City Tower</t>
  </si>
  <si>
    <t>Non material amendment to planning application 2014/0871 dated 26 August 2014 (for demolition of existing buildings and structures. Erection of two new buildings of  58 storeys (up to 200m above ground) and 43 storeys (up to 161m above ground) high to provide up to 491 residential units, retail uses (classes A1-A4); office space (class B1); a hotel (class C1) together with a high level viewing space; provision of private and public open spaces; vehicular access and reconfigured vehicular access routes; provision of cycle, motorcycle and car parking, servicing and energy centre within the two level basement; landscaping; excavation works; and other associated works) to allow internal changes to affordable housing units at levels 1-6 of the City Tower increasing the number of affordable units from 52 to 57.</t>
  </si>
  <si>
    <t>2.1.12</t>
  </si>
  <si>
    <t>2015/5942</t>
  </si>
  <si>
    <t>Non Material Amendment to planning application 2014/0871 dated 26 August 2014 "for demolition of existing buildings and structures. Erection of two new buildings of  58 storeys (up to 200m above ground) and 43 storeys (up to 161m above ground) high to provide up to 491 residential units, retail uses (classes A1-A4); office space (class B1); a hotel (class C1) together with a high level viewing space; provision of private and public open spaces; vehicular access and reconfigured vehicular access routes; provision of cycle, motorcycle and car parking, servicing and energy centre within the two level basement; landscaping; excavation works; and other associated works" to allow: changes to hotel internal layout including reconfiguration of mezzanine levels, alteration to residential layouts and mix, adjustment to structural slab height, alteration to viewing level and associated spaces, basement and ground level internal amendments together with adjustment to proposed façades.</t>
  </si>
  <si>
    <t>2017/3054</t>
  </si>
  <si>
    <t>(rear of 2), 2B Credenhill Street</t>
  </si>
  <si>
    <t>Demolition of existing workshop building and erection of a two-storey 1-bedroom house (fronting Fallsbrook Road) with associated landscaping, cycle and refuse storage.</t>
  </si>
  <si>
    <t>2018/0072</t>
  </si>
  <si>
    <t>Prince of Wales, 186 Battersea Bridge Road</t>
  </si>
  <si>
    <t>Erection of two-storey building (plus basement with front and rear lightwells and roof terraces) to provide 2 x 3-bedroom houses. Associated refuse and bike storage and front railings.</t>
  </si>
  <si>
    <t>2018/0378</t>
  </si>
  <si>
    <t>153 Balham Hill</t>
  </si>
  <si>
    <t>Conversion of second and third floor flat to 2 x 1-bedroom flats.</t>
  </si>
  <si>
    <t>2014/4498</t>
  </si>
  <si>
    <t>and 5 Upper Richmond Road, 72 West Hill</t>
  </si>
  <si>
    <t>Demolition of existing buildings. Erection of part two/ part three-storey building with accommodation in roof level, to provide 8 residential units together with cycle storage, roof terraces/balconies, communal gardens and landscaping.</t>
  </si>
  <si>
    <t>2015/1205</t>
  </si>
  <si>
    <t>Upper floors, 182 Balham High Road</t>
  </si>
  <si>
    <t>Part demolition of existing building and erection of a 4-storey building accommodating retail (A1 use class) at ground floor and basement level, and 5 self-contained residential units (C3 use class) (3 x 1 bed, 2 x 2 bed) above, together with associated alterations.</t>
  </si>
  <si>
    <t>2019/0880</t>
  </si>
  <si>
    <t>Ground floor rear of, 54 Trinity Road</t>
  </si>
  <si>
    <t>Alterations including erection of a mansard extension to provide an additional floor of accomodation and extension above the two storey rear addition in connection with creation of 1 x 1 bedroom flat; Erection of single storey side/rear extension; Change of use of ground floor commercial unit from hot food takeaway (Class A5) to flexible use for shop (Class A1), professional services (Class A2) and business (Class B1).</t>
  </si>
  <si>
    <t>2018/4458</t>
  </si>
  <si>
    <t>224-226 York Road</t>
  </si>
  <si>
    <t>Demolition of existing buildings and erection of a part four/five-storey residential building to provide 5 x 1-bedroom, 2 x 2-bedroom and 1 x 3-bedroom flats, and flexible  commercial floor space (Class A1/A2) on the ground floor with associated landscaping, roof terraces/balconies, cycle and refuse storage.</t>
  </si>
  <si>
    <t>2016/2772</t>
  </si>
  <si>
    <t>25 Sudbrooke Road</t>
  </si>
  <si>
    <t>Demolition of existing building and erection of a two-storey dwelling house (with accommodation at basement level with front and rear lightwells, and at roof level with side and rear dormers). Alterations to front boundary wall including piers and sliding gate for front parking area.</t>
  </si>
  <si>
    <t>2019/0799</t>
  </si>
  <si>
    <t>175 Wandsworth High Street</t>
  </si>
  <si>
    <t>Variation of condition 4 (restricted use) and 2 (in accordance with approved drawings) of planning permission dated 09/12/2016 ref 2016/5757 (Change of use of upper and lower ground floors restaurant &amp; sandwich bar (Class A3) to 3 x commercial units (Class B1a), including external alterations to the front, side and rear elevations.) so as to allow change of use from office at rear ground and lower ground floors (Class B1a) to residential (Class C3).</t>
  </si>
  <si>
    <t>2017/2817</t>
  </si>
  <si>
    <t>Lock up garages, 26-40 Balham New Road</t>
  </si>
  <si>
    <t>Erection of 8 x 4-bedroom three-storey (plus basement) houses.</t>
  </si>
  <si>
    <t>2016/3919</t>
  </si>
  <si>
    <t>42 Roehampton Gate</t>
  </si>
  <si>
    <t>Demolition of existing house and outbuidlings. Erection of a detached three-storey house (with top floor within roofspace) with additional floorspace at basement level, with roof terraces at first and second floor rear. (NB:This is an alternative proposal to that being considered under application ref. 2016/1472, with the main differences being to elevational treatment and materials; alterations to layout including reduced floor area and general removal of split levels between storeys, and provision of a double garage).</t>
  </si>
  <si>
    <t>2014/1471</t>
  </si>
  <si>
    <t>Our Lady of Mount Carmel and St Joseph Church, 8 Battersea Park Road</t>
  </si>
  <si>
    <t>Demolition of existing vacant single-storey parish and ancillary buildings and construction of a replacement part five and part six storey residential building to the west of the existing church building comprising 20 residential units (C3), retail use (A1/A3) and ancillary church accommodation (D1) at ground floor level; extension and associated alterations to the southern elevation of the church to provide ancillary church accommodation in the form of a new parish hall (D1); and works to hard and soft landscaping and alterations to front boundary treatment.</t>
  </si>
  <si>
    <t>2016/5443</t>
  </si>
  <si>
    <t>81-87 Upper Tooting Road</t>
  </si>
  <si>
    <t>Demolition of the existing buildings and redevelopment of the site to form a part 2/3 /4/ 5-storey scheme across two buildings comprising 18 (Class C3) residential units and 77 sqm (GIA) (Class D1 ) community floorspace together with associated cycle parking, landscaping, play space and amenity provision.</t>
  </si>
  <si>
    <t>2014/1622</t>
  </si>
  <si>
    <t>Mission Church development site, 22-24 Kellino Street (Tooting Boys' Club)</t>
  </si>
  <si>
    <t>Change of use of the existing building from former community building (Class D1) to create four self-contained residential units comprising internal and external alterations (including terraces) and extensions.</t>
  </si>
  <si>
    <t>2014/4588</t>
  </si>
  <si>
    <t>Land adj. and rear of 58, Topsham Road</t>
  </si>
  <si>
    <t>Demolition of existing garages and construction of 3 houses (one detached house to front of the site and two semi-detached houses to rear) and two car parking spaces.</t>
  </si>
  <si>
    <t>2015/5875</t>
  </si>
  <si>
    <t>Chelsea Bridge Wharf (southern site), Queenstown Road (Phase 5, Residential Blocks F &amp; G (Lanson House &amp; Burnelli House))</t>
  </si>
  <si>
    <t>Change of use from "flexible commercial space" to provide 7 residential apartments with associated screening and landscaping</t>
  </si>
  <si>
    <t>2018/1741</t>
  </si>
  <si>
    <t>Balham Club, 7-9 Ramsden Road</t>
  </si>
  <si>
    <t>The demolition of existing building and redevelopment of the former bowls green (Use Class D2) and erection of a two storey building plus basement and roof level accommodation providing 18 residential units (Use Class C3) comprising market housing; erection of a two storey building plus roof level accommodation providing 10 residential units (Use Class C3) comprising affordable housing; 17 car parking spaces and 52 cycle parking spaces; and associated infrastructure works.</t>
  </si>
  <si>
    <t>2010/2280</t>
  </si>
  <si>
    <t>312-320 Earlsfield Road</t>
  </si>
  <si>
    <t>Erection of a three storey building to provide 3 x 1-bed and 3 x 2-bed flats (including one wheelchair unit) with cycle parking, one disabled parking space and refuse store accessed from Algarve Road.</t>
  </si>
  <si>
    <t>2014/4360</t>
  </si>
  <si>
    <t>56-64 Latchmere Road</t>
  </si>
  <si>
    <t>Erection of roof extension (changing from pitched roof to flat roof) to create an additional storey of accommodation to provide a two bedroom apartment with associated front and rear roof terraces; additional rooflights; 6x projecting solar panels; and balustrade around the existing fourth floor flat roofed wing.</t>
  </si>
  <si>
    <t>2017/1247</t>
  </si>
  <si>
    <t>South Lambeth Goods Depot, Cringle St./Battersea Park Rd., Kirtling Street (Battersea Power Station)</t>
  </si>
  <si>
    <t>Phase 2 (Power Station)</t>
  </si>
  <si>
    <t>Application under Section 96a of the Town and Country Planning Act for non-material amendments to planning permission 2013/6639 approved 29/04/2014 for the restoration, extension, alterations and conversion of the Battersea Power Station and redevelopment of the surrounding land (the amendments relate to confirmation of additional demolition and repair works, reconfiguration of retail layouts, the change of use of the hotel to an office/members club, the creation of a publically accessible south terrace, the removal of the body of water between the Halo Road and the Power Station and replacement 'Circle Garden' and creation of three retail pods within the 'Circle Garden').</t>
  </si>
  <si>
    <t>2.1.1</t>
  </si>
  <si>
    <t>2017/5353</t>
  </si>
  <si>
    <t>Phase 3A</t>
  </si>
  <si>
    <t>Approval of details pursuant to Condition 18 (Phasing Plan to deliver Phase 3 in two separate parts) of planning permission 2014/2837, dated 05/12/2014 (for restoration, extension, alterations and conversion of the Power Station building to provide retail, residential flats, business, cultural, hotel and conference facilities, event space and incidental accommodation; the demolition of other buildings and  development of the land surrounding the Power Station and adjacent/ nearby sites to provide retail, restaurants bars and cafes, offices, hotel, residential, community and cultural space, assembly and leisure space, student housing, serviced apartments, an energy centre and basement plant; parking for cars, coaches, motorcycles and bicycles; new access and internal road system and servicing; 'off-site' highway works; works to the jetty to facilitate river transport and fuel delivery, including alterations to the river wall; provision of open space and landscaping works. (application for outline planning permission with detailed elements provided in relation to the Power Station itself, and the jetty and river structures)).</t>
  </si>
  <si>
    <t>Phases 3B and 3C</t>
  </si>
  <si>
    <t>2017/1047</t>
  </si>
  <si>
    <t>Land rear of 86-90, Chatham Road (86a and 86b)</t>
  </si>
  <si>
    <t>Alterations including erection of single-storey rear ground floor extension and extension at second floor level; removal of front steps and front door lowered in connection with conversion of property into 1 x 3 and 2 x 2 bed flats.  Formation of rear balconies at first and second floor levels. Provision of refuse/cycle storage and two additional parking spaces.</t>
  </si>
  <si>
    <t>2018/6049</t>
  </si>
  <si>
    <t>14-16 Tooting High Street (Flats 1-9 &amp; 12-15)</t>
  </si>
  <si>
    <t>conversion of existing</t>
  </si>
  <si>
    <t>Alterations including erection of single storey rear extension at second floor level in connection with creation of 2 x studio flats with roof terraces and obscured glazed screening. Alterations and extensions to existing second floor 2 bedroom flat (Flat 6) and 1 bedroom flat (Flat 7) to provide to 2 x 2 bedroom units with roof terraces and 1.8m high obscured glazed screenings. Alterations to existing first floor 1 bedroom flat (Flat 12) and studio flat (flat 13) to accommodate new staircase and provide 2 x 2 studio flats.</t>
  </si>
  <si>
    <t>extn to existing</t>
  </si>
  <si>
    <t>2018/3653</t>
  </si>
  <si>
    <t>336 Garratt Lane</t>
  </si>
  <si>
    <t>CONVERSION</t>
  </si>
  <si>
    <t>Alterations including erection of single to three-storey rear extension with front and rear mansard to create additional floor of accommodation; formation of rear roof terraces at first and second floor levels, in connection with provision of additional commercial floorspace on the ground floor and 2 x 1 bedroom flats on upper floors. Installation of new shopfront.</t>
  </si>
  <si>
    <t>Extn to existing</t>
  </si>
  <si>
    <t>2016/6740</t>
  </si>
  <si>
    <t>64 Lyford Road</t>
  </si>
  <si>
    <t>Demolition of existing building and erection of a two-storey (with accommodation at basement and roof levels) detached house including side lightwells and rear first floor level terrace; replacement boundary treatment.</t>
  </si>
  <si>
    <t>2017/0927</t>
  </si>
  <si>
    <t>Garden Flat, 127 Trinity Road</t>
  </si>
  <si>
    <t>Demolition of existing bungalow and erection of a two-storey plus basement 3-bedroom house with associated refuse, recycling and cycle storage.</t>
  </si>
  <si>
    <t>2018/3525</t>
  </si>
  <si>
    <t>216-218 Upper Tooting Road</t>
  </si>
  <si>
    <t>Extensions and re-modelling of building adding two storeys to main building and 3/4 storeys at rear to form a 5 storey building consisting of seven flats (five additional flats) with formation of a roof terrace on top (5th) floor.</t>
  </si>
  <si>
    <t>5.1</t>
  </si>
  <si>
    <t>extn to ex</t>
  </si>
  <si>
    <t>2017/0340</t>
  </si>
  <si>
    <t>Former Caretaker House, Boyce House, Aldrington Road</t>
  </si>
  <si>
    <t>Demolition of existing structure, and the erection of 1 x 2-bedroom bungalow with private parking and garden, including works to surrounding trees.</t>
  </si>
  <si>
    <t>2018/5698</t>
  </si>
  <si>
    <t>New Covent Garden Market, Nine Elms Lane (Combined Main Market, Entrance site and Thessaly College site)</t>
  </si>
  <si>
    <t>N12</t>
  </si>
  <si>
    <t>Application for approval of reserved matters (Access, Layout, Appearance, Scale and Landscaping) for Phase 1B of the Northern Site Development Zone pursuant to part outline and part detailed planning permission 2014/2810, dated 11/02/15 "For part outline and part detail planning permission for: (a) demolition of existing wholesale Fruit and Vegetable and Flower_x000D_
Marketand ancillary buildings and structures, and residential building on Nine Elms Lane (apart from the existing multi storey car park); (b) Construction_x000D_
ofmixed-use redevelopment comprising: a new Fruit and Vegetable Market and Flower Market and ancillary uses, including temporary and_x000D_
permanentfaçade; refurbishment and extension of existing waste collection area (including rooftop sports pitches); residential dwellings; flexible_x000D_
commercial uses, including retail, financial and professional services, café/restaurant, bar uses and hot food takeaways and offices; non-residential_x000D_
institutions; assembly and leisure uses; temporary storage and distribution buildings and associated works; associated car, cycle and motorcycle_x000D_
parking and servicing and new vehicle accesses, energy centres; and landscaping public realm and open space including part of the Linear Park._x000D_
All matters reserved apart from access, details of all new markets and supporting buildings, and details of Building N8 and associated landscaping);_x000D_
(c) Site clearance and enabling works. An Environmental Statement has been submitted with the application under The Town and Country Planning_x000D_
(Environmental Impact Assessment) Regulations 2011."</t>
  </si>
  <si>
    <t>2.1.27</t>
  </si>
  <si>
    <t>2019/2995</t>
  </si>
  <si>
    <t>N2a</t>
  </si>
  <si>
    <t>Application for approval of reserved matters (Access, Layout, Appearance, Scale and Landscaping) for the 'Phase 2' of the Northern Site Development Zone pursuant to part outline and part detailed planning permission 2014/2810, dated 11/02/15 for: "(a)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t>
  </si>
  <si>
    <t>2019/4186</t>
  </si>
  <si>
    <t>N8</t>
  </si>
  <si>
    <t>Section 96A application for non-material amendments (to the approved plans to increase the number of family-sized units within Building N8 and to the approved parameter plans for Phase 1B to increase the height of residential use in Buildings N9 and N10 and reduce plant space in these buildings and other design amendments to the external appearance of Building N8) to part outline and part detailed planning permission dated 11/02/15 ref. 2014/2810 for: "(a)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 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t>
  </si>
  <si>
    <t>2019/4187</t>
  </si>
  <si>
    <t>N10</t>
  </si>
  <si>
    <t>Section 96A application for non-material amendments (alteration to the layouts of Buildings N9 and N10 to accommodate additional family units, alterations at ground floor to residential amenity areas and external design changes to Buildings N9 and N10) to Reserved Matters Approval ref. 2018/5698 dated 22/03/2019: "Application for approval of reserved matters (Access, Layout, Appearance, Scale and Landscaping) for Phase 1B of the Northern Site Development Zone pursuant to part outline and part detailed planning permission 2014/2810, dated 11/02/15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t>
  </si>
  <si>
    <t>N9</t>
  </si>
  <si>
    <t>Block G</t>
  </si>
  <si>
    <t>Block K</t>
  </si>
  <si>
    <t>Block L</t>
  </si>
  <si>
    <t>2014/7344</t>
  </si>
  <si>
    <t>56-70, 56-66 Putney High Street (Wereldhave Site)</t>
  </si>
  <si>
    <t>Demolition of existing building and erection of a new mixed use development up to six-storeys high, with a partial seventh-storey along Felsham Road frontage (recessed on all sides), plus the provision of basement levels, providing 3137 sq.m. of commercial floorspace (flexible class A1, A2 or A3 uses) at ground floor and basement level; 447 sq.m. of class D2 assembly and leisure use (predominantly at basement level with separate entrance off Walkers Place), and 97 residential units on the upper floors (comprising 1x studio, 33 x one-bedroom; 57 x two-bedroom and 6 x three-bedroom units), with associated balconies, roof terraces and winter gardens, with 26 basement car parking spaces (accessed via car lift off Felsham Road), and associated cycle parking spaces; mechanical plant; landscaping and public realm works, including provision of a new public square along Lacy Road.</t>
  </si>
  <si>
    <t>6.1.1</t>
  </si>
  <si>
    <t>2017/5837</t>
  </si>
  <si>
    <t>Peabody Estate, St Johns Hill</t>
  </si>
  <si>
    <t>Phase 2</t>
  </si>
  <si>
    <t>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
Plot 2: two storey increase allowing an additional 23 flats and change in tenure to older persons social rent only, removal of basement carparking;_x000D_
Plot 3: two story increase to the centre tower allowing an additional 11 flats and change in tenure to private rent only;_x000D_
Plot 6: one storey increase allowing three additional flats;_x000D_
Plot 7: four additional flats (through internal reconfigurations);_x000D_
Plot 8: loss of one flat;_x000D_
Plot 9: One storey increase to the western section, extension of southern section facing Comyn Road to close the building gap and removal of corner feature to Comyn Road to allow 31 additional flats, inclusion of parking below podium level;_x000D_
General alterations to fenestration and finishes to accommodate changes and reconfiguration of carparking resulting in a loss of 28 spaces. Overall reconfiguration results in 599 residential units across the site.</t>
  </si>
  <si>
    <t>4.1.5</t>
  </si>
  <si>
    <t>2018/5903</t>
  </si>
  <si>
    <t>Homebase, 198 York Road (Coda)</t>
  </si>
  <si>
    <t>Non-material amendment to planning permission dated 19/07/2018 ref 2017/4380 (Erection of a podium building with three buildings above (providing part 2, 6, 8, 11 and 24 storeys plus basement level) to provide 299 residential units including affordable and market housing, with circa 5,943 sq m of Class D1 education space, including 537 sq m of associated Class A3/A4 café and drinking establishment space. Provision of car parking, cycle parking, refuse storage and plant in the basement, and associated roof plant enclosure. Removal of and replacement of trees, landscaping, provision of and improvements to public realm including the removal of tree planters, widening of street frontages and resurfacing of York Place (on north-western side) to create a shared surface and introduction of a drop off point) _x000D_
_x000D_
Proposed non-material amendments are:_x000D_
_x000D_
Changes to configuration of RAD accommodation on ground and first floors_x000D_
Change from 2 bed 4 person units to 2 bed 3 person units in Blocks A, B and C (47 units)_x000D_
Change from 1 bed 2 person intermediate units to 1 bed 1 person intermediate units in Block A (3 units) _x000D_
Internalisation of amenity space to four flats in Block C on 12th and 13th floors_x000D_
Change of material to frame of Block C from GRC to PPC metal cladding _x000D_
Installation of metal bars to glazed balcony balustrades on all levels (Block C). _x000D_
Changes to number and positions of windows, balconies and glazed doors on both side elevations (facing Block A and Block B) _x000D_
Installation of new (matching) windows in rear elevation (Block C) on 16th and 17th floors_x000D_
Change the aluminium windows to composite aluminium/timber windows (Blocks A, B and C) _x000D_
Provision of metal balustrades to all balconies on Blocks A and B _x000D_
Change horizontal and vertical tracery (i.e banding) from GRC to aluminium (Blocks A and B) _x000D_
Increase the fascia depth of all balcony fascias from 300mm to 365mm._x000D_
Reduction in height of plant enclosures on roofs (Blocks A and B)._x000D_
Change to windows/doors at ground floor level side elevation Blocks A and B_x000D_
White bricks now proposed for side elevations of Blocks A and B (facing Block C) _x000D_
Installation of new (recessed) glazed doors to first floor flats (Block B rear elevation)</t>
  </si>
  <si>
    <t>10.4</t>
  </si>
  <si>
    <t>2019/5016</t>
  </si>
  <si>
    <t>Non-material amendment to planning permission dated 19/07/2018 ref 2017/4380 (Erection of a podium building with three buildings above (providing part 2, 6, 8, 11 and 24 storeys plus basement level) to provide 299 residential units including affordable and market housing, with circa 5,943 sq m of Class D1 education space, including 537 sq m of associated Class A3/A4 café and drinking establishment space. Provision of car parking, cycle parking, refuse storage and plant in the basement, and associated roof plant enclosure. Removal of and replacement of trees, landscaping, provision of and improvements to public realm including the removal of tree planters, widening of street frontages and resurfacing of York Place (on north-western side) to create a shared surface and introduction of a drop off point.) to allow conversion of the 2 x 3 bed flats on level 23 of Block C to a 1 x 3 bed. penthouse.</t>
  </si>
  <si>
    <t>2016/0654</t>
  </si>
  <si>
    <t>9-15 Elcho Street</t>
  </si>
  <si>
    <t>Demolition of existing garage and erection of a ten-storey building comprising 4 residential units (4 x two-bedrooms) and 108 sq m of flexible commercial floorspace (Use Classes B1 (office)/A1 (retail)/A3 (restaurant/cafe)/D1 (non-residential institution) at ground and first floor levels, including associated balconies and roof terraces, cycle parking and refuse storage.</t>
  </si>
  <si>
    <t>2019/4763</t>
  </si>
  <si>
    <t>67 Blakenham Road</t>
  </si>
  <si>
    <t>Demolition of existing building and erection of a two-storey (plus basement) 2-bedroom dwelling (retrospective).</t>
  </si>
  <si>
    <t>2016/3778</t>
  </si>
  <si>
    <t>Sleaford Street Industrial Estate &amp; Dairy Crest Distribution Depot, Sleaford Street (Battersea Power Station Phase 4A)</t>
  </si>
  <si>
    <t>Phase 4A (A1.1, A1.2 and A1.3)</t>
  </si>
  <si>
    <t>Application under Section 73 of the Town and Country Planning Act (as amended) for Amendments to planning permission (ref: 2015/3555) dated 3rd December 2015 (as amended by 19th April 2016 approval for non-material amendments under Section 96A - ref: 2016/2065) for the demolition of all existing buildings, and construction of seven new buildings of between 1-storey and 18-storeys, containing residential units; non-residential institution (D1) floorspace; business (B1) floorspace; retail/restaurant &amp; cafe (A1/A3) floorspace); and an electricity substation. The proposals include vehicle/cycle parking, plant, the alteration of the vehicle access from Thessaly Road, and associated works and landscaping. (The Amendments include removal of the primary electricity substation; removal of the basement level; provision of car and cycle parking at grade; replacement of flexible B1/C3 use on ground floor of Block A2 with B1 use and flexible A1/A3/B1 use; reconfiguration of health centre; revised finished floor level to Block A1; reduction in footprint of Block A2; minor alterations to elevations; and reconfiguration of internal layouts resulting in changes to unit and tenure mix and 12 additional residential units overall). An Environmental Statement has been submitted with the application under the Town and Country Planning (Environmental Impact Assessment) Regulations 2011 (as amended 2015).</t>
  </si>
  <si>
    <t>2.1.14</t>
  </si>
  <si>
    <t>Phase 4A (A1.4 and A1.5)</t>
  </si>
  <si>
    <t>Phase 4A (A2 and A3)</t>
  </si>
  <si>
    <t>2017/6764</t>
  </si>
  <si>
    <t>Royal Mail Group Site, Ponton Road (Nine Elms Park)</t>
  </si>
  <si>
    <t>Plots B and D</t>
  </si>
  <si>
    <t>Reserved Matters application for scale, layout, access, external appearance and landscaping pursuant to Condition 3 of planning application 2017/6762 for "Minor Material Amendment pursuant to conditions 1, 2, 9, 11, 15, 32 and 41 of part outline and part detailed planning permission 2016/2424, dated 23rd January 2017 for Minor Material Amendment pursuant to conditions 3 , 9 , 10 , 13 , 18 , 32 and 41 of part outline/part detailed planning permission 2011/2462, dated 30/03/12 for demolition of all existing buildings and construction of mixed use redevelopment comprising 7 building plots with buildings up to 23 storeys to provide residential units; commercial and community floorspace; associated basement parking and part of the 'Nine Elms Linear Park'. All matters reserved apart from appearance and scale of Blocks B1, D1 &amp; G and two new access points from Nine Elms Lane."</t>
  </si>
  <si>
    <t>MR</t>
  </si>
  <si>
    <t>2.1.18</t>
  </si>
  <si>
    <t>n/a/</t>
  </si>
  <si>
    <t>IRD</t>
  </si>
  <si>
    <t>2019/1696</t>
  </si>
  <si>
    <t>Plot C1 - Block A</t>
  </si>
  <si>
    <t>Application for approval of reserved matters (Access, Appearance, Landscaping, Layout and Scale) for Plot C1 pursuant to Condition 3 of part outline and part detailed planning permission 2017/6762 dated 28/03/2019 for "Minor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t>
  </si>
  <si>
    <t>Plot C1 - Block B</t>
  </si>
  <si>
    <t>Plot C1 - Block C</t>
  </si>
  <si>
    <t>2017/4726</t>
  </si>
  <si>
    <t>Dadu's Parade, 180-218 Upper Tooting Road</t>
  </si>
  <si>
    <t>Demolition of the existing buildings, with the retention and restoration of the RACS building facade and redevelopment of the remainder of the site to provide a part single/part four/part five-storey building to provide up to 2,105sqm of flexible floorspace at ground level for retail, financial and professional services, restaurant, pub and bar (Classes A1-A4) and 173sqm floorspace for community use (Class D1/D2); a 96-bedroom hotel (Class C1); 41 residential units (comprising 9 x 1-bedroom, 29 x 2-bedroom and 3 x 3-bedroom units); associated car parking for 45 cars (including 29 spaces for public use), 124 cycle parking spaces, servicing areas and landscaping.</t>
  </si>
  <si>
    <t>2017/1096</t>
  </si>
  <si>
    <t>Land rear of 134, Cavendish Road</t>
  </si>
  <si>
    <t>Erection of two-storey 3-bedroom house (with loft level accommodation provided via a rear dormer) to the end of the Hazelbourne Road terrace.</t>
  </si>
  <si>
    <t>2013/5264</t>
  </si>
  <si>
    <t>155 Burntwood Lane</t>
  </si>
  <si>
    <t>Demolition of rear addition and alterations including erection of part single part two-storey front, side, rear extensions to rear addition, alterations to front and side ground floor elevations and enclosure of front and side forecourt in connection with use as three flats.</t>
  </si>
  <si>
    <t>2015/5221</t>
  </si>
  <si>
    <t>6 Lavender Hill</t>
  </si>
  <si>
    <t>Alterations in connection with the use of the upper floors as 2 flats (1 x three-bedroom and 1 x 1-bedroom) including erection of front and rear roof extension to provide an additional floor of accommodation.</t>
  </si>
  <si>
    <t>2014/5383</t>
  </si>
  <si>
    <t>19-21 Mitcham Road</t>
  </si>
  <si>
    <t>Conversion of existing building at first, second, and third floor levels into 19 self contained apartments.</t>
  </si>
  <si>
    <t>5.2</t>
  </si>
  <si>
    <t>2016/6164</t>
  </si>
  <si>
    <t>Linton Fuels, Osiers Road (Land at Linton Fuels Osiers Road)</t>
  </si>
  <si>
    <t>Redevelopment of the site to provide a mixed use development in buildings ranging in height between ten and fourteen storeys, linked by a two-storey podium element, to provide 926 sq.m. (GIA) of flexible commercial floorspace (for use for either A1 (retail), A2 (financial and professional services), A3 (restaurant), B1 (business), D1 (non-residential institutions) or D2 (assembly and leisure), and 109 residential units, together with 20 car parking spaces at first floor level (with ramped access from Osiers Road) and 222  cycle parking spaces, with associated amenity space provision, including roof terraces and balconies, together with provision  of landscaping/areas of public realm and other associated works.</t>
  </si>
  <si>
    <t>3.3.4</t>
  </si>
  <si>
    <t>2018/3709</t>
  </si>
  <si>
    <t>9, 11 and 19 Osiers Road</t>
  </si>
  <si>
    <t>Demolition of existing buildings, and erection of a mixed use development in buildings ranging in height between 10 and 14 storeys, with a two-storey linked element, to provide 3,653 sq.m. (GIA) of business (class B1) floorspace, with ancillary café (Class A3), and 152 sq.m. of flexible commercial floorspace for either A1 (retail), A2 (financial and professional services), A3 (restaurant), B1 (business), D1(non-residential institutions) or D2 (assembly and leisure) use, and 168 residential units (all of affordable tenure) with associated amenity space, including roof terrace and balconies, together with 10 disabled persons car parking spaces at basement level, and 333 cycle parking spaces, with the provision of landscaping and areas of public realm, and other associated works including highway improvements and provision of a new sub-station.</t>
  </si>
  <si>
    <t>3.3.3</t>
  </si>
  <si>
    <t>AL</t>
  </si>
  <si>
    <t>2017/7069</t>
  </si>
  <si>
    <t>A03</t>
  </si>
  <si>
    <t>Revised Reserved Matters Details (scale, layout, access, external appearance and landscaping) in respect of Phase 2, to allow (i) Reconfiguration of floorplans to Plot A03 to provide 34 additional units and (ii) minor design changes to balconies, ground and mezzanine floors and façade elevations associated with the above floorplan amendments. Details pursuant to condition 3 of planning permission 2011/1815 dated 30th March 2012 for demolition of all existing buildings and construction of a mixed use redevelopment to provide residential units, including affordable housing, retail, financial and professional services, café/restaurant, bar and hot food take-away uses, car showrooms, office floorspace and flexible workspace, a hotel, community uses and assembly and leisure uses, associated basement and ground level parking and servicing; energy centres; new vehicle and pedestrian access and circulation; and new public amenity space and landscaping including part of the 'Linear Park'.</t>
  </si>
  <si>
    <t>2019/2735</t>
  </si>
  <si>
    <t>2 Penwortham Road</t>
  </si>
  <si>
    <t>Alterations including excavation works in connection with change of use from Office/Business (Class A2) to residential (Class C3) to provide 1 x 1 bedroom unit with roof terrace.</t>
  </si>
  <si>
    <t>2017/6840</t>
  </si>
  <si>
    <t>Templeton, 118 Priory Lane</t>
  </si>
  <si>
    <t>Alterations including redevelopment of the wardens' cottages to create 4 x 3-bedroomed two-storey (plus basement) cottages. Erection of new stable block including 2 x horse stalls, 2 x 1-bedroomed staff cottages, artist's studio and associated paddock. Erection of 1 x 5-bedroom two-storey (plus roof and basement) house.</t>
  </si>
  <si>
    <t>2014/4515</t>
  </si>
  <si>
    <t>50 Thessaly Road</t>
  </si>
  <si>
    <t>Demolition of existing buildings and construction of a new development consisting of a four-storey block to provide 8no. flats, and 7no. two-storey (plus roof space) family houses, all for affordable rent.  Associated landscaping, car parking, bicycle and refuse storage.</t>
  </si>
  <si>
    <t>2019/2541</t>
  </si>
  <si>
    <t>1 Lavender Sweep</t>
  </si>
  <si>
    <t>Change of use from office (Class B1a) to residential (Class C3) to provide 1 x 5-bed dwellinghouse.</t>
  </si>
  <si>
    <t>2016/5341</t>
  </si>
  <si>
    <t>1 Withycombe Road</t>
  </si>
  <si>
    <t>Demolition of existing house and erection of two, two-storey (plus basement) 3 -bedroom semi-detached houses including new boundary treatment.</t>
  </si>
  <si>
    <t>2015/3449</t>
  </si>
  <si>
    <t>3 &amp; 4 The Boulevard, Balham High Road</t>
  </si>
  <si>
    <t>Alterations including erection of a mansard roof extension to the main rear roofs of both properties in connection with the creation of one additional flat in each building.</t>
  </si>
  <si>
    <t>2017/0126</t>
  </si>
  <si>
    <t>100 Trinity Road</t>
  </si>
  <si>
    <t>Alterations including erection of mansard roof extension to main rear roof with 2x rooflights in the front roofslope and erection of single-storey rear/side extension in connection with the conversion of the property into 2 x 3-bedroom flats. Installation of bin stores in front garden.</t>
  </si>
  <si>
    <t>2018/1942</t>
  </si>
  <si>
    <t>Southfields Post Office, 265-271 Wimbledon Park Road</t>
  </si>
  <si>
    <t>Demolition of existing building and erection of a four storey building plus lower ground floor and basement levels, to provide one retail unit (class A1/A2) at the front of the ground floor/basement, and one commercial (class B1) unit at the rear of the ground floor/basement, with 9 residential units with terraces/balconies on the upper floors, with associated cycle parking and refuse storage.</t>
  </si>
  <si>
    <t>2016/2096</t>
  </si>
  <si>
    <t>134-142 Mitcham Road (Pearl Chemist)</t>
  </si>
  <si>
    <t>Erection of four storey building plus basement to provide mixed use building comprising ground floor Class A1 retail shop and pharmacy shop with associated offices and storage at basement level, Class D1 Medical/Therapy centre at first floor and 9 x residential flats (Class C3 - 2 x 1-bedroom, 5 x 2-bedroom and 2 x 3-bedroom flats) at second and third floor levels with associated roof terrace and communal garden.</t>
  </si>
  <si>
    <t>2017/4140</t>
  </si>
  <si>
    <t>21 Balham High Road</t>
  </si>
  <si>
    <t>Demolition of two-storey back addition. Erection of single storey rear extension to provide 1 x 1-bedroom flats.</t>
  </si>
  <si>
    <t>2019/0362</t>
  </si>
  <si>
    <t>567 Battersea Park Road</t>
  </si>
  <si>
    <t>Alterations including erection of mansard roof extension to create an additional storey of accommodation and three-storey rear extension at first floor level in connection with conversion of existing 3 bedroom upper floor flat into 3 x 1-bedroom flats.</t>
  </si>
  <si>
    <t>2013/1313</t>
  </si>
  <si>
    <t>28 Thessaly Road</t>
  </si>
  <si>
    <t>Demolition of existing public house and removal of lay-by and construction of a part four, part five, part six storey building, plus basement, comprising 16 residential units each with private balconies/terraces and a communal roof terrace at 5th floor level plus associated cycle parking and landscaping.</t>
  </si>
  <si>
    <t>2016/4655</t>
  </si>
  <si>
    <t>16 Roehampton Gate</t>
  </si>
  <si>
    <t>Demolition of existing building and erection of a two-storey (plus basement and roof levels) house.</t>
  </si>
  <si>
    <t>2013/3041</t>
  </si>
  <si>
    <t>5 Mayford Road</t>
  </si>
  <si>
    <t>Change of use from children's home (currently vacant) to 6 flats. Demolition of rear dormer, construction of two storey rear extension and dormer.  Removal of external stairs.  Demolition of garage and formation of 3 no parking bays.  Demolition of first floor bay to rear elevation.</t>
  </si>
  <si>
    <t>2017/2024</t>
  </si>
  <si>
    <t>land adjacent to 72, 72A Bedford Hill</t>
  </si>
  <si>
    <t>Erection of a three storey building (between 72 Bedford Hill and the railway embankment) to provide a shop/store on ground floor and a two bedroom maisonette on first and second floors.  (Amended drawings received  showing alterations to the development) (Amendments to planning permission dated 23/07/2014 ref 2013/3267 to include the erection of mansard roof extension to main rear roof and conversion  to provide 1 x 1-bedroom.)</t>
  </si>
  <si>
    <t>2016/4349</t>
  </si>
  <si>
    <t>28 Tooting Bec Road</t>
  </si>
  <si>
    <t>Alterations including the erection of a single storey side and rear extension, rear mansard roof extension and extension over part of rear addition, excavation to create basement including a rear lightwell, installation of roof-lights to the front in connection with conversion of part of the basement level, rear of the ground floor, 1st and 2nd floors of the property to form 2 x 1-bedroom and 1 x 2-bedroom flats, and  use of part of the basement for commercial purposes.</t>
  </si>
  <si>
    <t>2017/5818</t>
  </si>
  <si>
    <t>Battersea Bar/The Chopper, 58-70 York Road</t>
  </si>
  <si>
    <t>Demolition of existing building and erection of a part 5, 9, 11, 13 and 14 storey (maximum height 50.6m) mixed-use development plus basement, providing 911sq.m (GIA) of office (Class B1a) floorspace at ground and basement levels with 82 residential units (Use Class C3) comprising market and affordable housing on upper floor levels with access to landscaped amenity deck; with 7 car parking spaces and 145 cycle parking spaces located at basement level; public realm improvements to York Road, Yelverton Road and Badric Court; and associated infrastructure works.</t>
  </si>
  <si>
    <t>10.14</t>
  </si>
  <si>
    <t>2017/2058</t>
  </si>
  <si>
    <t>129-139 Beaumont Road</t>
  </si>
  <si>
    <t>Demolition of the existing parade of shops to be replaced with a mixed use, commercial / residential block. Proposed block to be 5 storey and incorporate 28 residential units with commercial space at ground floor.</t>
  </si>
  <si>
    <t>2017/4995</t>
  </si>
  <si>
    <t>Adjacent, 93 Bolingbroke Grove</t>
  </si>
  <si>
    <t>Erection of two storey (plus roof and basement) 5-bedroom house with associated car and cycle parking and refuse storage.</t>
  </si>
  <si>
    <t>2013/5746</t>
  </si>
  <si>
    <t>1 Prince of Wales Drive</t>
  </si>
  <si>
    <t>Partial demolition of existing building, and erection of extensions at ground, first and second floor to rear of retained section, with erection of two-storey side extension; excavation of new basement floorspace beneath whole of extended property, with formation of lightwells to the front and basement courtyard area to the rear; installation of new windows; replacement of front boundary treatment.</t>
  </si>
  <si>
    <t>2013/6430</t>
  </si>
  <si>
    <t>15 Fernthorpe Road</t>
  </si>
  <si>
    <t>Demolition of existing garage. Construction of three-storey side extension with rear roof extension and conversion into self contained two bedroomed dwelling. Installation of 6 solar panels to front roof slope.</t>
  </si>
  <si>
    <t>2015/0277</t>
  </si>
  <si>
    <t>Kerry Cottage, 1A Cambalt Road</t>
  </si>
  <si>
    <t>Demolition of existing building and erection of detached 2-storey house with accommodation at basement level; erection of east brick boundary wall.</t>
  </si>
  <si>
    <t>2013/4653</t>
  </si>
  <si>
    <t>Phase 2 Development Wandsworth Business Village, Buckhold Road (Former Army Cadet Force Building)</t>
  </si>
  <si>
    <t>Demolition of existing single-storey building; erection of part 4 (16.6m high), part 11 (37m high), part 18 (58m high) and part 20 storey (64m high) building comprising 77 residential units, 2,254sq.m business floorspace  (Class B1 use), 163sq.m cafe/restaurant (Class A3 use) with associated landscaping and access arrangements.</t>
  </si>
  <si>
    <t>3.1.1</t>
  </si>
  <si>
    <t>2014/0194</t>
  </si>
  <si>
    <t>34 Gambole Road</t>
  </si>
  <si>
    <t>Construction of a single-storey rear extension, in connection with the conversion of the existing dwellinghouse to form; 1 x 3-bedroom flat, 1 x 2-bedroom flat &amp; 1 x 1-bedroom flat.</t>
  </si>
  <si>
    <t>2015/1446</t>
  </si>
  <si>
    <t>176 Upper Tooting Road</t>
  </si>
  <si>
    <t>Erection of second floor extension (with front and rear mansards) to create additional storey of accommodation including the creation of an additional one bedroom residential flat; erection of a part single-storey, part two-storey rear extension; external rear staircase and first floor balconies.</t>
  </si>
  <si>
    <t>2016/1252</t>
  </si>
  <si>
    <t>7 Lavender Hill</t>
  </si>
  <si>
    <t>Erection of single-storey rear extension at first floor level in connection with change of use of rear basement and ground floors from retail (Use Class A1) to 1 x 1-bedroom residential unit (Use Class C3) accessed from Abberley Mews.</t>
  </si>
  <si>
    <t>2017/1395</t>
  </si>
  <si>
    <t>Alterations including erection of roof extension to create additional floor of accommodation in connection with conversion of property into 3 x 1-bedroom flats.</t>
  </si>
  <si>
    <t>2014/3755</t>
  </si>
  <si>
    <t>71 Lavender Hill</t>
  </si>
  <si>
    <t>Construction of first and second floor rear extensions and roof terraces, and mansard roof extension to create an additional storey of accommodation with roof terrace in connection with the creation of three self-contained flats (1 x 1-bedroom, 1 x 2-bedroom and 1 x 4-bedroom unit). Ground floor alterations to shop front, insertion of side windows and access gate.</t>
  </si>
  <si>
    <t>2016/4163</t>
  </si>
  <si>
    <t>166 Battersea Park Road</t>
  </si>
  <si>
    <t>Alterations including erection of mansard extension to main rear roof (with French doors and safety railings) and erection of part single, part two-storey rear/side extension; formation of roof terrace at first and second  floor levels with 1.7m high screening surround.  Change of use of rear part of ground floor takeway to residential (Class C3) in connection with conversion of property to 2 x 1-bedroom and 1 x 2-bedroom flats.</t>
  </si>
  <si>
    <t>2014/6325</t>
  </si>
  <si>
    <t>Land rear of, 13 Thurleigh Road</t>
  </si>
  <si>
    <t>Demolition of existing garages, erection of a single-storey plus basement attached self-contained dwelling fronting Blenkame Road with boundary treatment and associated landscaping.</t>
  </si>
  <si>
    <t>2014/6447</t>
  </si>
  <si>
    <t>Hookham Court Garages, Deeley Road</t>
  </si>
  <si>
    <t>Demolition of existing Council own garages and redevelopment of the site to provide a new Council own building ranging from 4 to 5 storeys in height comprising 20 residential units of affordable housing (use class C3) together with ground floor automobile and cycle parking, refuse area  and landscaping.</t>
  </si>
  <si>
    <t>2015/4504</t>
  </si>
  <si>
    <t>46 Ponton Road (Lexington Gardens)</t>
  </si>
  <si>
    <t>Demolition of all existing buildings and redevelopment of the site to provide a mixed-use development comprising 357 residential units, including affordable housing (use class C3) and 772sqm of commercial/community floorspace (use classes A1/A2/A3/B1/D1/D2) within buildings ranging from 10 to 13 storeys in height, together with associated car and cycle parking, private and public open space, landscaping and infrastructure works.</t>
  </si>
  <si>
    <t>2.1.20</t>
  </si>
  <si>
    <t>2017/1890</t>
  </si>
  <si>
    <t>Application under Section 73 of the Town and Country Planning Act (as amended) for amendments to planning permission dated 04/10/2016 (ref: 2015/4504) for the demolition of all existing buildings and redevelopment of the site to provide a mixed-use development comprising 357 residential units, including affordable housing (Use Class C3) and 772 sqm of commercial / community floorspace (Use Classes A1 / A2 / A3 / B1 / D1 / D2/) within buildings ranging from 10 to 13 storeys in height, together with associated car and cycle parking, private and public open space, landscaping and infrastructure works. (The amendments include:_x000D_
Amendments to building façade and materials and relocation of façade frame; Reduction in overall building height; Amendments to the ground floor layout and building core layouts; Amendments to podium drainage; Removal of podium level attenuation; Amendments to internal apartment layouts; and Amendments to internal layouts of Block C resulting in changes to the unit mix within the shared ownership tenure and an increase of three residential units)</t>
  </si>
  <si>
    <t>2015/3861</t>
  </si>
  <si>
    <t>26 Lavender Hill</t>
  </si>
  <si>
    <t>Alterations including excavation to enlarge basement; erection of part single/part two-storey rear/side extensions with formation of balconies at ground and first floor levels in connection with the creation of 2x1 bedroom self-contained flats.</t>
  </si>
  <si>
    <t>2018/3618</t>
  </si>
  <si>
    <t>21A Upper Tooting Road</t>
  </si>
  <si>
    <t>Alterations including erection of first floor rear and side extension, dormer roof extension to main rear roof and mansard style extension above two-storey back addition to form 1 x 2-bedroom flat, 2 x studio flat.</t>
  </si>
  <si>
    <t>2018/0859</t>
  </si>
  <si>
    <t>87 Putney High Street</t>
  </si>
  <si>
    <t>conversion + extn</t>
  </si>
  <si>
    <t>Alterations and erection of three-storey (first to third floors) rear extension in connection with conversion of upper floors into 3 x 2-bedroom self-contained flats (Class C3) together with the erection of a three storey building to the rear of the site to provide 2 residential flats (Class C3)  (1 x 1-bedroom and 1 x 2-bedroom). Formation of a communal first floor terrace and new residential access with cycle and refuse stores from Token Yard.</t>
  </si>
  <si>
    <t>new build</t>
  </si>
  <si>
    <t>2015/0599</t>
  </si>
  <si>
    <t>31 &amp; 32 Centurion Building, 376 Queenstown Road (Chelsea Bridge Wharf)</t>
  </si>
  <si>
    <t>Internal alterations to convert apartments 31 and 32 into one self contained unit (Class Use C3).</t>
  </si>
  <si>
    <t>2016/1630</t>
  </si>
  <si>
    <t>rear of /49 &amp; r/o The Studio, Ferndale and Killinhchy, Culverden Road (Land adjacent Fontenoy Road)</t>
  </si>
  <si>
    <t>Erection of single-storey (with basement and roof accommodation) detached 3-bedroom dwelling.</t>
  </si>
  <si>
    <t>2019/3117</t>
  </si>
  <si>
    <t>193 Lower Richmond Road</t>
  </si>
  <si>
    <t>Retention of frontage building and basement with alterations including erection of a roof extension above the two-storey back addition; erection of replacement single to two-storey extension to the rear (plus basement); formation of front light well onto Lower Richmond Road; works to provide a restaurant (Class A3) unit and 2 x 1-bedroom and 1 x 3-bedroom flats. (Amendment to planning permission 2018/3809 including: reducing the size of the front commercial unit and change of use to an office (Class B1); changes to the layout of one residential unit on the ground and basement floors; relocating the bin stores and reducing the size of the lightwells; changes to the size of the approved fenestration and dormer windows).</t>
  </si>
  <si>
    <t>2016/1889</t>
  </si>
  <si>
    <t>186-188 Balham High Road</t>
  </si>
  <si>
    <t>Extn to ex</t>
  </si>
  <si>
    <t>Part demolition and reconfiguration of the existing first floor (Use Class A1/A2 - retail) and construction of a part 2-, 3- and 4-storey extensions (at 1st, 2nd, 3rd and 4th floor levels) and construction of a part 1- and 2-storey building (including basement accommodation) to the existing service/storage yard to create 7 x self-contained residential units (Use Class C3) with associated amenity space in the form of balconies and roof terraces and green/living walls. (Amendments to planning permission ref. 2015/1933 dated 16/11/2015 including revisions to the staircases; internal alterations to flat 1.1; installation of staircase within retail unit; installation of glazed staircase and walkway to second and third floor flats; increase floorspace to third floor flat and associated external changes).</t>
  </si>
  <si>
    <t>2019/0616</t>
  </si>
  <si>
    <t>53 Cromford Road</t>
  </si>
  <si>
    <t>Alterations including erection of part single/part two storey rear extension (with first floor rear roof  terrace)  in connection with creation of 1 x 2-bedroom and 2 x 1-bedroom flats, with associated bike and bin store within the front garden [REVISED DESCRIPTION].</t>
  </si>
  <si>
    <t>2017/2748</t>
  </si>
  <si>
    <t>6 Broadwater Road</t>
  </si>
  <si>
    <t>Demolition of commercial properties and erection of three - storey building (plus roof terrace) to provide 1 x two bedroom &amp; 2 x one bedroom flats, with associated landscaping and refuse stores.</t>
  </si>
  <si>
    <t>2019/5111</t>
  </si>
  <si>
    <t>Phoenix Members Bar Club, 37 Groom Crescent (Former Greenside Social Club)</t>
  </si>
  <si>
    <t>Redevelopment and erection of a new residential building comprising 7 no. apartments (1 x studio, 1 x 1 bed, 4 x 2 beds and 1 x 3 bed), together with associated parking, bicycle and refuse storage.</t>
  </si>
  <si>
    <t>2015/5072</t>
  </si>
  <si>
    <t>Land east of 11-13 (11A), 11-13 Stanmer Street</t>
  </si>
  <si>
    <t>Erection of two-storey 2-bedroom dwelling at basement and ground floor levels (accessed from passage between 11 and 13 Stanmer Street and entrance gate) with lightwell to Stanmer Street.</t>
  </si>
  <si>
    <t>2019/4047</t>
  </si>
  <si>
    <t>Prince of Wales P.H, 270 Cavendish Road</t>
  </si>
  <si>
    <t>Change of use of ground floor from Class A4 [public house] to 2 x Class C3 residential apartments, together with minor external alterations to the obscure glazing and provision of planters.</t>
  </si>
  <si>
    <t>2015/5470</t>
  </si>
  <si>
    <t>3 Wandle Road</t>
  </si>
  <si>
    <t>Internal alterations in connection with use as a single dwelling.</t>
  </si>
  <si>
    <t>2015/5858</t>
  </si>
  <si>
    <t>Rear of 66-68, 66-68 St Johns Road</t>
  </si>
  <si>
    <t>Construction of a two-storey extension over existing single-storey structure to provide four residential flats (2 x 1 bedroom and 2 x 2 bedroom) and replacement of the facade at ground floor level.</t>
  </si>
  <si>
    <t>2018/2949</t>
  </si>
  <si>
    <t>Audiology House, 45 Nightingale Lane</t>
  </si>
  <si>
    <t>Building 1</t>
  </si>
  <si>
    <t>Demolition of the existing side and rear extensions of Audiology House and factory building to rear. Conversion of main Audiology House building including the erection of a three storey building to the rear, 2no. two storey extensions to main building to facilitate the conversion and redevelopment of the site to create 19 residential units (Use Class C3) with private and communal amenity space; associated car parking, cycle parking, landscaping and associated works.</t>
  </si>
  <si>
    <t>Building 2</t>
  </si>
  <si>
    <t>2019/1401</t>
  </si>
  <si>
    <t>503 Garratt Lane</t>
  </si>
  <si>
    <t>Alterations including erection of mansard roof extension (with french doors to access roof terrace); erection of part two, part three-storey rear extension including roof terraces at second and third floor levels with 1.7m glazed surround in connection with provision of 2 x 2-bedroom and 1 x 1-bedroom flats.</t>
  </si>
  <si>
    <t>2016/3087</t>
  </si>
  <si>
    <t>63a West Hill</t>
  </si>
  <si>
    <t>Demolition of existing dwelling. Erection of 2 x two-storey, 4-bedroom dwelling houses with accommodation at basement and roof level; excavation to form front and rear lightwells; alterations to front boundary wall including new piers and gates; erection of bin store in front garden; erection of bike stores and garden sheds in both rear gardens; associated landscaping; formation of one dropped kerb. Revised proposal to that refused 29/04/2016 ref: 2016/0308 to include alterations such as reduction in height and depth of dwellings and amendments to front elevation fenestration.</t>
  </si>
  <si>
    <t>2019/1533</t>
  </si>
  <si>
    <t>65 &amp; 65a, 65 Garratt Terrace</t>
  </si>
  <si>
    <t>Alterations including erection of mansard roof extension to main rear roof and raising the ridge by 300mm; roof extension over three-storey back addition; alteration to first floor rear roof; and erection of single storey rear/side extension in connection with conversion of property into 2 x 3-bedroom and 1 x 2-bedroom flats.</t>
  </si>
  <si>
    <t>2015/6849</t>
  </si>
  <si>
    <t>256 &amp; 262, Wimbledon Park Road (Petrol Station)</t>
  </si>
  <si>
    <t>Demolition of existing petrol filling station at no. 262 and redevelopment of the site to provide a four-storey building comprising retail use (Class A1) on the ground floor with 6 two-bedroom residential units with associated rear balconies/terraces above at 1st to 3rd floor levels. The proposed retail unit would be used in conjuction with part of the existing ground floor retail unit at no. 256 Wimbledon Park Road to provide a combined Class A1 unit of 657 sq.m. floorspace, with associated alterations to the front of no. 256 to create a new 117 sq.m. retail unit. Provision of associated cycle parking, refuse store and plant, and alterations to public footway to provide a bay in front of no. 262 Wimbledon Park Road.</t>
  </si>
  <si>
    <t>2016/1499</t>
  </si>
  <si>
    <t>7-12 Elmfield Mansions, Elmfield Road</t>
  </si>
  <si>
    <t>Erection of mansard roof extensions to main rear roofs and above part of the three-storey back addition and formation of roof terraces at third floor level, in connection with the creation of 2 self-contained residential flats (2 x 1-bedroom).</t>
  </si>
  <si>
    <t>2016/5073</t>
  </si>
  <si>
    <t>Land rear of 4, 4 Granville Road</t>
  </si>
  <si>
    <t>Erection of part single, part two-storey 2-bedroom detached house, including new boundary treatment, vegetation removal, landscaping and bike and bin stores, with access from Morris Gardens.</t>
  </si>
  <si>
    <t>2016/5649</t>
  </si>
  <si>
    <t>Garage south of, 99 Ellerton Road</t>
  </si>
  <si>
    <t>Alterations including demolition of existing garage and erection of a single storey (plus basement) 3-bedroom detached house including erection of boundary walls, formation of a front hardstanding area and associated landscaping.</t>
  </si>
  <si>
    <t>2016/3086</t>
  </si>
  <si>
    <t>2 Brook Cottages, 103 Bolingbroke Grove</t>
  </si>
  <si>
    <t>Demolition of existing dwelling (retrospective). Erection of part single, part two-storey 3-bedroom dwellinghouse (plus basement level with front lightwells).</t>
  </si>
  <si>
    <t>2018/4220</t>
  </si>
  <si>
    <t>2 Umbria Street</t>
  </si>
  <si>
    <t>Alterations including erection single-storey extensions in connection with use as a three bedroom house; associated landscaping, cycle and refuse storage; provision of off street parking with access from Nepean Street.</t>
  </si>
  <si>
    <t>2018/4880</t>
  </si>
  <si>
    <t>Aminah Mansions 55F, Tooting High Street</t>
  </si>
  <si>
    <t>Erection of an additional storey of accommodation to increase the building height from three storeys to four storeys to create 4 x two-bedroom self-contained flats.</t>
  </si>
  <si>
    <t>2016/3061</t>
  </si>
  <si>
    <t>33-35 Ursula Street</t>
  </si>
  <si>
    <t>Demolition of existing dwellinghouse (except for front facade and front sections of the side facades) and erection of a replacement house, including the erection of a rear dormer roof extension, increased height of the rear addition, a single storey side/rear extension and excavation to create a basement level accommodation with rear lightwell. Landscaping of rear garden level including lowering of ground levels.</t>
  </si>
  <si>
    <t>2016/3628</t>
  </si>
  <si>
    <t>Brathway Hall, Brathway Road</t>
  </si>
  <si>
    <t>Demolition of existing building and erection of a three-storey building to provide church hall (Class D1) on the ground floor and 2 x 2-bedroom ancillary residential flats above including projecting balconies at rear of first and second floors.</t>
  </si>
  <si>
    <t>2016/3773</t>
  </si>
  <si>
    <t>3a, Woodborough Road</t>
  </si>
  <si>
    <t>Demolition of existing building and erection of a two-storey (plus basement) 5-bedroom detached house and associated landscaping.</t>
  </si>
  <si>
    <t>2016/6287</t>
  </si>
  <si>
    <t>25 Crockerton Road</t>
  </si>
  <si>
    <t>Alterations in connection with the conversion of the property from four flats (2 x 1-bedroom and 2 x 2-bedroom) to a single dwellinghouse (seven-bedroom). Formation of rear roof terrace at main roof level with 1.1m high balustrade.</t>
  </si>
  <si>
    <t>2016/6386</t>
  </si>
  <si>
    <t>39-43 and 39-43a, 39-43 West Hill</t>
  </si>
  <si>
    <t>Alterations including replacement of fenestration to ground floor elevations and excavation to form basement with rear lightwells in conjunction with change of use from retail (Class A1) and provision of 1 x 1-bedroom, 4 x 2-bedroom flats (Class C3) at basement and ground floor levels; refuse and cycle stores fronting Lebanon Road</t>
  </si>
  <si>
    <t>2016/4857</t>
  </si>
  <si>
    <t>49a Tooting High Street</t>
  </si>
  <si>
    <t>Erection of three-storey rear extension, alterations and conversion of existing residential unit to create 3 x 1-bedroom flats.</t>
  </si>
  <si>
    <t>2016/6541</t>
  </si>
  <si>
    <t>Determination as to whether prior approval is required for change of use of office at first floor level from (Class B1a) to residential (Class C3) to provide 1 x 1-bedroom unit.</t>
  </si>
  <si>
    <t>2016/7075</t>
  </si>
  <si>
    <t>7-11 St Johns Hill</t>
  </si>
  <si>
    <t>Determination as to whether prior approval is required for change of use from office (Class B1a) to 35 x residential units (Class C3) at first to fourth floors.</t>
  </si>
  <si>
    <t>2016/4543</t>
  </si>
  <si>
    <t>131 Lower Richmond Road</t>
  </si>
  <si>
    <t>Proposed use of the first and second floors as two residential flats.</t>
  </si>
  <si>
    <t>2016/6088</t>
  </si>
  <si>
    <t>25/25a St Johns Avenue</t>
  </si>
  <si>
    <t>Demolition of existing buildings and erection of two x four-storey (plus basement) detached houses including formation of front and rear lightwells, and front and rear roof terraces at third floor level; associated tree removals, landscaping, new boundary treatment and four off-street parking spaces.</t>
  </si>
  <si>
    <t>2017/4038</t>
  </si>
  <si>
    <t>Land rear of 857, 857 Garratt Lane</t>
  </si>
  <si>
    <t>Demolition of existing building (857E Garratt Lane) and erection of three-storey (plus basement) building to provide 4 x 1-bedroom flats and 6 x 2-bedroom flats including front and rear lightwells and front and rear balconies/roof terraces at first floor level; associated boundary treatment, refuse and cycle stores and landscaping.</t>
  </si>
  <si>
    <t>2016/2027</t>
  </si>
  <si>
    <t>15-27 Falcon Road</t>
  </si>
  <si>
    <t>Demolition of existing building and erection of a three/five storey building plus basement to provide 25 residential units (8 x one bedroom, 13 x two bedroom, 4 x three bedroom) including balconies and communal garden and two retail units (Class A1, totalling 669sq.m of floorspace) and a gymnasium (Class D2, 434sq.m) together with cycle storage (60 bicycles) and refuse stores.</t>
  </si>
  <si>
    <t>2017/2588</t>
  </si>
  <si>
    <t>212 Tooting High Street</t>
  </si>
  <si>
    <t>Change of use of lower ground and upper ground floors from Financial &amp; Professional services (Use Class A2) to residential (Use Class C3) to create 2 x 1-bedroom self-contained flats. External alterations to shopfront and erection of part single storey / part two storey rear extension at lower ground and ground floor levels with balcony and external staircase from ground level to lower ground level, formation of rear lightwell and alterations to rear yard including new boundary treatment, installation of bin store and cycle racks.</t>
  </si>
  <si>
    <t>2016/5949</t>
  </si>
  <si>
    <t>Stag House Putney Vale Youth Centre, Stroud Crescent</t>
  </si>
  <si>
    <t>Demolition of community centre and erection of 3/4 storey building to provide 21 flats including warden flat and communal living spaces; reduction in size of adjacent multi-use games area to create circulation and access space, balconies to all elevations, associated cycle and refuse storage and landscaping. Retention of 27 car parking spaces alongside the games area.</t>
  </si>
  <si>
    <t>2016/5738</t>
  </si>
  <si>
    <t>Garages north of 99-152, 99-152 Gideon Road</t>
  </si>
  <si>
    <t>Demolition of existing garages and redevelopment to provide  18 units (15 flats and 3 houses) within 3 and 4 storey blocks with associated vehicle and cycle parking, bin storage and landscaping.</t>
  </si>
  <si>
    <t>2016/5739</t>
  </si>
  <si>
    <t>Garages and parking spaces, 57-84 Gideon Road</t>
  </si>
  <si>
    <t>Demolition of existing garages and redevelopment for a part one, two and three storey residential block to provide 4 units with associated vehicle and cycle parking, bin store, landscaping and reconfiguration of existing parking court (amended description).</t>
  </si>
  <si>
    <t>2017/0633</t>
  </si>
  <si>
    <t>Boyce House, Aldrington Road</t>
  </si>
  <si>
    <t>Alterations including the infill of undercroft space beneath the block to provide 3 self-contained flats (3 x 1-bedroom) with associated amenity space and the provision of 3 car parking spaces to west of Boyce House.</t>
  </si>
  <si>
    <t>2017/0484</t>
  </si>
  <si>
    <t>Busby House, Aldrington Road</t>
  </si>
  <si>
    <t>Alterations including the infill of undercroft space beneath the block to provide 3 self-contained flats (2 x 1-bedroom and 1 x 2-bedroom) with associated amenity space and the provision of 3  car parking spaces on western side of Busby House.</t>
  </si>
  <si>
    <t>2017/0483</t>
  </si>
  <si>
    <t>Grierson House, Aldrington Road</t>
  </si>
  <si>
    <t>Infill of undercroft space beneath the block to provide 3 self-contained flats (1 x 1-bedroom and 2 x 2-bedroom) with associated amenity space and the provision of 3 car parking spaces to the east of Grierson House.</t>
  </si>
  <si>
    <t>2018/3305</t>
  </si>
  <si>
    <t>140 Trinity Road</t>
  </si>
  <si>
    <t>Erection of one-storey (plus basement) 3-bedroom dwelling with associated cycle and refuse storage.</t>
  </si>
  <si>
    <t>2017/0637</t>
  </si>
  <si>
    <t>Shenstone House, Aldrington Road</t>
  </si>
  <si>
    <t>Infill of undercroft space beneath the block to provide 3 self-contained flats (1 x 1-bedroom and 2 x 2-bedroom) with associated amenity space and the provision of three car parking spaces to the east of Shenstone House.</t>
  </si>
  <si>
    <t>2017/1159</t>
  </si>
  <si>
    <t>6 Leacroft Avenue</t>
  </si>
  <si>
    <t>Demolition of existing building and erection of a three storey (plus basement with rear lightwell) 5-bedroom detached house.</t>
  </si>
  <si>
    <t>2018/4756</t>
  </si>
  <si>
    <t>2 Langside Avenue</t>
  </si>
  <si>
    <t>Demolition of building including the retention of the front façade; rebuilding dwelling to include alterations subject of planning permission 2017/1196 including re-profiling the existing main roof and back addition roof; erection of mansard roof extension to the rear roof slope; Insertion of dormer windows in the roof of the back addition; erection of front dormer and formation of roof terrace above main roof;  erection of balcony at rear first floor level; erection of single-storey rear/side extension; excavation to create basement including formation of front lightwell; use as a 5-bedroom house</t>
  </si>
  <si>
    <t>2019/3046</t>
  </si>
  <si>
    <t>1 Gateside Road</t>
  </si>
  <si>
    <t>Alterations including erection of single storey rear/side extension and formation of first floor terrace in connection with conversion of property into 1 x 3-bedroom and 1 x 2-bedroom flats with associated bin and cycle storage.</t>
  </si>
  <si>
    <t>2017/2691</t>
  </si>
  <si>
    <t>31 Cathles Road</t>
  </si>
  <si>
    <t>Alterations including erection of mansard extension to main rear roof and extension above part of two-storey back addition; single storey rear/side extension and excavation to create an enlarged basement including formation of side and rear lightwells with glass over in connection with conversion of property into 2 x 3-bedroom flats.</t>
  </si>
  <si>
    <t>2018/1083</t>
  </si>
  <si>
    <t>98A,B &amp; C, 98 Pirbright Road</t>
  </si>
  <si>
    <t>Demolition of existing single storey dwelling and erection of 1x1 bedroom and 1x3-bedroom two-storey plus basement houses with associated bin storage.</t>
  </si>
  <si>
    <t>2017/3458</t>
  </si>
  <si>
    <t>27 Culverden Road</t>
  </si>
  <si>
    <t>Conversion of 3 flats to form one family dwelling  (6 bedrooms). Erection of single-storey side/rear extensions.</t>
  </si>
  <si>
    <t>2018/0494</t>
  </si>
  <si>
    <t>1, 2 and 3 Crosland Place, Taybridge Road</t>
  </si>
  <si>
    <t>Demolition of existing part single/part two storey building (B1 Use Class and ancillary residential accommodation) and the erection of a part one/part two/part three storey building in connection with creation of 1 x 3-bedroom, 7 x 2-bedroom and 1 x 1-bedroom flats with associated cycle and refuse storage.</t>
  </si>
  <si>
    <t>2017/3556</t>
  </si>
  <si>
    <t>40 Lindore Road</t>
  </si>
  <si>
    <t>Alterations including erection of single storey rear/side extension, excavation to enlarge basement, excavation of rear garden and front and side lightwells in connection with creation of 1 x 2-bedroom flat.</t>
  </si>
  <si>
    <t>2018/2349</t>
  </si>
  <si>
    <t>6 Selkirk Road</t>
  </si>
  <si>
    <t>Alterations including erection of part single, part two-storey side/rear extension; alterations and change of use of ground floor mixed retail/residential (Class A1/C3) to retail (A1) to front and residential (C3) to rear with creation of one self contained 1 bedroom flat; erection of mansard extension to main rear roof and extension above part of back addition in connection with creation of one 2 bedroom unit at first and second floor levels; creation of roof terrace with 1.7m high obscured screening over part of back addition.</t>
  </si>
  <si>
    <t>2017/4370</t>
  </si>
  <si>
    <t>26 Thurleigh Road</t>
  </si>
  <si>
    <t>Erection of dormer roof extensions to main rear roof and single-storey rear extension; _x000D_
Excavation to create an enlarge basement including formation of front lightwell with grille over in connection with conversion of three flats into 5-bedroom house. Installation of replacement timber windows to front and removal first floor rear to timber french door and safety railings.</t>
  </si>
  <si>
    <t>2017/4487</t>
  </si>
  <si>
    <t>96 Trinity Road</t>
  </si>
  <si>
    <t>Alterations including the erection of mansard extension to main rear roof (with french doors and safety railings) and single storey side/rear extension, in connection with conversion of property into 1 x 1 bedroom, 1 x 2-bedroom and 1 x 3-bedroom flats.</t>
  </si>
  <si>
    <t>2017/4420</t>
  </si>
  <si>
    <t>Marion Court, Tooting High Street</t>
  </si>
  <si>
    <t>Erection of addititional floor of accommodation to form 4 x 2-bedroom flats.</t>
  </si>
  <si>
    <t>2017/4170</t>
  </si>
  <si>
    <t>155 Trevelyan Road</t>
  </si>
  <si>
    <t>Alterations including erection of mansard roof extension to main rear roof (with French doors and safety railings) and extension above part of two-storey back addition. Erection of single-storey rear/side extensions in connection with conversion of property into 5 bedroom single dwelling.</t>
  </si>
  <si>
    <t>2018/5449</t>
  </si>
  <si>
    <t>19 Devereux Road</t>
  </si>
  <si>
    <t>Erection of mansard roof extension to main rear roof (with french doors and safety railings) and rooflights to front. Alterations to fenestration of three storey back addition. Alterations and extensions in connection with reconfiguration of layout of Flats C and D.</t>
  </si>
  <si>
    <t>2017/6926</t>
  </si>
  <si>
    <t>65 Balham High Road</t>
  </si>
  <si>
    <t>Alterations including erection of two storey rear/side extension in connection with change of use from shop (Class A1) to restaurant (Class A3) and residential (Class C3) to create a new restaurant and 1 x two storey (plus basement and two lightwells) 3-bedroom house. Installation of high level extraction flue and one A/C unit to rear.</t>
  </si>
  <si>
    <t>2018/0932</t>
  </si>
  <si>
    <t>28a Northcote Road</t>
  </si>
  <si>
    <t>Alterations including erection of a dormer roof extension to main rear roof, erection of part single, part two, part three-storey rear/side extension with rear access and formation of a roof terrace with 1.7m high obscured glass surround at second floor level in connection with conversion into 1 x 2-bedroom and 1 x 1 bedroom flats.</t>
  </si>
  <si>
    <t>2017/5682</t>
  </si>
  <si>
    <t>116-118 Upper Richmond Road</t>
  </si>
  <si>
    <t>Demolition of rear workshop to accommodate the erection of a three-storey rear extension with rear external terraces; internal layout changes to form 1 x 1-bedroom, 2 x 2-bedroom and 1 x 3-bedroom flats; creation a roof terrace above rear of 116; insertion of roof light in rear roof slope; alterations to the shop fronts to accommodate residential access; erection of bike and bin stores to the rear; conversion of the two ground floor units into one.</t>
  </si>
  <si>
    <t>2018/4664</t>
  </si>
  <si>
    <t>92 Putney Bridge Road</t>
  </si>
  <si>
    <t>Demolition of existing building and redevelopment of the site to provide a five-storey building comprising 371 sq.m. of office use (Class B1a) at ground floor lever, and 19 residential units with balconies on the upper floors, together with associated cycle parking, landscaping and infrastructure/public realm works.</t>
  </si>
  <si>
    <t>2017/6531</t>
  </si>
  <si>
    <t>Site adjacent to 1-8, 1-8 Arnal Crescent</t>
  </si>
  <si>
    <t>Erection of four-storey building to provide 3 x 2-bedroom and 1 x 1-bedroom flats with balconies and associated landscaping and refuse/cycle storage (revised daylight/sunlight report).</t>
  </si>
  <si>
    <t>2017/6864</t>
  </si>
  <si>
    <t>Land north of Grant road incl parcels of land on c/o Plough/Winstanley, Grant Road</t>
  </si>
  <si>
    <t>Demolition works and construction of three buildings ranging from 6 to 20 storeys in height comprising mixed use development including  a total of 139 residential units (Class C3), a 5175sqm School (Class D1) and Chapel (Class D1) and 219 sqm of flexible commercial uses (Class A1, A2, A3, B1, D1 and D2) together with landscaping, play area and open space, a new Multi Use Games Area (MUGA), car parking, the realignment of Thomas Baines Road and other associated works".</t>
  </si>
  <si>
    <t>4.1.7</t>
  </si>
  <si>
    <t>2017/6977</t>
  </si>
  <si>
    <t>Sherwood Lodge, 5 Bessborough Road</t>
  </si>
  <si>
    <t>The demolition of Sherwood Lodge and associated outbuildings and the construction of a four-storey building, comprising 10 residential (Class C3) units, plus improvements to existing open space and public realm, vehicular and cycle parking and refuse and recycling stores.</t>
  </si>
  <si>
    <t>2017/6906</t>
  </si>
  <si>
    <t>Public House, 5 Lavender Hill</t>
  </si>
  <si>
    <t>Alterations including erection of a front and rear roof extension in connection with conversion of upper floors of property into 1 x 1-bedroom and 2 x 2-bedroom flats. Demolition of  part single, part two-storey rear extension and erection of a single storey rear extension including formation of ground floor outside terrace for commercial unit and roof terrace at first floor level for first floor flat. Use of ground floor and basement as Class A3 (cafe/restaurant).</t>
  </si>
  <si>
    <t>2019/2870</t>
  </si>
  <si>
    <t>rear of 34, 34D Lower Richmond road</t>
  </si>
  <si>
    <t>Demolition of existing building and erection of two-storey (plus basement) building to provide 2 x 3-bedroom flats with associated cycle and refuse storage.</t>
  </si>
  <si>
    <t>2018/5109</t>
  </si>
  <si>
    <t>91 Mitcham Road</t>
  </si>
  <si>
    <t>Erection of part single, part two, part three storey side/rear extension in connection with conversion of 1 x 2 bedroom first floor flat into 1 x 1 bedroom and 1 x studio flats; and alterations to existing second floor 2 bedroom flat. Installation of solar panels to main rear roof and provision of cycle and refuse storage.</t>
  </si>
  <si>
    <t>2018/0464</t>
  </si>
  <si>
    <t>111 St Johns Hill</t>
  </si>
  <si>
    <t>Alterations including erection of roof extension to main rear roof and above part of two-storey back addition. Erection of a rear first extension in connection with conversion and alteration of existing first floor roof space. Excavation to extend basement with formation of rear lightwell. Works in connection with the proposed conversion of the property into 3 x 1-bedrooms, 1 x 2-bedroom flats (including use of part of basement and rear part of ground floor). Alterations to shopfront and change of use of remainder of ground floor and basement from Class A2 to flexible use for Class A1(Shop), A2 (professional services) or Class B1 (Business).</t>
  </si>
  <si>
    <t>2018/0585</t>
  </si>
  <si>
    <t>The Surgery, Claudia Place</t>
  </si>
  <si>
    <t>Demolition of existing building and erection of a part-single, part four-storey 3-bedroomed dwellinghouse including roof terrace, with one off-street parking space.</t>
  </si>
  <si>
    <t>2019/3734</t>
  </si>
  <si>
    <t>74a Vant Road</t>
  </si>
  <si>
    <t>Demolition of existing building and erection of two storey (plus roof and basement with front and rear lightwells) building to provide 2 x 3 bedroom, 1 x 2 bedroom and 1 x  1 bedroom flats with associated cycle/bin storage and replacement of front boundary.</t>
  </si>
  <si>
    <t>2018/0881</t>
  </si>
  <si>
    <t>125b &amp; c Northcote Road</t>
  </si>
  <si>
    <t>Remodelling and extension of existing building including addition of two additional storeys to provide 2 new 1 bedroom flats on a new 2nd floor and within a new 3rd floor/roof.</t>
  </si>
  <si>
    <t>2018/3131</t>
  </si>
  <si>
    <t>121 Drakefield Road</t>
  </si>
  <si>
    <t>Alterations to existing windows to the side elevation of the back addition at second floor level, replacement windows, removal of paint to front and installation of 'Heaver style' railings  in association with the conversion of property from 3 flats to single dwellinghouse.</t>
  </si>
  <si>
    <t>2018/1293</t>
  </si>
  <si>
    <t>221 Lower Richmond Road</t>
  </si>
  <si>
    <t>Alterations including the conversion of the property into 1x studio, 1x one-bedroom and 1x three-bedroom flats with associated refuse storage in front garden</t>
  </si>
  <si>
    <t>2019/3393</t>
  </si>
  <si>
    <t>116 Tooting High Street</t>
  </si>
  <si>
    <t>Alterations including erection of mansard roof extension above part of two-storey rear addition; Removal of rear external access staircase and entrance door; Installation of windows and French doors with safety railings; Alterations to shopfront including new front door in connection with conversion of upper floor flat into 1 x 2-bedroom and 1 x 1-bedroom flats. (Amendments to planning permission  2018/3526 dated to re-configure the upper floor flat at first floor &amp; second floor levels).</t>
  </si>
  <si>
    <t>2016/3809</t>
  </si>
  <si>
    <t>229 Burntwood Lane</t>
  </si>
  <si>
    <t>Demolition of existing garage and erection of a single-storey outbuilding in rear garden to be used as a nanny flat.</t>
  </si>
  <si>
    <t>2019/2221</t>
  </si>
  <si>
    <t>117 Battersea High Street</t>
  </si>
  <si>
    <t>Erection of roof extension to provide additional floor of accommodation to create 2 x 2-bedroom flats with roof terraces to front and side.</t>
  </si>
  <si>
    <t>2016/4769</t>
  </si>
  <si>
    <t>30 Nimrod Road</t>
  </si>
  <si>
    <t>Alterations including erection of hip to gable side roof extensions, rear mansard roof extension, and extension above two storey back addition. Erection of single-storey side/rear extension. Erection of self-contained annexe to the rear garden with basement level.</t>
  </si>
  <si>
    <t>2018/1582</t>
  </si>
  <si>
    <t>2 Windmill Road</t>
  </si>
  <si>
    <t>Alterations including erection of single-storey rear/side extension; formation of a roof terrace with railing surround; and excavation to enlarge basement including formation of front lightwell with grill over. in connection with conversion of property into 1 x 3-bedroom, 1 x 2-bedroom and 1 x 1-bedroom flats with associated refuse and cycle storage in front garden.</t>
  </si>
  <si>
    <t>2018/2141</t>
  </si>
  <si>
    <t>29 Garratt Terrace</t>
  </si>
  <si>
    <t>1st/2nd floors conversion</t>
  </si>
  <si>
    <t>Alterations including erection of part single/part two storey rear/side extension in connection with conversion of property into 1 x 3-bedroom, 1 x 2-bedroom and 1 x 1-bedroom flats.</t>
  </si>
  <si>
    <t>g/f extn (new build)</t>
  </si>
  <si>
    <t>2018/1867</t>
  </si>
  <si>
    <t>162 Upper Tooting Road</t>
  </si>
  <si>
    <t>Erection of additional two-storey including mansard roof extension to front and rear to create three-storey building and provide 2 x 2-bedroom flats on upper floors; alterations and change of use of part of ground floor (A1) to residential (C3) to provide front access and provision of bin/cycle storage to rear. Alterations to front and rear elevations including replacement of shopfront.</t>
  </si>
  <si>
    <t>2019/4849</t>
  </si>
  <si>
    <t>890 Garratt Lane</t>
  </si>
  <si>
    <t>Change of use part ground floor form Financial and Professional Services (Class A2) to residential (Class C3). Alterations including erection of single-storey side/rear extension in connection with provision of one self-contained 1 bedroom flat. Erection of first floor rear extension. Erection of mansard roof extension to main rear roof (raising the ridge by 200mm) and erection of extension above part of two-storey rear addition with formation of roof terrace including 1.7m high obscured glazing in connection with the conversion of the first floor flat into 2 x 1 bedroom flats.</t>
  </si>
  <si>
    <t>2019/0753</t>
  </si>
  <si>
    <t>23 Eardley Road</t>
  </si>
  <si>
    <t>Alterations including erection of hip to gable and dormer roof extension to main rear roof; erection of part single, part two-storey rear extension in connection with conversion of dwellinghouse into 1 x 3 bedroom, 1 x 2 bedroom and 1 x 1 bedroom flats.</t>
  </si>
  <si>
    <t>2018/2436</t>
  </si>
  <si>
    <t>6 Gosberton Road</t>
  </si>
  <si>
    <t>Alterations including erection of mansard roof extension to main rear roof (with French doors and safety railings) and extension above part of two-storey back addition. Erection of single-storey rear/side extension, installation of velux windows (3) in front roofslope and French windows in rear elevation (1st floor), excavation to enlarge basement including formation of front and rear lightwells and conversion of property to 1 x 3-bedroom and 2 x 2-bedroom flats with associated cycle and refuse storage.</t>
  </si>
  <si>
    <t>2018/2298</t>
  </si>
  <si>
    <t>142 Priory Lane</t>
  </si>
  <si>
    <t>Demolition of existing house and erection of three-storey 6-bedroom dwelling with associated landscaping, cycle and refuse storage and parking with vehicular access from Roehampton Gate.</t>
  </si>
  <si>
    <t>2018/3634</t>
  </si>
  <si>
    <t>26 Drakefield Road</t>
  </si>
  <si>
    <t>Alterations including the erection of a single storey side and rear extension; conversion of building from 1 x 1 bedroom and 2 x 2 bedroom flats into a single dwellinghouse.</t>
  </si>
  <si>
    <t>2018/4645</t>
  </si>
  <si>
    <t>50 Bolingbroke Grove</t>
  </si>
  <si>
    <t>Alterations including erection of dormer roof extension, erection of roof extension above two storey side addition and erection of replacement single-storey rear extension in connection with conversion of property from two flats to single dwelling house.</t>
  </si>
  <si>
    <t>2018/4835</t>
  </si>
  <si>
    <t>21 Bedford Hill</t>
  </si>
  <si>
    <t>Determination as to whether prior approval is required for change of use of rear part of shop (Class A1) to residential (Class C3) to provide 1 x 1-bedroom flat.</t>
  </si>
  <si>
    <t>2019/1544</t>
  </si>
  <si>
    <t>203 Trinity Road</t>
  </si>
  <si>
    <t>Alterations including demolition of existing two storey back addition, reconstruction of enlarged two storey back addition, erection of a mansard roof extension to main rear roof, erection of extension above two storey back addition, erection of a single storey rear/side extension in connection with conversion to 1 x 1-bed, 1 x 2-bed and 1 x 3-bed flats with associated cycle and refuse storage to front and rear garden.</t>
  </si>
  <si>
    <t>2018/1257</t>
  </si>
  <si>
    <t>Flat C, 180 Queenstown Road</t>
  </si>
  <si>
    <t>Internal alterations to existing second floor flat and loft conversion and the erection of a dormer roof extension to create 1 x 1 person 1 bedroom self-contained flat.</t>
  </si>
  <si>
    <t>j+</t>
  </si>
  <si>
    <t>2019/2893</t>
  </si>
  <si>
    <t>7 Gressenhall Road</t>
  </si>
  <si>
    <t>Demolition of existing building and erection of four-storey (plus basement) building to provide 2 x 3-bedroom, 2 x 2-bedroom and 3 x 1-bedroom flats with roof terraces at second and third floor levels, associated landscaping, boundary treatment and bin and cycle storage.</t>
  </si>
  <si>
    <t>2018/5840</t>
  </si>
  <si>
    <t>43 Seymour Road</t>
  </si>
  <si>
    <t>Demolition of existing dwelling and erection of replacement two-storey (plus basement) 5-bedroom house with elevated ground floor terrace at rear and front lightwell.</t>
  </si>
  <si>
    <t>2019/0196</t>
  </si>
  <si>
    <t>Flat A, 167 Mitcham Road</t>
  </si>
  <si>
    <t>Conversion of existing 1 x 3 bedroom flat to create 2 x 1-bedroom studio flats.</t>
  </si>
  <si>
    <t>2019/0135</t>
  </si>
  <si>
    <t>185 Garratt Lane</t>
  </si>
  <si>
    <t>Alterations including erection of extension above two storey back addition; Erection of part single, part-two storey rear extension; formation of terraces with glass surround to rear elevation at first and second floor levels in connection with conversion to 2 x 1-bed and 1 x 2-bed flats.</t>
  </si>
  <si>
    <t>2019/0291</t>
  </si>
  <si>
    <t>4 Ravenslea Road</t>
  </si>
  <si>
    <t>Change of use from a House of Multiple Occupation (HMO) to a single dwelling house.</t>
  </si>
  <si>
    <t>2019/0503</t>
  </si>
  <si>
    <t>812 Garratt Lane</t>
  </si>
  <si>
    <t>Alterations including erection of side and rear mansard extension to main rear roof and over back addition; erection of two-storey side/rear extension and replacement and installation of first floor external staircase and landing to rear in connection with formation of additional 2-bedroom flat and extension to existing studio and 3 bedroom flats.</t>
  </si>
  <si>
    <t>2019/0557</t>
  </si>
  <si>
    <t>515 Battersea Park Road</t>
  </si>
  <si>
    <t>Alterations including erection of mansard roof extension to create an additional storey; erection of a part one/two/three/four storey rear extension; creation of balconies/roof terraces at first/second/third storeys; in connection with change of use of rear part of ground floor from restaurant (Class A3) to residential (Class C3) and creation of 4 x 1-bedroom and 1 x 2-bedroom flats.</t>
  </si>
  <si>
    <t>2019/0676</t>
  </si>
  <si>
    <t>10 Westbridge Road</t>
  </si>
  <si>
    <t>Alterations including erection of two-storey (lower ground floor and ground floor) rear extension; in connection with a de-conversion of 1 x studio and 1 x 3-bedroom into 1 x 4-bedroom unit. Erection of front boundary wall and gates with associated refuse and cycle storage.</t>
  </si>
  <si>
    <t>2019/0705</t>
  </si>
  <si>
    <t>14 Gibey Road</t>
  </si>
  <si>
    <t>Alterations including erection of a single storey rear/side extension, change first floor rear roof from pitched to flat, installation of French doors with safety screen to rear first and second floors in connection with conversion to 1 x 1 bedroom, 1 x 2 bedroom and 1 x 3 bedroom flats.</t>
  </si>
  <si>
    <t>2019/0975</t>
  </si>
  <si>
    <t>354 Old York Road</t>
  </si>
  <si>
    <t>Erection of part two to four storey rear/side extension, rear roof extension, front dormers including raising the ridge by 300mm ; formation of roof terraces at second and third floor levels with 1.7m high screen surround in connection with the conversion of the property into 2 x 1-bedroom, 1 x 2-bedroom flats; Change of use from shop (Class A1) to retail/financial and professional services (Class A2 and Class A1) flexible use.</t>
  </si>
  <si>
    <t>2019/1082</t>
  </si>
  <si>
    <t>14 Werter Road</t>
  </si>
  <si>
    <t>Alterations including erection of a dormer roof extension to main rear roof, and hip to gable rear roof extension; Erection of ground and first floor rear extension.Excavation to create basement including formation of front and rear lightwells; in connection with conversion of property into 1 x 1-bedrooms 2 x 2-bedrooms 2 x 3-bedroom flats with associated refuse storage and cycle storage.</t>
  </si>
  <si>
    <t>2019/1290</t>
  </si>
  <si>
    <t>First and Second Floor, 565a Garratt Lane</t>
  </si>
  <si>
    <t>Conversion of a 3-bedroom flat into 2 x 1-bedroom flats and formation of roof terrace above rear addition with a 1.7m obscured surround</t>
  </si>
  <si>
    <t>2018/3531</t>
  </si>
  <si>
    <t>Basement and Ground floor, 6-8 Old Devonshire Road</t>
  </si>
  <si>
    <t>Planning permission (2018/3531) and Listed Building Consent (2018/3533) for erection of two-storey side/rear extension at Nos.6 Old Devonshire Road basement and ground floor flats; formation of rear balcony with screening at No.6 Old Devonshire Road ground floor flat and creation of opening in flank wall to gain access to extension and reconfiguration of existing bathroom; installation and replacement of rear French doors at No.6 Old Devonshire Road basement flat. Erection of two storey side/rear extension at basement and ground floor levels at No.8 Old Devonshire Road to provide 1 x 1-bedroom self-contained residential unit. Alterations and replacement of front boundaries treatments at Nos.6 and 8 Old Devonshire Road.</t>
  </si>
  <si>
    <t>2019/1035</t>
  </si>
  <si>
    <t>51 St Anns Hill</t>
  </si>
  <si>
    <t>Demolition of existing house and erection of three storey (plus basement) building to provide 2 x 1-bedroom and 1 x 3-bedroom flats with front balcony at second floor level and associated bin and cycle storage.</t>
  </si>
  <si>
    <t>2019/1551</t>
  </si>
  <si>
    <t>78 Coverton Road</t>
  </si>
  <si>
    <t>Alterations in connection with conversion of existing property to provide 1 x studio, 1 x 1-bedroom, 1 x 2-bedroom, 1 x 3-bedroom flats.</t>
  </si>
  <si>
    <t>2019/2168</t>
  </si>
  <si>
    <t>52 Alderbrook Road</t>
  </si>
  <si>
    <t>Alterations including erection of mansard roof extension to main rear roof and extension above part of two-storey back addition; formation of roof terrace above two-storey back addition with 1.7m high screen in connection with creation of a 1 x 1-bedroom flat, with associated refuse and cycle storage to front garden.</t>
  </si>
  <si>
    <t>2019/1593</t>
  </si>
  <si>
    <t>15 Southmead Road</t>
  </si>
  <si>
    <t>Demolition of existing garage and single storey rear extension and erection of a two-storey 2-bedroom semi-detached house with associated landscaping</t>
  </si>
  <si>
    <t>2019/2165</t>
  </si>
  <si>
    <t>163 Newlands Terrace, Queenstown Road</t>
  </si>
  <si>
    <t>Alterations including erection of a mansard roof extension to main rear roof and extension above part of three storey back addition; Formation of a roof terrace above three storey back addition with 1.7m high screen surround, in connection with creation of new 1 x 2-bedroom flat.</t>
  </si>
  <si>
    <t>2019/2493</t>
  </si>
  <si>
    <t>Newlands Terrace, 171 Queenstown Road</t>
  </si>
  <si>
    <t>Alterations including erection of mansard roof extension to main rear roof; erection of roof extension and formation of roof terrace with 1.7m high screen surround over two storey back addition in connection with creation of 1 x 2-bedroom flat.</t>
  </si>
  <si>
    <t>2019/2727</t>
  </si>
  <si>
    <t>4 The Boulevard, Balham High Road</t>
  </si>
  <si>
    <t>Determination as to whether prior approval is required for partial change of use from retail (Class A1) to 2 x 1- studio flats (Class C3) with associated external alterations to rear elevations</t>
  </si>
  <si>
    <t>2019/2905</t>
  </si>
  <si>
    <t>83 Huron Road</t>
  </si>
  <si>
    <t>Alterations including erection of a single-storey rear extension and excavation to enlarge existing basement with formation of front and rear lightwells; demolition and erection of replacement front boundary wall and gate, in connection with change of use from HMO (Use Class Sui Generis) to 1 x 1 bed, 4 x 2 bed and 2 x 3 bed flats (Use Class C3), with associated refuse &amp; cycle storage.</t>
  </si>
  <si>
    <t>2019/2996</t>
  </si>
  <si>
    <t>1 Carlton Villas, St Johns Avenue</t>
  </si>
  <si>
    <t>Erection of two-storey (plus roof) 3-bedroom house with off-street parking accessed from St John's Avenue.</t>
  </si>
  <si>
    <t>2019/2954</t>
  </si>
  <si>
    <t>39 Balham Hill</t>
  </si>
  <si>
    <t>Alterations including erection of single storey rear extension; formation of rear balconies on first and second floor level; formation of lightwell to the side elevation; in connection with conversion of building to provide retail use on ground and basement floors and 2 x 1-bedroom and 1 x studio flats (amended description).</t>
  </si>
  <si>
    <t>2019/3256</t>
  </si>
  <si>
    <t>1 Este Road</t>
  </si>
  <si>
    <t>Alterations in connection with conversion of existing dwelling house into 2 x 3-bedroom flats.</t>
  </si>
  <si>
    <t>2019/3367</t>
  </si>
  <si>
    <t>92 and 92a, Gilbey Road</t>
  </si>
  <si>
    <t>Alterations including conversion of two flats to single dwelling house and removal of render to front elevation.</t>
  </si>
  <si>
    <t>2019/3567</t>
  </si>
  <si>
    <t>78 St Johns Hill</t>
  </si>
  <si>
    <t>Erection of extension to provide two additional floors of accommodation including front mansard at third floor level; Erection of part-single, part-two storey rear extension in connection with creation of 1 x studio and 1 x 1 bed flats (Amended Description).</t>
  </si>
  <si>
    <t>2019/3781</t>
  </si>
  <si>
    <t>44a Battersea Rise</t>
  </si>
  <si>
    <t>Alterations including erection of mansard roof extension to main rear roof and mansard style roof extension and formation of balcony with glazed screen surround over existing two-storey back addition in connection with conversion of existing flat into 1 x 1-bedroom and 1 x 3-bedroom flats.</t>
  </si>
  <si>
    <t>2019/3334</t>
  </si>
  <si>
    <t>8 Spencer park</t>
  </si>
  <si>
    <t>Alterations including excavation to enlarge lower ground floor to rear and side including rear lightwell;  erection of single-storey rear and side extensions and staircase/lightwell to north side of building. replacement fenestration and rebuilding of front boundary wall including insertion of gates; use of property as two flats.</t>
  </si>
  <si>
    <t>2019/4101</t>
  </si>
  <si>
    <t>13 Herndon Road</t>
  </si>
  <si>
    <t>Alterations including erection of single storey rear/side extension in connection with use as a single dwelling house.</t>
  </si>
  <si>
    <t>2019/4598</t>
  </si>
  <si>
    <t>The Telegraph, Telegraph Road</t>
  </si>
  <si>
    <t>Alterations in connection with change of use of rear of first floor from pub (Class A4) to residential (Class C3) to create 1-bedroom flat.</t>
  </si>
  <si>
    <t>2017/0473</t>
  </si>
  <si>
    <t>130 Wimbledon Park Road</t>
  </si>
  <si>
    <t>Change of use from Professional and Financial Services ( Class  A2 ) to a Residential Dwelling ( Class C3 ), erection of single storey rear extension and erection of a front boundary wall.</t>
  </si>
  <si>
    <t>2018/4594</t>
  </si>
  <si>
    <t>Store and Land East of The Queens Arms, 143 St Philip Street</t>
  </si>
  <si>
    <t>Erection of two-storey (plus basement) 3-bedroom house.</t>
  </si>
  <si>
    <t>03 Planning</t>
  </si>
  <si>
    <t>2017/0125</t>
  </si>
  <si>
    <t>Ransomes Dock, 35-37 Parkgate Road (Ransomes Dock Business Centre)</t>
  </si>
  <si>
    <t>Erection of five two-storey flats with roof terraces above the existing business units of the Ransomes Dock Business Centre at third floor level.</t>
  </si>
  <si>
    <t>2018/2166</t>
  </si>
  <si>
    <t>1a Merivale Road</t>
  </si>
  <si>
    <t>Cou/extn</t>
  </si>
  <si>
    <t>Refurbishement and extension of warehouse building including insertion of dormer windows together with replacement and new fenestration to provide 1 x 1-bed, 2 x 2-bed and 1 x 3-bed flats; demolition of outbuildings and erection of  2 x 2-bed and 1 x 3-bed single-storey (plus roof level accommodation) houses; 3 x parking spaces, cycle parking, refuse storage and associated landscaping; gated access via Merivale Road and Deodar Road.</t>
  </si>
  <si>
    <t>New build</t>
  </si>
  <si>
    <t>2019/3692</t>
  </si>
  <si>
    <t>376-378 Garratt Lane</t>
  </si>
  <si>
    <t>Alterations in connection with conversion of existing flat and  office (B1) to 4 x two-bedroom flats with associated bin and cycle storage.</t>
  </si>
  <si>
    <t>2019/4916</t>
  </si>
  <si>
    <t>Land front of, 1-3 Candahar Road</t>
  </si>
  <si>
    <t>Erection of three-storey three bedroom house with associated bin and cycle storage.</t>
  </si>
  <si>
    <t>2017/1804</t>
  </si>
  <si>
    <t>Estate House, 225-231 Upper Richmond Road</t>
  </si>
  <si>
    <t>Conversion of storage area at first floor level into a 2-bedroom self contained flat.</t>
  </si>
  <si>
    <t>2017/4958</t>
  </si>
  <si>
    <t>5 Beechcroft Road</t>
  </si>
  <si>
    <t>Demolition of existing building and erection of a three-storey building to provide 1 x 1-bedroom, 2 x 2-bedroom and 1 x 3-bedroom flats with private amenity area and the use of the ground floor as a community Class D1.</t>
  </si>
  <si>
    <t>2019/4718</t>
  </si>
  <si>
    <t>215 Upper Tooting Road</t>
  </si>
  <si>
    <t>Change of use of part ground floor and entire first floor from restaurant (Class A3) to residential (Class C3) and erection of an additional floor of accommodation in connection with the formation of 4 x 1bedroom flats. Alterations including installation of front and side elevation windows.</t>
  </si>
  <si>
    <t>2015/6813</t>
  </si>
  <si>
    <t>41-59 Battersea Park Road (Booker and BMW Sites)</t>
  </si>
  <si>
    <t>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t>
  </si>
  <si>
    <t>2.1.13</t>
  </si>
  <si>
    <t>Block E</t>
  </si>
  <si>
    <t>2017/6089</t>
  </si>
  <si>
    <t>Rear of 76, Tooting High Street</t>
  </si>
  <si>
    <t>Demolition of existing garages and erection of a 2-storey, 3-bedroom dwellinghouse with basement and habitable roofspace including a rear mansard roof.</t>
  </si>
  <si>
    <t>2017/3124</t>
  </si>
  <si>
    <t>252 Upper Richmond Road</t>
  </si>
  <si>
    <t>Alterations to the rear elevation to allow change of part of the ground and basement levels from a shop (Class A1) to a 1 x 2-bedroom flat (Class C3) with rear terrace and external steps.</t>
  </si>
  <si>
    <t>2016/7216</t>
  </si>
  <si>
    <t>Argylle House, 1a All Saints Passage</t>
  </si>
  <si>
    <t>1 x 3 unit @ g/f rear of commercial</t>
  </si>
  <si>
    <t>Demolition of the existing building and construction of a part 4 part 5 storey building providing 17 residential units and 106sqm flexible B1 commercial floorspace with communal external amenity space at fourth floor level (Revised Description)</t>
  </si>
  <si>
    <t>2019/1311</t>
  </si>
  <si>
    <t>253 Lavender Hill</t>
  </si>
  <si>
    <t>Determination as to whether prior approval is required for change of use from financial and professional services (Class A2) to 1 x 2-bedroom flat (Class C3) with associated external alterations to front and rear elevations.</t>
  </si>
  <si>
    <t>2017/2547</t>
  </si>
  <si>
    <t>Marius Mansions, Marius Road</t>
  </si>
  <si>
    <t>Erection of three-storey side extension to create a 1 x 2 bedroom flat with roof level balcony.</t>
  </si>
  <si>
    <t>2019/4244</t>
  </si>
  <si>
    <t>103 East Hill</t>
  </si>
  <si>
    <t>Alterations including change of use from restaurant (Class A3) to residential (Class C3) including alterations to the shopfront and the rear extension (Amended Description).</t>
  </si>
  <si>
    <t>2019/0455</t>
  </si>
  <si>
    <t>98 Felsham Road</t>
  </si>
  <si>
    <t>Alterations including front and rear lightwells and to front elevation in connection with change of use from restaurant (Class A3) to residential dwelling (Class C3) to provide 1 x 3 bedroom flat (Amended description).</t>
  </si>
  <si>
    <t>2018/1182</t>
  </si>
  <si>
    <t>631 Garratt Lane</t>
  </si>
  <si>
    <t>Alterations to include the erection of a two-storey rear and single-storey side extension as part of the conversion into 1 x 2-bedroom and 1 x 1-bedroom units, including the erection of a first floor side terrace enclosed by a 1.7 metre high glass balustrade.</t>
  </si>
  <si>
    <t>NB/Conv</t>
  </si>
  <si>
    <t>2018/3390</t>
  </si>
  <si>
    <t>29 Wimbledon Park Road</t>
  </si>
  <si>
    <t>First Floor</t>
  </si>
  <si>
    <t>Alterations including; replacement of garage door with windows on front elevation; altered lightwell and new fenestration at lower ground floor level on front elevation; new windows to ground and first floor levels of rear elevation; formation of first floor level rear balcony; erection of first floor level side east extension; removal of window on south-west facing side elevation; erection of refuse and cycle storage in front/side garden. All works in connection with conversion from four flats to 2 x 1-bedroom, 4 x 2-bedroom, 2 x 3 bedroom flats.</t>
  </si>
  <si>
    <t>Lower Ground</t>
  </si>
  <si>
    <t>Second Floor</t>
  </si>
  <si>
    <t>Upper Ground</t>
  </si>
  <si>
    <t>2016/7335</t>
  </si>
  <si>
    <t>Upper floors, 256-258 Upper Tooting Road</t>
  </si>
  <si>
    <t>Alterations including erection of first floor extension, and second floor rear extension to provide 1 x 1-bedroom flat.</t>
  </si>
  <si>
    <t>2019/3361</t>
  </si>
  <si>
    <t>Ground floor, 186 Trinity Road</t>
  </si>
  <si>
    <t>Removal of existing shopfront, installation of 2 x windows at front elevation, replacement of windows at rear elevation and erection of 1m high metal railings to front boundary, in connection with change of use of shop (Class A1) to 1 x 1 bedroom flat (Class C3).</t>
  </si>
  <si>
    <t>2019/2633</t>
  </si>
  <si>
    <t>165-167 Lavender Hill</t>
  </si>
  <si>
    <t>Alterations in connection with change of use of rear ground floor from retail (Class A1) to 1 x 1-bedroom flat (Class C3).</t>
  </si>
  <si>
    <t>2019/0014</t>
  </si>
  <si>
    <t>113 St Johns Hill</t>
  </si>
  <si>
    <t>Erection of four-storey (including accommodation within the roofspace) plus basement level building to provide flexible commercial use for retail (Class A1), professional services (Class A2) or business (Class B1) in the front part of both ground floor level and basement; with 2 x 2-bedroom and 1 x1 bedroom flats in the remainder of the building. [The main changes are a reduction of rearmost element from two-storeys to single storey; omssion of roof terraces and juliette balconies; alterations to some proposed windows, including reduction in size of dormer within rear roofslope, and amendments to proposed shopfront; reduction of flat A from a 2 bedroom to a one bedroom unit].</t>
  </si>
  <si>
    <t>2017/0811</t>
  </si>
  <si>
    <t>65 Tooting High Street</t>
  </si>
  <si>
    <t>Alterations including erection of roof extension including three dormer windows to front roof slope and balcony and safety railings to the rear in conjunction with the erection of a three-storey rear extension at first, second and third floor levels. Works in conjunction with the conversion of upper floors into 4 x 1-bedroom and 1 x 3-bedroom flats.</t>
  </si>
  <si>
    <t>2018/0080</t>
  </si>
  <si>
    <t>Ford House, 126-128 Wandsworth High Street</t>
  </si>
  <si>
    <t>Alterations, including erection of two-storey extension on top of the existing four-storey building, in connection with the provision of 2 additional two-bedroom flats, including roof terraces.</t>
  </si>
  <si>
    <t>2018/2123</t>
  </si>
  <si>
    <t>28 Totterdown Street</t>
  </si>
  <si>
    <t>Erection of front and rear extensions and an additional storey to form a four-storey building comprising of Class A2 on the ground floor with Class C3 residential (4 no. self contained flats : 2 x 1-bedroom, and 2 x 2-bedroom) on three upper floors with roof terraces and associated cycle and refuse storage.</t>
  </si>
  <si>
    <t>extension to existing</t>
  </si>
  <si>
    <t>2017/5079</t>
  </si>
  <si>
    <t>Ground floor, 280 Earlsfield Road</t>
  </si>
  <si>
    <t>Alterations and extensions, including excavation to enlarge the existing basement including excavation of a frontlightwell, alterations to the existing single-storey rear extension in connection with change of use of offices (Class B1a) to residential (Class C3) to create 1 x 1-bedroom flat.</t>
  </si>
  <si>
    <t>2016/7332</t>
  </si>
  <si>
    <t>30 Putney Hill (30b &amp; 30c)</t>
  </si>
  <si>
    <t>Alterations including demolition of existing single-storey rear extension, erection of part single, part two-storey rear extension in connection with the retention of dental surgery at basement level and provision of 2 x 1-bedroom flats; erection of replacement front boundary treatment. Internal re-arrangement and reduction in size of two existing flats (one x 1-bedroom and one x 2-bedroom).</t>
  </si>
  <si>
    <t>2019/0517</t>
  </si>
  <si>
    <t>57 Gilbey Road</t>
  </si>
  <si>
    <t>Alterations in connection with conversion of two flats into a single dwellinghouse.</t>
  </si>
  <si>
    <t>2018/3590</t>
  </si>
  <si>
    <t>Broadway Centre, 10 Gatton Road (Broadwater Lofts)</t>
  </si>
  <si>
    <t>Alterations including formation of a front lightwell with railing surround in connection with conversion of part basement into 1 x studio flat.</t>
  </si>
  <si>
    <t>2016/4593</t>
  </si>
  <si>
    <t>303-307 Balham High Road</t>
  </si>
  <si>
    <t>Erection of front and rear second floor extensions and addition of roof extension to create third floor, addition of balconies with safety railings and side privacy screens and internal alterations to create 2 additional flats (total of 6 flats, 4 x 1-bed and 2 x 2-bed flats).</t>
  </si>
  <si>
    <t>2019/2135</t>
  </si>
  <si>
    <t>65a Bramfield Road (145a Northcote Road)</t>
  </si>
  <si>
    <t>Demolition of single storey building and erection of two-storey 1-bedroom house.</t>
  </si>
  <si>
    <t>2017/6201</t>
  </si>
  <si>
    <t>Land rear of 6-8a, Fontenoy Road</t>
  </si>
  <si>
    <t>Demolition of existing garages and construction of new two-storey (ground and basement) 4-bedroom house with single storey nanny annex, and associated parking and landscaping.</t>
  </si>
  <si>
    <t>2018/1714</t>
  </si>
  <si>
    <t>297-301 Balham High Road (1-9 Belgravia House, 301)</t>
  </si>
  <si>
    <t>Alterations including erection of rear roof extension to main rear roof (with bi-fold doors and safety railings) including raising the ridge by 400mm; formation of a roof terrace to the rear with 1.7m high screen to side in connection with the creation of 1 x two-bedroom flat.</t>
  </si>
  <si>
    <t>2016/1648</t>
  </si>
  <si>
    <t>Howard Building, 368 Queenstown Road</t>
  </si>
  <si>
    <t>Conversion of 2 apartments to form one self contained dwelling.</t>
  </si>
  <si>
    <t>2017/1041</t>
  </si>
  <si>
    <t>3-5 Queensmere Road</t>
  </si>
  <si>
    <t>Demolition of garages and erection of 2 x semi-detached houses including provision of 6 car parking spaces; removal of existing vehicular crossover and provision of new crossover from Queensmere Road (Outline application for consideration of access, site layout and scale).</t>
  </si>
  <si>
    <t>PO</t>
  </si>
  <si>
    <t>2018/1370</t>
  </si>
  <si>
    <t>Land adjoining 23, Boundaries Road</t>
  </si>
  <si>
    <t>Erection of a three-storey plus basement detached building to provide 2 x 1-bedroom dwellings with associated landscaping, outdoor amenity space, roof garden, cycle parking and refuse storage. (Amended drawings)</t>
  </si>
  <si>
    <t>2019/2196</t>
  </si>
  <si>
    <t>Land adj. 206, 206 Franciscan Road (204)</t>
  </si>
  <si>
    <t>Erection of two-storey dwellinghouse with roof level accommodation.</t>
  </si>
  <si>
    <t>2018/5212</t>
  </si>
  <si>
    <t>South Lodge, Putney Park Lane</t>
  </si>
  <si>
    <t>Erection of replacement two-storey 3-bedroom dwelling with associated boundary treatment.</t>
  </si>
  <si>
    <t>2014/3837</t>
  </si>
  <si>
    <t>Former Domus Tiles site, 31-33 Parkgate Road/Elcho Street (27-33 Parkgate Road &amp; 2-42 Elcho Street)</t>
  </si>
  <si>
    <t>Demolition of existing buildings and redevelopment of the site to provide new buildings ranging from 3 to 10 storeys in height comprising 118 residential units including affordable housing (Use Class C3), and 2,282m2 of flexible commercial floorspace (Use Classes A1-A4/B1/D1/D2), together with associated car parking, open space, landscaping and infrastructure works.</t>
  </si>
  <si>
    <t>10.1.1</t>
  </si>
  <si>
    <t>2018/6117</t>
  </si>
  <si>
    <t>The Forester, 114 Allfarthing Lane</t>
  </si>
  <si>
    <t>Change of use of property from day centre (Class D1) to 3 x 2 bedroom and 1 x 1 bedroom residential units (Class C3); formation of side lightwells and alterations to fenestration to all elevations. (Resubmission of approved planning permission ref. 2016/0954)</t>
  </si>
  <si>
    <t>2017/6507</t>
  </si>
  <si>
    <t>Land between 1 and 3, 1a Wimbledon Park Road</t>
  </si>
  <si>
    <t>Erection of a two-storey (basement and ground floor), 4-bedroom house including sunken courtyard, off-street parking, associated landscaping and alterations to boundary treatment included raised front boundary wall and trellis.</t>
  </si>
  <si>
    <t>2017/3534</t>
  </si>
  <si>
    <t>Coach House adjoining 83, Mallinson Road</t>
  </si>
  <si>
    <t>Erection of a three-storey (plus basement) 4-bedroom detached house.</t>
  </si>
  <si>
    <t>2016/1119</t>
  </si>
  <si>
    <t>Phase 4 (RS-5)</t>
  </si>
  <si>
    <t>Application for Amendments to the outline planning permission dated 5th December 2014 (ref; 2014/2837) for the for the restoration, extension, alterations and conversion of the Power Station building to provide retail, residential flats, business, cultural, hotel and conference facilities, event space and incidental accommodation; the demolition of other buildings and development of the land surrounding the Power Station and adjacent/nearby sites to provide retail, restaurants bars and cafes, offices, hotel, residential, community and cultural space, assembly and leisure space, student housing, serviced apartments, an energy centre and basement plant; parking for cars, coaches, motorcycles and bicycles; new access and internal road system and servicing; 'off-site' highway works; works to the jetty and riverwall to facilitate river transport and fuel delivery; provision of open space and landscaping. (The Amendments include changes to the residential mix to create additional residential units, the change of use of hotel and serviced apartments in Development Zone RS5 to residential, along with changes to the massing and distribution of land uses in Development Zone RS2 and other consequential changes to facilitate the redevelopment of the adjoining Cringle Dock site (previously sought by application ref: 2015/6359)). An Environmental Statement Addendum has been submitted with the application under the Town and Country Planning (Environmental Impact Assessment) (Amendment) Regulations 2015.</t>
  </si>
  <si>
    <t>Phase 7 (RS-WF)</t>
  </si>
  <si>
    <t>2017/1680</t>
  </si>
  <si>
    <t>Phase 5 (RS-6)</t>
  </si>
  <si>
    <t>Variation of Section 106 Agreement dated 21 November 2016 of planning permission ref. 2016/3778 (for the restoration and alteration of Battersea Power Station and the surrounding land to provide a mixed use development) to relocate 103 affordable homes from Phase 3b to a later phase(s) alongside the 147 units currently located in Phase 5; introduce an up and down end-of-scheme review in relation to the 250 affordable housing units on the main site targeting 15% affordable housing provision; and amend the delivery triggers in respect of Phase 4a so that the affordable housing in that phase will be delivered earlier than is currently required.</t>
  </si>
  <si>
    <t>IU</t>
  </si>
  <si>
    <t>Phase 6 (RS-2)</t>
  </si>
  <si>
    <t>2018/5245</t>
  </si>
  <si>
    <t>Flats 7-10 and land rear of, 126 Bedford Hill (Elmfield Road)</t>
  </si>
  <si>
    <t>extension to ex</t>
  </si>
  <si>
    <t>Demolition of existing ground floor conservatory, alterations including the erection of a three-to-four storey side/rear extension (plus basement with front and rear lightwells), a single storey front extension, raising of the existing roof and the inclusion of 'winter gardens' to the front elevation; allowing for an increase in floor area to existing flats plus the creation of 2 x 2 bedroom and 1 x 4 bedroom flats; associated boundary treatment, bin and cycle storage.</t>
  </si>
  <si>
    <t>2010/3703</t>
  </si>
  <si>
    <t>Springfield Hospital site, 61 Glenburnie Road</t>
  </si>
  <si>
    <t>Extra Care</t>
  </si>
  <si>
    <t>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t>
  </si>
  <si>
    <t>9.1</t>
  </si>
  <si>
    <t>For People with Disabilities</t>
  </si>
  <si>
    <t>LRC</t>
  </si>
  <si>
    <t>2017/6683</t>
  </si>
  <si>
    <t>Garages rear of 60, Granville Road (Land adjoining playing field Viewfield Road)</t>
  </si>
  <si>
    <t>Demoliton of existing double garages and erection of single-storey plus basement level one-bedroom house.</t>
  </si>
  <si>
    <t>2018/3232</t>
  </si>
  <si>
    <t>Land rear of 144, Wandsworth High Street</t>
  </si>
  <si>
    <t>Erection of a two-storey (plus basement) 3-bedroom house with associated refuse and cycle storage.</t>
  </si>
  <si>
    <t>2019/2924</t>
  </si>
  <si>
    <t>193-197 Upper Tooting Road</t>
  </si>
  <si>
    <t>193</t>
  </si>
  <si>
    <t>Alterations including erection of roof extension to create an additional storey with accommodation in the roof above; part 1/2/3 storey rear extensions; rear external staircase to provide access to upper floors of nos. 193 and 195; in connection with creation of 5 x 2-bedroom and 1 x 1 bedroom flats on upper floors.</t>
  </si>
  <si>
    <t>195</t>
  </si>
  <si>
    <t>197</t>
  </si>
  <si>
    <t>2018/0153</t>
  </si>
  <si>
    <t>24 Southolm Street</t>
  </si>
  <si>
    <t>Alterations including the erection of a part two, part three storey rear extension in connection with the conversion of the property from HMO (Use Class C4) to a single dwellinghouse (Use Class C3).</t>
  </si>
  <si>
    <t>2018/0079</t>
  </si>
  <si>
    <t>130-132 Wandsworth High Street</t>
  </si>
  <si>
    <t>Demolition of existing two-storey building and erection of a six-storey building to provide a commercial unit (for either A1-A5 or D2 use) on the ground floor, and one studio, 6 x 1-bedroom flats; 1 x 2-bedroom flat, with associated roof terraces, on the upper floors.</t>
  </si>
  <si>
    <t>2012/3960</t>
  </si>
  <si>
    <t>Garages between 77 &amp; 85, Ravenslea Road</t>
  </si>
  <si>
    <t>Demolition of existing single-storey garages and erection of a three-storey building to provide 5 flats, with associated amenity space including balconies and roof terraces, with cycle store to rear and relocation of entrance to existing allotments at rear.</t>
  </si>
  <si>
    <t>2016/5007</t>
  </si>
  <si>
    <t>Garages rear of 168, Bedford Hill</t>
  </si>
  <si>
    <t>Demolition of existing garage and erection of a single-storey (plus basement) 1-bedroom house. Replacement of existing boundary wall fronting Ritherdon Road.</t>
  </si>
  <si>
    <t>2018/0283</t>
  </si>
  <si>
    <t>Garages rear of 194, Bedford Hill</t>
  </si>
  <si>
    <t>Demolition of existing garage and erection of a single-storey (plus basement) 1-bedroom detached house including alterations to the front boundary wall.</t>
  </si>
  <si>
    <t>2019/5025</t>
  </si>
  <si>
    <t>30 Roehampton Gate</t>
  </si>
  <si>
    <t>Demolition of existing dwelling and erection of a three-storey plus basement 4-bedroom house.</t>
  </si>
  <si>
    <t>2016/3337</t>
  </si>
  <si>
    <t>241 Wimbledon Park Road</t>
  </si>
  <si>
    <t>Determination as to whether prior approval is required for change of use from financial and professional services (Class A2) to residential (Class C3) to provide 1x studio flat at basement level.</t>
  </si>
  <si>
    <t>2019/1498</t>
  </si>
  <si>
    <t>26 Upper Richmond Road</t>
  </si>
  <si>
    <t>Change of use from Restaurants and Cafes/ Drinking Establishments (A3/A4) to residential (Class C3) to provide 1 x 1-bedroom flat.</t>
  </si>
  <si>
    <t>2019/2193</t>
  </si>
  <si>
    <t>336 Upper Richmond Road</t>
  </si>
  <si>
    <t>Change of use from Dentist Surgery (Class D1) and 2 x 2-bed flats (Class C3) to 1 x 5-bed dwelling with associated landscaping and cycle storage to front garden.</t>
  </si>
  <si>
    <t>2019/2319</t>
  </si>
  <si>
    <t>261 Putney Bridge Road</t>
  </si>
  <si>
    <t>Alterations including erection of replacement mansard roof extension, raising the ridge by 0.7 metres and with front terrace, erection of two storey extension at second and third floor level in connection with creation of 3 x 1-bedroom and 2 x 2-bedroom flats with associated refuse and cycle storage.</t>
  </si>
  <si>
    <t>2019/5429</t>
  </si>
  <si>
    <t>Land adjoining 37, Gracedale Road</t>
  </si>
  <si>
    <t>Erection of a single-storey 2-bedroom dwelling house with basement.</t>
  </si>
  <si>
    <t>2018/1323</t>
  </si>
  <si>
    <t>62a Mitcham Road</t>
  </si>
  <si>
    <t>Alterations including erection of a dormer roof extension to main rear roof and above part of the three storey back addition, side windows, front rooflights and conversion of property to 4 x 1-bedroom flats.</t>
  </si>
  <si>
    <t>2019/1948</t>
  </si>
  <si>
    <t>7 Putney Hill</t>
  </si>
  <si>
    <t>Alterations in connection with change of use of rear parts of lower ground and ground floors from dry cleaner (Class A1) to residential (Class C3) to provide 2 x 1-bedroom flats, including two-storey side extension to two storey back addition.</t>
  </si>
  <si>
    <t>2014/2810</t>
  </si>
  <si>
    <t>Apex Site - A1</t>
  </si>
  <si>
    <t>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t>
  </si>
  <si>
    <t>POLA</t>
  </si>
  <si>
    <t>Apex Site - A2</t>
  </si>
  <si>
    <t>Apex Site - A3</t>
  </si>
  <si>
    <t>Apex Site - A4</t>
  </si>
  <si>
    <t>Apex Site - A6</t>
  </si>
  <si>
    <t>Apex Site - A7</t>
  </si>
  <si>
    <t>Entrance Site - E1</t>
  </si>
  <si>
    <t>Entrance Site - E2</t>
  </si>
  <si>
    <t>Entrance Site - E3</t>
  </si>
  <si>
    <t>Entrance Site - E4</t>
  </si>
  <si>
    <t>Entrance Site - E6</t>
  </si>
  <si>
    <t>Entrance Site - E8</t>
  </si>
  <si>
    <t>Entrance Site - Existing</t>
  </si>
  <si>
    <t>Northern Site - N7</t>
  </si>
  <si>
    <t>Thessaly Road Site - T2</t>
  </si>
  <si>
    <t>Thessaly Road Site - T3A</t>
  </si>
  <si>
    <t>Thessaly Road Site - T3B</t>
  </si>
  <si>
    <t>Thessaly Road Site - T4</t>
  </si>
  <si>
    <t>N1</t>
  </si>
  <si>
    <t>N2b</t>
  </si>
  <si>
    <t>N3</t>
  </si>
  <si>
    <t>N4</t>
  </si>
  <si>
    <t>N5</t>
  </si>
  <si>
    <t>N6</t>
  </si>
  <si>
    <t>Block F</t>
  </si>
  <si>
    <t>2012/5286</t>
  </si>
  <si>
    <t>Ram Brewery, Capital Studios &amp; Duvall Works, Ram Street/Armoury Way/Wandsworth High Street (The Ram Quarter)</t>
  </si>
  <si>
    <t>Building 04D</t>
  </si>
  <si>
    <t>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t>
  </si>
  <si>
    <t>3.1.2</t>
  </si>
  <si>
    <t>Building 04E</t>
  </si>
  <si>
    <t>Building 04F</t>
  </si>
  <si>
    <t>Building 05</t>
  </si>
  <si>
    <t>Building 06</t>
  </si>
  <si>
    <t>2016/6029</t>
  </si>
  <si>
    <t>Building 09</t>
  </si>
  <si>
    <t>Non-material amendment to planning permission dated 06/12/82013 ref 2012/5286 [A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 to allow addition of substation with louvred façade access to ground floor, second residential entrance under residential balcony facing Armoury Way removed, plantroom introduced to façade facing ramp, waste store moved to external façade adjacent to residential entrance, apartment layouts revised and mix changed from:_x000D_
36 x 1bed, 12 x 2bed and 18 x 3bed to 36 x 1bed, 24 x 2bed and 6 x 3bed, Unit sizes have been reduced to better relate to London Plan guidelines, Private amenity: Recessed balconies &amp; winter gardens added, minor adjustment of window positions to allow removal of transfer structure by introducing continuous facade columns, plant room added to west side of level 01,  roof plant incorporated to one half of level and screening added and consented balconies changed to metal railings on levels 1-4.</t>
  </si>
  <si>
    <t>2017/0580</t>
  </si>
  <si>
    <t>B and Q Depot, Smugglers Way</t>
  </si>
  <si>
    <t>B3</t>
  </si>
  <si>
    <t>Demolition of existing retail buildings and phased construction of 13 residential blocks (with 3 podiums) ranging from 8 to 15 storeys to provide a mixed use scheme including 517 residential units (Class C3), 5160 s.q.m. GIA of business (Class B1) and 2969 s.q.m. GIA flexible business/retail/restaurant and cafe (Class B1, A1, A2, A3 and A4) with car/cycle parking, associated combined heat and power (CHP), plant and associated works, landscaping, new accesses onto Smugglers Way, and offsite highways works including a new pedestrian crossing of Swandon Way. An Environmental Statement has been submitted under the Town and Country Planning (Environmental Impact Assessment) Regulations 2017 as amended</t>
  </si>
  <si>
    <t>3.7</t>
  </si>
  <si>
    <t>B4</t>
  </si>
  <si>
    <t>Phase 3</t>
  </si>
  <si>
    <t>2016/7356</t>
  </si>
  <si>
    <t>Homebase, Swandon Way</t>
  </si>
  <si>
    <t>Phase 1 - Garden Building - Core B</t>
  </si>
  <si>
    <t>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t>
  </si>
  <si>
    <t>3.6</t>
  </si>
  <si>
    <t>Phase 1 - Garden Building - Core C</t>
  </si>
  <si>
    <t>Phase 1 - Garden Building - Core D</t>
  </si>
  <si>
    <t>Phase 1 - Garden building - Core D</t>
  </si>
  <si>
    <t>Phase 1 - Station Building - Core A</t>
  </si>
  <si>
    <t>Phase 2 - Crescent Building - Core E</t>
  </si>
  <si>
    <t>2018/4714</t>
  </si>
  <si>
    <t>211 Garratt Lane</t>
  </si>
  <si>
    <t>Erection of mansard roof extension to main rear roof, erection of roof extension over part of two-storey back addition and formation of roof terrace with glazed screen surround in connection with conversion of upper floors into 2x1-bedroom flats and one studio flat.</t>
  </si>
  <si>
    <t>2017/6762</t>
  </si>
  <si>
    <t>Plot E</t>
  </si>
  <si>
    <t>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t>
  </si>
  <si>
    <t>Plot F</t>
  </si>
  <si>
    <t>Plot G</t>
  </si>
  <si>
    <t>2017/0745</t>
  </si>
  <si>
    <t>Former Prices Candles Factory, 110 York Road</t>
  </si>
  <si>
    <t>Building 4</t>
  </si>
  <si>
    <t>Erection of a 25 storey building comprising 136 flats (with balconies) and ground floor retail floorspace (Class A1).  Demolition of car showroom on Bridges Court and erection of a five storey building to provide ground floor retail (Class A1) floorspace and office floorspace (Class B1) on first to fourth floors. Excavation to create basements comprising 85 car parking and 344 cycle parking spaces, gym, plant and refuse/recycling stores. Alterations and erection of two additional storeys (and 2nd/3rd floor links) and roof terrace to retained York Road buildings with retail (Class A1) and office use (Class B1). Provision of a terrace of six single storey retail use units (Class A1/A2/A3/A4).  Provision of amenity space, public realm, landscaping, play space, car parking, and paving to Bridges Court.</t>
  </si>
  <si>
    <t>10.2</t>
  </si>
  <si>
    <t>2019/0571</t>
  </si>
  <si>
    <t>121 Mitcham Road</t>
  </si>
  <si>
    <t>Alterations including erection of a rear extension at first floor levels in connection with conversion to 2 x 1-bed flats.</t>
  </si>
  <si>
    <t>2019/3339</t>
  </si>
  <si>
    <t>Alterations and erection of mansard roof extension to main rear roof; extension above part of three-storey back addition and formation of roof terrace with 1.7m high obscured glazed screening; erection of part first floor rear extension. Alterations and relocation of rear ground floor entrance and part change of use of rear ground floor from Beauty Salon (Sui Generis) to residential (C3) in connection with conversion of first and second floor flat into 1 x 2-bedroom flat and 1 x 3-bedroom maisonette. Provision of refuse and cycle storage.</t>
  </si>
  <si>
    <t>2017/0015</t>
  </si>
  <si>
    <t>11 Webbs Road</t>
  </si>
  <si>
    <t>Determination as to whether prior approval is required for change of use from financial and professional services (Class A2) to residential (Class C3) to provide 1x1 studio flat at ground floor level.</t>
  </si>
  <si>
    <t>2019/5304</t>
  </si>
  <si>
    <t>387 Upper Richmond Road</t>
  </si>
  <si>
    <t>Alterations including erection of single-storey rear extension in connection with formation of 1 x 2 bedroom house at rear ground and first floor conversion of upper floors to 1 x 3-bedroom flat.</t>
  </si>
  <si>
    <t>2018/0195</t>
  </si>
  <si>
    <t>22 Trinity Road</t>
  </si>
  <si>
    <t>Alterations including demolition of rear elevation, replacement shopfront, erection of mansard roof extension to create an additional storey of residential accommodation, erection of part single, part two storey rear extension, insertion of mezzanine floors, excavation of basement and conversion of ground floor shop from Sui Generis (mini-cab office) to part Class A1 (shop) and part Class C3 (residential) to create 2 x 1-bedroom flats and a studio flat.</t>
  </si>
  <si>
    <t>2017/4159</t>
  </si>
  <si>
    <t>294 Upper Richmond Road (Flats a, b &amp; c)</t>
  </si>
  <si>
    <t>Alterations including excavation to enlarge basement with formation of front lightwell and single-storey rear extension in connection with change of use of rear part of ground floor from restaurant (Class A3) to a 2-bedroom flat (Class C3).</t>
  </si>
  <si>
    <t>2018/3669</t>
  </si>
  <si>
    <t>37-39 St Johns Road</t>
  </si>
  <si>
    <t>Demolition of existing building and erection of a four-storey building to provide 1 x 1-bedroom, 3 x 2-bedroom and 2 x 3-bedroom flats (USe Class C3) and ground floor use as Class A1/A3 including associated works.</t>
  </si>
  <si>
    <t>2017/4246</t>
  </si>
  <si>
    <t>149-151 Wandsworth High Street</t>
  </si>
  <si>
    <t>Demolition of building behind a retained facade. Erection of a four-storey building to provide two ground floor retail units with 2 x1-bedroom flats and 2 x 2-bedroom flat above. Formation of two roof terraces.</t>
  </si>
  <si>
    <t>2019/3050</t>
  </si>
  <si>
    <t>317 Battersea Park Road</t>
  </si>
  <si>
    <t>Erection of roof extension to create additional floor of accommodation and creation of 1 x 1-bedroom flat.</t>
  </si>
  <si>
    <t>2017/1456</t>
  </si>
  <si>
    <t>120 Upper Richmond Road</t>
  </si>
  <si>
    <t>Alterations including erection of a four-storey rear extension including rear terraces in connection with conversion of property into 2 x 1-bedroom flats and 1 x 2-bedroom flat; Alterations to the front elevation to accommodate a new residential access, new shopfront and installation of replacement windows.</t>
  </si>
  <si>
    <t>2018/0366</t>
  </si>
  <si>
    <t>4 Hildreth Street</t>
  </si>
  <si>
    <t>Conversion of upper floor flat into 1 x studio flat on first floor and 1 x 1-bedroom maisonette on 2nd and 3rd floors</t>
  </si>
  <si>
    <t>2017/5639</t>
  </si>
  <si>
    <t>272 Mitcham Road</t>
  </si>
  <si>
    <t>Alterations including erection of mansard roof extension to main rear roof, erection of rear extension at first floor (with French doors and safety railings) and erection of single storey rear/side extension in connection with creation of 1 x studio flat.</t>
  </si>
  <si>
    <t>2019/1258</t>
  </si>
  <si>
    <t>13 Northcote Road</t>
  </si>
  <si>
    <t>Alterations including erection of mansard roof extension to main roof, rear extension at second floor level and formation of rear roof terraces in connection with conversion of existing flat into 1 x 1-bedroom and 1 x 3-bedroom flats.</t>
  </si>
  <si>
    <t>2015/5664</t>
  </si>
  <si>
    <t>A01</t>
  </si>
  <si>
    <t>Details of Reserved Matters (scale, layout, access, external appearance and landscaping) for plot A01 of Phase 3,  pursuant to condition 3 of planning permission 2011/1815 (as amended) dated 30th March 2012 for demolition of all existing buildings and construction of a mixed use redevelopment to provide residential units, including affordable housing, retail, financial and professional services, café/restaurant, bar and hot food take-away uses, car showrooms, office floorspace and flexible workspace, a hotel, community uses and assembly and leisure uses, associated basement and ground level parking and servicing; energy centres; new vehicle and pedestrian access and circulation; and new public amenity space and landscaping including part of the 'Linear Park'.</t>
  </si>
  <si>
    <t>2017/6538</t>
  </si>
  <si>
    <t>111-113 Wandsworth High Street</t>
  </si>
  <si>
    <t>Alterations including erection of two storey roof extension including front and rear mansard and excavation to create basement in connection with provision of retail (Class A1) at ground floor level with ancillary office  and storage floorspace on the basement and first floor levels, and 4 x 2-bedroom, 1 x 1-bedroom and 1 x studio flats with front and rear roof terraces and associated refuse storage accessed from the rear.</t>
  </si>
  <si>
    <t>2019/2498</t>
  </si>
  <si>
    <t>Alterations in connection with conversion of part ground and first floor of garage building to 3 x 1 bedroom  flats ancilliary to the main house.</t>
  </si>
  <si>
    <t>2014/3470</t>
  </si>
  <si>
    <t>Unit 25-28 Ransomes Dock, 35-37 Parkgate Road (Ransomes Dock Business Centre)</t>
  </si>
  <si>
    <t>Flat 12</t>
  </si>
  <si>
    <t>Change of use of 232 sqm of floorspace at third floor level from Office (Class B1a) to Residential use (Class C3) to provide two flats.</t>
  </si>
  <si>
    <t>2016/2444</t>
  </si>
  <si>
    <t>Reef House, Coral Row (Plantation Wharf)</t>
  </si>
  <si>
    <t>Determination as to whether prior approval is required for change of use from office (Class B1a) to 2 x 2-bedroom residential units (Class C3) at first floor.</t>
  </si>
  <si>
    <t>2016/3441</t>
  </si>
  <si>
    <t>Determination as to whether prior approval is required for change of use from office (Class B1a) to 4 x 2-bedroom residential units (Class C3) at second and third floors.</t>
  </si>
  <si>
    <t>2016/3873</t>
  </si>
  <si>
    <t>Determination as to whether prior approval is required for change of use from office at ground floor level (Class B1a) to residential (Class C3) to provide 2 x 2-bedroom flats.</t>
  </si>
  <si>
    <t>2018/2534</t>
  </si>
  <si>
    <t>1A Dinsmore Road</t>
  </si>
  <si>
    <t>Alterations including replacement shopfont in connection with change of use of ground floor from shop (class A1) to dwelling (class C3) to create a two-bedroom residential unit.</t>
  </si>
  <si>
    <t>2018/0812</t>
  </si>
  <si>
    <t>Unit 21-24, 35-37 Parkgate Road (Ransomes Dock Business Centre)</t>
  </si>
  <si>
    <t>Determination as to whether prior approval is required for change of use of office at second floor level (Use Class B1(a)) to residential (Use Class C3) to provide 1 x 1 bedroom flat.</t>
  </si>
  <si>
    <t>2017/2169</t>
  </si>
  <si>
    <t>272-274 Battersea Park road</t>
  </si>
  <si>
    <t>Alterations including erection of dormer roof extension to the rear and creation of roof terrace at third floor level with 1.7m glazed safety screen surround in connection with formation of new 1 x 2-bedroom flat; and insertion of rooflights into the front roofslope.</t>
  </si>
  <si>
    <t>2017/1874</t>
  </si>
  <si>
    <t>329-339 &amp; 45-53 Putney Bridge Road &amp; Putney High Street, Putney Bridge Road (The Blades)</t>
  </si>
  <si>
    <t>Flats</t>
  </si>
  <si>
    <t>Demolition of existing buildings and redevelopment of the site to provide a mixed use development in buildings ranging in height between 2 and 10 storeys plus basement, to provide 1158 sq.m. of retail use (class A1), 64 sq.m. of cafe/restaurant use (class A3), 1519 sq.m. of office use (class B1), and 146 sq.m. of community floorspace (class D1) use, together with 123 residential units of private and affordable tenure, comprising 115 flats and 8 mews houses, with 27 associated parking spaces (21 residential and 6 commercial) with access from Putney Bridge Road, cycle parking spaces, associated amenity space including balconies, terraces and first floor publically accessible courtyard amenity area; landscaping and other associated works.</t>
  </si>
  <si>
    <t>6.1.3</t>
  </si>
  <si>
    <t>Mew Houses</t>
  </si>
  <si>
    <t>2017/0847</t>
  </si>
  <si>
    <t>Land west of, 17 Broadwater Road</t>
  </si>
  <si>
    <t>Erection of a three-storey building (plus basement level with front and rear lightwells) to provide 6 residential flats (1 x 3-bedroom, 2 x 2-bedroom and 3 x 1-bedrooms units) with balconies to the rear and roof terraces to front/side/rear, and associated cycling and refuse storage.</t>
  </si>
  <si>
    <t>2020/0258</t>
  </si>
  <si>
    <t>48 Disraeli Road</t>
  </si>
  <si>
    <t>Alterations including erection of a mansard roof extension above part of rear two-storey addition, single-storey rear extension and installation of front and rear rooflights to main roof; associated with the conversion to one dwelling from two flats.</t>
  </si>
  <si>
    <t>2017/6879</t>
  </si>
  <si>
    <t>5 Laitwood Road</t>
  </si>
  <si>
    <t>Alterations including the erection of a part single, part two-storey rear extension and excavation of a basement level including formation of front lightwell with grille over and rear lightwell with high screen surrounds; in connection with conversion of existing dwelling into 1x1-bedroom, 2 x2-bedroom and 2x3-bedroom flats with assoicated cycle and refuse storage.</t>
  </si>
  <si>
    <t>2019/1181</t>
  </si>
  <si>
    <t>60 Fairfield Street</t>
  </si>
  <si>
    <t>Alterations to ground floor front, rear and side elevation in connection with change of use from cafe (Class A3) to two bedroom flat (Class C3) .</t>
  </si>
  <si>
    <t>2018/3032</t>
  </si>
  <si>
    <t>46 Upper Tooting Road</t>
  </si>
  <si>
    <t>Alterations including the erection of extension above back addition (with french doors and safety railings) in connection with the conversion of the property into 2 x 1-bedroom flats at first and second floor.</t>
  </si>
  <si>
    <t>2016/4807</t>
  </si>
  <si>
    <t>58a Selkirk Road</t>
  </si>
  <si>
    <t>Alterations in connection with conversion of garage into a 2-bedroom one storey dwelling plus basement level.</t>
  </si>
  <si>
    <t>2018/5668</t>
  </si>
  <si>
    <t>Flat 7 Fountain House, 138 West Hill</t>
  </si>
  <si>
    <t>Alterations in connection with conversion of studio flat into 1-bedroom flat.</t>
  </si>
  <si>
    <t>2018/4051</t>
  </si>
  <si>
    <t>Tailors Court, 2 North Drive</t>
  </si>
  <si>
    <t>Conversion of assisted bathroom and ancillary rooms into a self-contained one-bedroom flat.</t>
  </si>
  <si>
    <t>2019/4262</t>
  </si>
  <si>
    <t>134/134a Battersea High Street</t>
  </si>
  <si>
    <t>Demolition of existing building and erection of a ground and part one, part two, part three storey building (plus basement) to provide 8 x residential units and 1 x two storey house with refuse and cycle storage and associated landscaping including roof terraces.</t>
  </si>
  <si>
    <t>2018/5949</t>
  </si>
  <si>
    <t>900 Garratt Lane</t>
  </si>
  <si>
    <t>Determination as to whether prior approval is required for change of use from office (Class B1) to residential (Class C3).</t>
  </si>
  <si>
    <t>2019/3862</t>
  </si>
  <si>
    <t>855 Garratt Lane</t>
  </si>
  <si>
    <t>Change of use from salon (Class A1) to residential (Class 3) in connection with creation of additional bedroom to ground floor flat; Removal of existing shopfront and installation of 2 x replacement windows.</t>
  </si>
  <si>
    <t>2017/0593</t>
  </si>
  <si>
    <t>19 Elm Quay Court, Nine Elms Lane</t>
  </si>
  <si>
    <t>Sub-division of existing two bedroom duplex, to form 1 no. one bedroom apartment, and a studio flat (as approved under previous appeal ref: APP/H5960/A/13/2205524)</t>
  </si>
  <si>
    <t>2019/0551</t>
  </si>
  <si>
    <t>Land rear of, 143 St Johns Hill</t>
  </si>
  <si>
    <t>Alterations including first floor side and rear extension and mansard roof extension to the main building to create an extra floor of accommodation housing an additional 2-bedroom flat; Erection of a two to three storey building to the rear fronting spencer road to provide 1 x 2-bedroom and 1 x 1-bedroom flats with associated refuse and cycle storage; alterations to rear windows and extract ducts to existing building.</t>
  </si>
  <si>
    <t>2018/2827</t>
  </si>
  <si>
    <t>Broadway Studio, 28 Tooting High Street</t>
  </si>
  <si>
    <t>Erection of a two-storey extension to form 2 x 1-bed flats (first and second floor) and 1 x 2-bed flat in mansard roof with 2 x A3 units at ground floor as existing.</t>
  </si>
  <si>
    <t>2013/3516</t>
  </si>
  <si>
    <t>70A Ravensbury Road</t>
  </si>
  <si>
    <t>Demolition of existing workshop. Erection of two-storey, 1-bedroom house with first floor level terrace to rear.</t>
  </si>
  <si>
    <t>2018/2875</t>
  </si>
  <si>
    <t>1st Floor, 8A Balham Station Road</t>
  </si>
  <si>
    <t>Determination as to whether prior approval is required for change of use from office at first floor level (Class B1(a)) to residential (Class C3) to provide 1 x 1-bedroom flat.</t>
  </si>
  <si>
    <t>2018/0001</t>
  </si>
  <si>
    <t>27 Sainfoin Road</t>
  </si>
  <si>
    <t>Erection of mansard extension to main rear roof (with French doors and safety railings) and single storey rear/side extension, in connection with conversion of property into 1 x 3-bedroom and 2 x 2-bedroom flats.</t>
  </si>
  <si>
    <t>2016/3838</t>
  </si>
  <si>
    <t>Chatfield Court, 56 Chatfield Road</t>
  </si>
  <si>
    <t>Demolition of existing roof structure and erection of four-storey extension (to create fourth, fifth, sixth and seventh floors) to provide 2 x 1-bedroom, 5 x 2-bedroom and  2 x 3-bedroom residential units, creation of balconies and roof terraces, and external alterations.</t>
  </si>
  <si>
    <t>2018/4579</t>
  </si>
  <si>
    <t>Determination as to whether prior approval is required for change of use from office (Class B1a) to residential (Class C3) to provide 13 x 1-bedroom and 1 x 2-bedroom flats.</t>
  </si>
  <si>
    <t>2019/1825</t>
  </si>
  <si>
    <t>Rayne House, Sudbrooke Road</t>
  </si>
  <si>
    <t>Erection of replacement single storey rear extension to create 7 classrooms and staff room (use Class D1 (school)) in association with Broomwood Hall School. Use of part of basement to enlarge existing flat and roof extension with terrace to create a one-bedroom flat. Alterations and enlargement of rear lightwell and balustrade to roof.</t>
  </si>
  <si>
    <t>2017/3103</t>
  </si>
  <si>
    <t>Units 21,22 &amp; 23 Ransomes Dock, 35-37 Parkgate Road (Ransomes Dock Business Centre)</t>
  </si>
  <si>
    <t>Determination as to whether prior approval is required for change of use of office at first floor level from (Class B1a) to residential (Class C3) to provide 1 x 2-bedroom and 1 x 1-bedroom flats.</t>
  </si>
  <si>
    <t>2014/5735</t>
  </si>
  <si>
    <t>Unit 17, 18 21, 22 &amp; 23 Ransomes Dock Business Centre, 35-37 Parkgate Road (Ransomes Dock Business Centre)</t>
  </si>
  <si>
    <t>Apartment 18</t>
  </si>
  <si>
    <t>Change of use of first floor units from offices (Use Class B1) to residentail (Use Class C3) as two studio flats.</t>
  </si>
  <si>
    <t>2017/3565</t>
  </si>
  <si>
    <t>135 Wandsworth High Street</t>
  </si>
  <si>
    <t>Erection of three-storey rear extension above the existing single storey rear addition with mansard roof above the existing main rear roof; erection of a three-storey rear extension;  alterations to shopfront; changes to fenestration on the side elevation;  works in connection with the enlargement of the retail unit and provision of 2 x 3 bedroom and 1 x 2 bedroom flats [REVISED DESCRIPTION]</t>
  </si>
  <si>
    <t>2019/5524</t>
  </si>
  <si>
    <t>20 Routh Road</t>
  </si>
  <si>
    <t>Demolition of existing property; erection of replacement two-storey house with accommodation at roof level.</t>
  </si>
  <si>
    <t>2019/2929</t>
  </si>
  <si>
    <t>Land Adjacent, 33 Vandyke Close</t>
  </si>
  <si>
    <t>Erection of two storey 2-bedroom house with first floor level rear terrace, associated cycle and bin storage.</t>
  </si>
  <si>
    <t>2018/1975</t>
  </si>
  <si>
    <t>1 Effort Street</t>
  </si>
  <si>
    <t>Demolition of existing building and erection of a part two part three-storey building to provide 4 x 2-bedroom and 1 x 3-bedroom flats with associated landscaping, cycle and refuse storage.</t>
  </si>
  <si>
    <t>2016/7407</t>
  </si>
  <si>
    <t>Land south of and west of 5 St James Drive, 124 Trinity Road</t>
  </si>
  <si>
    <t>Erection of single-storey (plus roof level and basement level accommodation) dwellinghouse (1 x 2-bedroom) with associated alterations to Trinity Road boundary treatment and cycle and refuse storage.</t>
  </si>
  <si>
    <t>2014/4301</t>
  </si>
  <si>
    <t>and 2-24 Mendip Road, 1-9 Chatfield Road</t>
  </si>
  <si>
    <t>Demolition of existing building, excavation to form two floors of basement accommodation and construction of four floors above ground to create new six storey building, to be used for vehicle storage, including kitchen facility on Chatfield Road frontage and three split level ancillary residential units.</t>
  </si>
  <si>
    <t>10.6</t>
  </si>
  <si>
    <t>Block 10</t>
  </si>
  <si>
    <t>2019/0285</t>
  </si>
  <si>
    <t>465 Garratt Lane</t>
  </si>
  <si>
    <t>Determination as to whether prior approval is required for change of use of office at ground floor level from office (Class B1a) to residential (Class C3) to provide 1 x 1-bedroom flat.</t>
  </si>
  <si>
    <t>2016/2392</t>
  </si>
  <si>
    <t>Units 3,4,5,6,7, &amp; 8 Windward House, Square Rigger Row (Plantation Wharf)</t>
  </si>
  <si>
    <t>Determination as to whether prior approval is required for change of use from office (Class B1a) to 3 x 2-bedroom and 3 x 1-bedroom residential units (Class C3) at first, second and third floors.</t>
  </si>
  <si>
    <t>2018/3068</t>
  </si>
  <si>
    <t>58 Wandsworth High Street</t>
  </si>
  <si>
    <t>Alterations including erection of roof extension to provide additional floor of accommodation in connection with formation of 1 x 1-bedroom, 1 x 2-bedroom and 1 x 3-bedroom flats.</t>
  </si>
  <si>
    <t>2018/2630</t>
  </si>
  <si>
    <t>Garages in, Heathwall Street</t>
  </si>
  <si>
    <t>Demolition of existing garages and erection of a single storey residential dwelling with a basement below and off street parking.</t>
  </si>
  <si>
    <t>2017/0406</t>
  </si>
  <si>
    <t>rear of, 135 Mitcham Road</t>
  </si>
  <si>
    <t>Change of use from office (Class B1) to 1 x 1-bedroom dwelling (Class C3) and alterations including erection of first floor extension..</t>
  </si>
  <si>
    <t>2018/1835</t>
  </si>
  <si>
    <t>2 Balham Grove</t>
  </si>
  <si>
    <t>Erection of three-storey (plus basement and habitable roofspace] 4-bedroom house with rear terraces and associated cycle and refuse storage.</t>
  </si>
  <si>
    <t>2018/5226</t>
  </si>
  <si>
    <t>173 Battersea Church Road (163-199)</t>
  </si>
  <si>
    <t>Alterations including demolition of existing boiler house on roof and erection of roof extension to provide additional storey to create 1 x 2-bedroom flat with rear terrace.</t>
  </si>
  <si>
    <t>2018/6128</t>
  </si>
  <si>
    <t>Bright Cook House, 139 Upper Richmond Road</t>
  </si>
  <si>
    <t>Determination as to whether prior approval is required for change of use of office at first floor level from (Class B1a) to residential (Class C3) to provide 2 x 1-bedroom flats and 1 x 2-bedroom flat and cycle stands.</t>
  </si>
  <si>
    <t>2015/1735</t>
  </si>
  <si>
    <t>Queen Elizabeth House, 99 Nightingale Lane</t>
  </si>
  <si>
    <t>Conversion of former caretakers apartment into 2 self-contained supported living studios (Class C2 use).</t>
  </si>
  <si>
    <t>A/I</t>
  </si>
  <si>
    <t>2019/3823</t>
  </si>
  <si>
    <t>48 &amp; 48A, 48 Lower Richmond Road</t>
  </si>
  <si>
    <t>Erection of part single, part three storey rear/side extension and rear dormer in connection with the use of property as 1 x 4-bedroom flat. forrmation of roof terrace at rear second floor level.</t>
  </si>
  <si>
    <t>2016/1048</t>
  </si>
  <si>
    <t>250 Upper Tooting Road</t>
  </si>
  <si>
    <t>Erection of extensions at basement and ground floor levels for restaurant (Use Class A3), refuse and cycle storage.  Erection of extension to Broadwater Road frontage at first and second floor levels, and alterations to extend and convert 2 x existing residential units to 4 x residential units (3 x 1-bedroom and 1 x 2-bedroom).</t>
  </si>
  <si>
    <t>2015/7662</t>
  </si>
  <si>
    <t>Unit 3 &amp; 20 Ransomes Dock Business Centre, 35-37 Parkgate Road (Ransomes Dock Business Centre)</t>
  </si>
  <si>
    <t>Apartment 3</t>
  </si>
  <si>
    <t>Determination as to whether prior approval is required for change of use from office (Class B1a) to two residential units (Class C3).</t>
  </si>
  <si>
    <t>2019/3077</t>
  </si>
  <si>
    <t>3 Roedean Crescent</t>
  </si>
  <si>
    <t>Demolition of existing property and erection of two storey (plus roof and basement) 7-bedroom house with associated parking and boundary treatment.</t>
  </si>
  <si>
    <t>2019/1304</t>
  </si>
  <si>
    <t>203 Replingham Road</t>
  </si>
  <si>
    <t>Determination as to whether prior approval is required for change of use from retail (Class A1) to 2 x 1-bedroom flats (Class C3) (amended description).</t>
  </si>
  <si>
    <t>2016/5196</t>
  </si>
  <si>
    <t>Land rear of 69-75, 69-75 Upper Tooting Road</t>
  </si>
  <si>
    <t>Erection of a one bedroom self contained unit at the rear of 69-73 Upper Tooting Road.</t>
  </si>
  <si>
    <t>2017/1573</t>
  </si>
  <si>
    <t>8 Akehurst Street</t>
  </si>
  <si>
    <t>Erection of 2 x 5-bedroom three storey detached houses with associated landscaping, parking and cycle store.</t>
  </si>
  <si>
    <t>2018/3598</t>
  </si>
  <si>
    <t>259 Putney Bridge Road</t>
  </si>
  <si>
    <t>Determination as to whether prior approval is required for change of use from retail (Class A1) to 1 x 2-bedroom flat (Class C3).</t>
  </si>
  <si>
    <t>2017/0261</t>
  </si>
  <si>
    <t>5 St Georges Court, 131 Putney Bridge Road</t>
  </si>
  <si>
    <t>Determination as to whether prior approval is required for change of use from office (Class B1a) to one residential unit (Class C3).</t>
  </si>
  <si>
    <t>2018/4316</t>
  </si>
  <si>
    <t>11 Roehampton Lane</t>
  </si>
  <si>
    <t>Alterations including erection of hip-to-gable and rear dormer roof extensions (with french doors and safety railings), replacement single-storey rear/side extension in connection with conversion of property into 1 x 3 bedroom, 1 x 2-bedroom and 1 x 1-bedroom flats.</t>
  </si>
  <si>
    <t>2019/2116</t>
  </si>
  <si>
    <t>118 Upper Tooting Road</t>
  </si>
  <si>
    <t>Alterations in connection with change of use of part of ground floor from retail (Class A1) to residential (Class C3) to provide 1 x studio flat with associated cycle and refuse storage.</t>
  </si>
  <si>
    <t>2018/0563</t>
  </si>
  <si>
    <t>8 Ravensbury Terrace</t>
  </si>
  <si>
    <t>Demolition of existing buildings and erection of a part 1, part 3, part 4-storey building to accommodate 9 residential dwellings (1x 1-bedroom, 7 x 2-bedroom and 1 x 3-bedroom units) and 344sq.m  of business floorspace (Class B1 use), with associated landscaping, cycle and refuse storage, and works to the river wall</t>
  </si>
  <si>
    <t>2015/6454</t>
  </si>
  <si>
    <t>72 Girdwood Road</t>
  </si>
  <si>
    <t>Conversion of property into two self-contained flats.</t>
  </si>
  <si>
    <t>2019/3235</t>
  </si>
  <si>
    <t>958 Garratt Lane</t>
  </si>
  <si>
    <t>Erection of a two-storey 3-bedroom house fronting Garratt Terrace, with single-storey rear extension and the subdivision of the garden of 958 Garratt Lane and associated refuse and cycle storage.</t>
  </si>
  <si>
    <t>2018/5658</t>
  </si>
  <si>
    <t>Garages between 23 &amp; 25, Darley Road</t>
  </si>
  <si>
    <t>Demolition of existing garages and erection of two-storey(plus basement) 4-bedroom house with associated refuse and cycle storage.</t>
  </si>
  <si>
    <t>2015/7497</t>
  </si>
  <si>
    <t>31 Eckstein Road</t>
  </si>
  <si>
    <t>Extensions and alterations in connection with the use of property as 1 x one-bedroom and 2 x three-bedroom flats. Erection of mansard roof extension to main rear roof (with French doors and safety railings) and above part of two-storey back addition, formation of roof terrace above two-storey back addition with 1.7m high screen surround, erection of single-storey rear/side extension.</t>
  </si>
  <si>
    <t>2018/0255</t>
  </si>
  <si>
    <t>47 Yvon House, Alexandra Avenue</t>
  </si>
  <si>
    <t>Alterations in connection with conversion of existing flat into 1 x  2-bedroom and 1 x 3-bedroom flats and the creation of a roof terrace at third floor level.</t>
  </si>
  <si>
    <t>2015/6929</t>
  </si>
  <si>
    <t>Ground floor, 72 Upper Tooting Road</t>
  </si>
  <si>
    <t>Erection of single-storey rear extension to create 1 x 2-bedroom flat (Corresponding Listed Building Reference Number 2016/0793).</t>
  </si>
  <si>
    <t>2017/4253</t>
  </si>
  <si>
    <t>Earlsfield House, 1 Swaffield Road</t>
  </si>
  <si>
    <t>Erection of a three-storey side extension to provide a 3-bedroom town house with alterations as part of change of use of Earlsfield House to provide 4 x 2-bedroom residential units.</t>
  </si>
  <si>
    <t>2018/0917</t>
  </si>
  <si>
    <t>Land adjacent, 80 Manville Road</t>
  </si>
  <si>
    <t>Demolition of existing garage and erection of part single, part two-storey (plus basement) 3-bedroom detached house with associated landscaping, boundary treatment, cycle, refuse storage and car parking.</t>
  </si>
  <si>
    <t>2018/5492</t>
  </si>
  <si>
    <t>34 Roehampton Gate</t>
  </si>
  <si>
    <t>Demolition of existing dwelling and erection of a two-storey house with additional accommodation within the roofspace and at basement level.</t>
  </si>
  <si>
    <t>2016/2408</t>
  </si>
  <si>
    <t>Land rear of, 117 Fernlea Road</t>
  </si>
  <si>
    <t>Alterations including erection of dormer roof extension to main rear roof and formation of rear roof terrace above three storey back addition with 1.7m high screen surround; erection of two-storey rear extension; erection of single storey side/rear extension; alterations to front lightwell and rear lightwell; installation of side access staircase and conversion of property to 1 x 4-bedroom, 1 x 2-bedroom and 1 x 1-bedroom flats.</t>
  </si>
  <si>
    <t>2018/0885</t>
  </si>
  <si>
    <t>Demolition of existing garage fronting Cavendish Road and erection of a single storey (plus basement and roof) 3-bedroom detached house, formation of lightwells and refuse storage.</t>
  </si>
  <si>
    <t>2016/1299</t>
  </si>
  <si>
    <t>14 Roedean Crescent</t>
  </si>
  <si>
    <t>Demolition of existing house and erection of a two-storey 6-bedroom detached house with accommodation at roof level. New front boundary treatment.</t>
  </si>
  <si>
    <t>2019/4845</t>
  </si>
  <si>
    <t>Land rear of 20-28, Taybridge Road</t>
  </si>
  <si>
    <t>Erection of 1 x 6-bedroom single storey dwellinghouse (plus basement level and lightwells), with vehicle access and front boundary treatment, garden room/cycle store (amendments to planning permissions ref. 2016/7269).</t>
  </si>
  <si>
    <t>2019/2479</t>
  </si>
  <si>
    <t>67-85 Aslett Street</t>
  </si>
  <si>
    <t>Erection of front and rear roof extensions with terrace to rear to 67 - 85 Aslett Street, in connection with the creation of 7 additional 2-bedroom units. Other alterations to include relocation of existing rear windows at first floor level; installation of new entrance door and timber pedestrian gate at ground floor level and replacement of existing metal gates to electronic gates to match existing) and amendment ot the rear obscure glass balustrade from 1.1 m to 1.7 m in height (same description as application ref: 2016/1393)</t>
  </si>
  <si>
    <t>2016/4839</t>
  </si>
  <si>
    <t>Units 5, 6 and 14 Ransomes Dock Business Centre, 35-37 Parkgate Road (Ransomes Dock Business Centre)</t>
  </si>
  <si>
    <t>Determination as to whether prior approval is required for change of use of office  from (Class B1a) to 2 x 2-bedroom and 2 x 1-bedroom residential units (Class C3).</t>
  </si>
  <si>
    <t>2016/1240</t>
  </si>
  <si>
    <t>13 Granard Avenue</t>
  </si>
  <si>
    <t>Demolition of existing building and erection of a three-storey (plus basement level) 6-bedroom detached house with front and rear first and second level terraces and associated landscaping. Rebuilding part of front boundary wall including new pedestrian access and associated landscaping.</t>
  </si>
  <si>
    <t>2017/0240</t>
  </si>
  <si>
    <t>339 Battersea Park Road</t>
  </si>
  <si>
    <t>Demolition of two storey back addition and alterations to rear of public house, erection of 3 storey (plus basement) building at the rear to provide 3 x 2-bedroom and roof terrace (amendments to withdrawn application ref. 2016/6171 to reduce the height of the rear building by one storey and remove previously proposed flats at first floor level of public house).</t>
  </si>
  <si>
    <t>2016/4830</t>
  </si>
  <si>
    <t>6 Princes Way</t>
  </si>
  <si>
    <t>Alterations including erection of side and rear roof extensions to main roof including raising the ridge by 0.6m. in connection with the use as 1 x 1-bedroom flat</t>
  </si>
  <si>
    <t>2017/1458</t>
  </si>
  <si>
    <t>1-9 Church row (part of Phase 3 Ram Brewery), Wandsworth Plain</t>
  </si>
  <si>
    <t>Demolition of existing warehouse buildings and erection of a 2 - 6 storey building comprising 34 x residential (Class C3) units, flexible commercial floorspace (Class A1/A2/A3/A4) and office space (Class B1a) at ground floor; restoration works, alterations and rear extensions to existing 1-9 Church Row Listed Buildings to enable the change of use from office (Class B1) to residential (Class C3) comprising 1 x dwellinghouse and 15 x flats; provision of associated landscaping, refuse storage and cycle parking; and public access to the River Wandle from Wandsworth Plain._x000D_
_x000D_
For Listed Building Consent refer to planning application reference number: 2017/1847.</t>
  </si>
  <si>
    <t>2016/3841</t>
  </si>
  <si>
    <t>Ground Floor, 83 Mitcham Lane</t>
  </si>
  <si>
    <t>Change of use of the front part of the ground floor from retail (Class A1) to financial and professional services (Class A2) and change of use of the rear part to residential (Class C3) to provide 1 x 1-bedroom flat.</t>
  </si>
  <si>
    <t>2016/3940</t>
  </si>
  <si>
    <t>1 Groom Crescent</t>
  </si>
  <si>
    <t>Demolition of existing garden shed and erection of a two-storey (plus accommodation at roof level)  house within side garden.</t>
  </si>
  <si>
    <t>2016/3307</t>
  </si>
  <si>
    <t>29 Roehampton Lane</t>
  </si>
  <si>
    <t>Alterations including erection of rear and side dormers (with French doors and safety railings to rear); installation of french doors and safety railings at rear of ground and first floors. excavation to create basement including formation of front and rear lightwells; formation of secure bin and cycle storage at rear; formation of front hardstanding area (with retention of existing front boundary wall) in connection with conversion of single dwellinghouse into 2 x 3-bedroom, 1 x 2-bedroom and 1 x 1-bedroom flats.</t>
  </si>
  <si>
    <t>2019/3061</t>
  </si>
  <si>
    <t>Public House, 39 Balham High Road</t>
  </si>
  <si>
    <t>Determination as to whether prior approval is required for part change of use from retail (Class A1) to 1 x studio flat (Class C3).</t>
  </si>
  <si>
    <t>2018/3122</t>
  </si>
  <si>
    <t>Garages rear of 21, Granard Avenue</t>
  </si>
  <si>
    <t>Demolition of existing garages and construction of 4 x 2-bedroom houses ground and first floors with part basement.</t>
  </si>
  <si>
    <t>2017/3137</t>
  </si>
  <si>
    <t>37 Oldridge Road</t>
  </si>
  <si>
    <t>Demolition of existing building and erection of a four-storey building to provide 1 x studio, 1 x 1-bedroom and 2 x 2 bedroom flats, the erection of  a single-storey (plus basement) 1-bedroom house; associated cycle and refuse storage.</t>
  </si>
  <si>
    <t>2016/4104</t>
  </si>
  <si>
    <t>17 Woodborough Road</t>
  </si>
  <si>
    <t>Alterations including erection of two-storey side (west) extension with accommodation at roof level and pitched roof over; erection of single-storey front/side extension with roof level accommodation; extension of basement area with walkover rooflights, enlarged main roof including various dormers and rooflights; in connection with use as  2 x 3-bedroom and 2 x 1-bedroom flats; formation of four parking spaces, erection of refuse store in front garden and changes to front boundary treatment</t>
  </si>
  <si>
    <t>2016/4253</t>
  </si>
  <si>
    <t>Units 14 to 19 Blades Court, 121 Deodar Road</t>
  </si>
  <si>
    <t>Determination as to whether prior approval is required for change of use of office at first floor level from (Class B1a) to 6 x 2-bedroom residential units (Class C3).</t>
  </si>
  <si>
    <t>2018/0806</t>
  </si>
  <si>
    <t>Unit 33 Ransomes Dock Business Centre, 35-37 Parkgate Road (Ransomes Dock Business Centre)</t>
  </si>
  <si>
    <t>Determination as to whether prior approval is required for change of use from office at second floor level (Use Class B1(a)) to residential (Use Class C3) to provide 2 x 3 bedroom flats.</t>
  </si>
  <si>
    <t>2016/5215</t>
  </si>
  <si>
    <t>Studio 2 Dovedale Studios, 465 Battersea Park Road</t>
  </si>
  <si>
    <t>Determination as to whether prior approval is required for change of use from office (Class B1a) to 1 x 3-bedroom residential unit (Class C3).</t>
  </si>
  <si>
    <t>2016/5216</t>
  </si>
  <si>
    <t>Studio 4 Dovedale Studios, 465 Battersea Park Road</t>
  </si>
  <si>
    <t>Determination as to whether prior approval is required for change of use from office (Class B1a) to 1 x 2-bedroom residential unit (Class C3).</t>
  </si>
  <si>
    <t>2016/5219</t>
  </si>
  <si>
    <t>Studio 5 Dovedale Studios, 465 Battersea Park Road</t>
  </si>
  <si>
    <t>2016/4888</t>
  </si>
  <si>
    <t>66 North Side Wandsworth Common</t>
  </si>
  <si>
    <t>Conversion of property to 1 x 1-bedroom and 1 x 5-bedroom flats.</t>
  </si>
  <si>
    <t>2017/0975</t>
  </si>
  <si>
    <t>501 Battersea Park Road</t>
  </si>
  <si>
    <t>Alterations including erection of mansard roof extension to main roof and erection of part two, part three, part four-storey rear extension to provide 5 new residential units ( 2 x 1 and 2 x 2 and a studio) including formation of roof terrace with safety screen at 2nd floor level.</t>
  </si>
  <si>
    <t>2016/5474</t>
  </si>
  <si>
    <t>102 Wakehurst Road</t>
  </si>
  <si>
    <t>Use of building as single dwelling (Class C3).</t>
  </si>
  <si>
    <t>2016/5804</t>
  </si>
  <si>
    <t>189b Balham High Road</t>
  </si>
  <si>
    <t>Change of use from storage facility (Class B8) to a single family dwelling house (Class C3) including external alterations.</t>
  </si>
  <si>
    <t>2016/5759</t>
  </si>
  <si>
    <t>197a Wandsworth High Street</t>
  </si>
  <si>
    <t>Erection of front and rear mansard roof extensions to provide additional floor of accommodation; erection of first floor rear extension and formation of rear roof terrace at rear of first floor; use of upper floors as 2 x 1-bedroom flats.</t>
  </si>
  <si>
    <t>2016/6187</t>
  </si>
  <si>
    <t>28 Harvard Mansions, St Johns Hill</t>
  </si>
  <si>
    <t>Conversion of existing 4-bedroom flat into 1 x 1-bedroom flat and 1 x studio apartment.</t>
  </si>
  <si>
    <t>2016/6206</t>
  </si>
  <si>
    <t>26 Harvard Mansions, St Johns Hill</t>
  </si>
  <si>
    <t>2017/5378</t>
  </si>
  <si>
    <t>14 Gayville Road</t>
  </si>
  <si>
    <t>Alterations including erection of mansard roof extension to main rear roof including formation of roof terrace with 1.7m high screen surround. Erection of single-storey rear/side extension and excavation to enlarge basement including formation of front, rear and side lightwells with grilles over in connection with the conversion of property into 2 x-3 bedroom flats with associated cycle and refuse storage.</t>
  </si>
  <si>
    <t>2019/3354</t>
  </si>
  <si>
    <t>127 Mitcham Lane</t>
  </si>
  <si>
    <t>Alterations including conversion of part of ground floor from Class A1 (retail) to Class C3 (residential). Erection of a two-storey extension with habitable roofspace above the existing single-storey rear addition to provide 1 x 2-bedroom and 2 x 1-bedroom units and 1 studio with access from Blegborough Road and associated cycle and refuse storage.</t>
  </si>
  <si>
    <t>2016/6524</t>
  </si>
  <si>
    <t>78 Earlsfield Road</t>
  </si>
  <si>
    <t>Alterations in connection with the conversion of the property into 1x2 and 1x3 bedroom flats with associated cycle storage; installation of external staircase from first floor to rear garden.</t>
  </si>
  <si>
    <t>2016/6122</t>
  </si>
  <si>
    <t>189 Balham High Road</t>
  </si>
  <si>
    <t>Extensions and alterations in connection with the change of use of first floor from an office (Class Use B1) to residential (Class Use C3) to create 2 x 1-bedroom flats. Erection of mansard roof extension to create an additional floor of accommodation to facilitate the creation of a 2-bedroom flat with a side roof terrace. Further external alterations include the increased height to rear additions.</t>
  </si>
  <si>
    <t>2019/1895</t>
  </si>
  <si>
    <t>Demolition of existing garages and erection of 7 x 3-storey (plus basement) 3-bedroom houses with associated landscaping, car and cycle parking.</t>
  </si>
  <si>
    <t>2017/0870</t>
  </si>
  <si>
    <t>Apartments 57 &amp; 58, 5 Riverlight Quay</t>
  </si>
  <si>
    <t>Conversion of two flats into one 5 bedroom unit</t>
  </si>
  <si>
    <t>2.1.9</t>
  </si>
  <si>
    <t>2017/0769</t>
  </si>
  <si>
    <t>22 Kersley Street</t>
  </si>
  <si>
    <t>Erection of a three-storey extension and conversion of property into single family dwelling. Formation of roof terrace over rear addition, and installation of front railings.</t>
  </si>
  <si>
    <t>2019/3275</t>
  </si>
  <si>
    <t>153-159 Putney High Street</t>
  </si>
  <si>
    <t>Alterations including erection of rear extensions at lower ground, first, second and third floors, and fourth storey roof top extension; use of part lower ground, ground and first floors for offices (Class B1a); enlargement of some existing residential units at first, second and third floor level, and provision of 9 new residential units (Class C3) at second, third and fourth floor levels, including change of use of some existing Class A2 (financial and professional services) floorspace, with provision of associated roof terraces, refuse and cycle storage.</t>
  </si>
  <si>
    <t>2019/4645</t>
  </si>
  <si>
    <t>Garage rear of, 130 Wimbledon Park Road</t>
  </si>
  <si>
    <t>Demolition of existing garage and erection of a single-storey (plus basement and attic accommodation) 3-bedroom detached house with rear lightwell and associated cycle and refuse storage</t>
  </si>
  <si>
    <t>2017/0153</t>
  </si>
  <si>
    <t>64-64c Battersea Rise</t>
  </si>
  <si>
    <t>Excavation to extend basement and alterations to ground floor level of restaurant (Class A3). Change of use of first, second and third floor from two flats (Class C3) to a House in Multiple Occupation (HMO - 13 tenancy units) with shared faciliites.  Extensions to rear at first floor and second floor (including french doors) and to roof level (including changes to front roof pitch, side roof extension and third floor extension), and creation of roof terraces at second and third floor levels.  Replacement extract flue.</t>
  </si>
  <si>
    <t>2019/0866</t>
  </si>
  <si>
    <t>1023-1025 Garratt Lane</t>
  </si>
  <si>
    <t>Variation of conditions 2, 3 and 7 (in accordance with approved drawings) pursuant to planning permission dated 14/11/2017 ref 2016/5209 (Demolition of the existing builder and timber merchant building (Class B1) and redevelopment with a part 2, part 3 storey building plus basement level comprising 17 apartments (Class C3) (2 x 1 beds, 12 x 2 beds and 3 x 3 beds) and associated landscaping, car and cycle parking)  to allow reconfiguration of internal layouts and subsequent alteratons to boundaries and cycle parking.</t>
  </si>
  <si>
    <t>2018/5195</t>
  </si>
  <si>
    <t>Land rear of 79, 79 Falcon Road</t>
  </si>
  <si>
    <t>Erection of two-storey 3 bedroom house (accessed from Falcon Grove) with associated boundary treatment and vehicle access.</t>
  </si>
  <si>
    <t>2016/2396</t>
  </si>
  <si>
    <t>Spice Court, Ivory Square (Plantation Wharf)</t>
  </si>
  <si>
    <t>Former Units 14, 15, 16 and 17</t>
  </si>
  <si>
    <t>Determination as to whether prior approval is required for change of use from office (Class B1a) to 1 x 2-bedroom and 3 x 1-bedroom residential units (Class C3) at third floor level.</t>
  </si>
  <si>
    <t>2016/3445</t>
  </si>
  <si>
    <t>Former Units 2, 3 and 4</t>
  </si>
  <si>
    <t>Determination as to whether prior approval is required for change of use of office at ground floor level (Class B1a) to residential (Class C3)  to provide 2 x 2-bedroom and 1 x 1-bedroom residential flats.</t>
  </si>
  <si>
    <t>2016/3447</t>
  </si>
  <si>
    <t>Former Unit 8</t>
  </si>
  <si>
    <t>Determination as to whether prior approval is required for change of use of office at first floor level (Class B1a) to 3 x 2-bedroom residential and 1 x 1-bedroom residential  units (Class C3).</t>
  </si>
  <si>
    <t>2016/3870</t>
  </si>
  <si>
    <t>Former Units 1, 12 and 13</t>
  </si>
  <si>
    <t>Determination as to whether prior approval is required for change of use of offices at ground and second floor levels from (Class B1a) to residential (Class C3) to provide 1 x studio, 1 x 1-bedroom flat and 1 x 3-bedroom flat at second floor, and 1 x 1-bedroom flat at ground floor.</t>
  </si>
  <si>
    <t>2016/6604</t>
  </si>
  <si>
    <t>Norman Court, 160 Lower Richmond Road</t>
  </si>
  <si>
    <t>Erection of roof extension at third floor level to provide 7 x 1-bedroom and 2 x studio flats with external balcony access; associated cycle and refuse storage; and landscaping including new front boundary treatment.</t>
  </si>
  <si>
    <t>2016/6539</t>
  </si>
  <si>
    <t>97A Mayford Road</t>
  </si>
  <si>
    <t>Alterations including enlargement of front lightwell, replace front door with a window and change of use from live / work unit (Sui Generis) to 1 x 3-bedroom flat (Class Use C3).</t>
  </si>
  <si>
    <t>2018/6143</t>
  </si>
  <si>
    <t>Unit 3 Taylors Yard, 67 Alderbrook Road</t>
  </si>
  <si>
    <t>Determination as to whether prior approval is required for change of use from office (Class B1) to 1 x 1-bedroom self contained unit (Class C3).</t>
  </si>
  <si>
    <t>2016/7186</t>
  </si>
  <si>
    <t>The Platt Christian Centre, Felsham Road</t>
  </si>
  <si>
    <t>Alterations including erection of part single storey, part four storey extension to all elevations and on roof to create 10 additional bedrooms; removal and creation of new external openings; alteration of external cladding, appearance and design of the existing building. Erection of cycle shelter against west elevation. Loss of two flats used by staff.</t>
  </si>
  <si>
    <t>2017/2506</t>
  </si>
  <si>
    <t>106-108 Tooting High Street</t>
  </si>
  <si>
    <t>Erection of third floor extension to form 1 x 1-bedroom flat.</t>
  </si>
  <si>
    <t>2017/2605</t>
  </si>
  <si>
    <t>487 Merton Road</t>
  </si>
  <si>
    <t>Determination as to whether prior approval is required for change of use from retail (Class A1) to 1 x 2-bedroom flat (Class C3) with associated external alterations to front elevations.</t>
  </si>
  <si>
    <t>2017/2023</t>
  </si>
  <si>
    <t>166 Upper Richmond Road</t>
  </si>
  <si>
    <t>Demolition of existing 5-storey office building and construction of a new 6-storey (plus lower-ground floor) mixed-use building with office space at lower-ground and ground floors and 5 x 2 bed residential flats above (1 x unit per floor level)</t>
  </si>
  <si>
    <t>2017/2071</t>
  </si>
  <si>
    <t>11 Balmuir Gardens</t>
  </si>
  <si>
    <t>Conversion of property from two flats into a single dwelling house. Erection of single-storey rear/side extension. Alteration to the location of the ground floor front door.</t>
  </si>
  <si>
    <t>2017/1165</t>
  </si>
  <si>
    <t>72 Oakmead Road</t>
  </si>
  <si>
    <t>Alterations including erection of mansard roof extension to main rear roof and over part of two storey back addition, formation of roof terrace over part of two storey back addition with 1.7m screen surround, and internal alterations in connection with creation of 1 x 1-bedroom flat.  Provision of cycle storage and bin storage to front.</t>
  </si>
  <si>
    <t>2017/6117</t>
  </si>
  <si>
    <t>71 Northcote Road</t>
  </si>
  <si>
    <t>Change of use from Class A1(Shops) to Class A3 (Restaurants and Cafes).  Erection of side and rear extensions at ground, first and second floor levels to provide 4no. residential units (1 x bedsit; 1 x 1-bedroom and 2 x 2-bedroom flats.).</t>
  </si>
  <si>
    <t>2017/2123</t>
  </si>
  <si>
    <t>22 Bangalore Street</t>
  </si>
  <si>
    <t>Demolition of single storey extension and garage and erection of 1 x 2-bedroom two-storey house; associated alterations including landscaping, refuse and cycle storage.</t>
  </si>
  <si>
    <t>2017/2629</t>
  </si>
  <si>
    <t>26 Battersea Rise</t>
  </si>
  <si>
    <t>Erection of mansard roof extension to main rear roof and extension above two-storey back addition to form 1 x 1-bedroom flat.</t>
  </si>
  <si>
    <t>2017/4993</t>
  </si>
  <si>
    <t>108 Mitcham road</t>
  </si>
  <si>
    <t>Alterations including erection of two storey rear extension and erection of mansard roof extension to create additional floor of accommodation in connection with conversion of existin 2 x 3-bedroom flats to 4 x 1-bedroom flats.</t>
  </si>
  <si>
    <t>2017/4296</t>
  </si>
  <si>
    <t>107 Allfarthing Lane</t>
  </si>
  <si>
    <t>Determination as to whether prior approval is required for change of use from retail (Class A1) to 1 x 1-bedroom flat and 1 studio flat (Class C3).</t>
  </si>
  <si>
    <t>2017/6931</t>
  </si>
  <si>
    <t>61-64 Sefton Street</t>
  </si>
  <si>
    <t>Demolition of existing buildings and erection of a four storey building comprising 105sq.m ground floor commercial unit (Use Classes A1, A2 or B1), 3 x 1-bedroom and 2 x 2-bedroom flats above with front roof terrace and a two-storey, 2-bedroom mews house at the rear with two parking spaces, refuse and cycle storage.</t>
  </si>
  <si>
    <t>2017/3404</t>
  </si>
  <si>
    <t>179 Battersea Park Road</t>
  </si>
  <si>
    <t>Erection of three storey rear extension and side extension on the third floor and conversion of basement into shop storage.</t>
  </si>
  <si>
    <t>2017/3527</t>
  </si>
  <si>
    <t>238a Balham High Road</t>
  </si>
  <si>
    <t>Alterations including two-storey extension above rear addition and conversion of property to 1 x 1 bedroom flat and 1 x 2 bedroom flats.</t>
  </si>
  <si>
    <t>2017/4039</t>
  </si>
  <si>
    <t>41 Eglantine Road</t>
  </si>
  <si>
    <t>Alterations including erection of front boundary gate and railings in connection with use as a single dwellinghouse.</t>
  </si>
  <si>
    <t>2017/3835</t>
  </si>
  <si>
    <t>1 The Pleasance</t>
  </si>
  <si>
    <t>Alterations including erection of rear dormer and single-storey rear extension.</t>
  </si>
  <si>
    <t>2017/4187</t>
  </si>
  <si>
    <t>286-288 Queenstown Road</t>
  </si>
  <si>
    <t>Loft conversion at each of the adjoining properties at no.286 and no.288 Queenstown Road to create 1 new flat. The two existing flats at first and second floor level will be reconfigured to comply with National Standards.</t>
  </si>
  <si>
    <t>2019/0762</t>
  </si>
  <si>
    <t>garages north of 8, 8 Buckmaster Road</t>
  </si>
  <si>
    <t>Demolition of existing single-storey vehicle garages and the erection of a two-storey plus basement 2 x bedroom dwellinghouse (Class C3).</t>
  </si>
  <si>
    <t>2019/3065</t>
  </si>
  <si>
    <t>Ground Floor, 231 Merton Road</t>
  </si>
  <si>
    <t>Alterations in connection with change of use from office (Class A2) to residential (Class C3) to provide 1 x 2-bedroom flat.</t>
  </si>
  <si>
    <t>2017/4217</t>
  </si>
  <si>
    <t>40 Old Devonshire Road</t>
  </si>
  <si>
    <t>Alterations including changes to the site frontage and a first floor rear extension to allow the conversion of the main garage building to B1 (office) use, and change of use of right hand building to 1 x 1-bedroom unit.</t>
  </si>
  <si>
    <t>2017/4326</t>
  </si>
  <si>
    <t>14 Valonia Gardens</t>
  </si>
  <si>
    <t>Demolition of existing detached dwellinghouse and the erection of a replacement two-storey (plus roof accomodation) 4-bedroom detached dwellinghouse.</t>
  </si>
  <si>
    <t>2018/4639</t>
  </si>
  <si>
    <t>Car storage site rear of, 1 Kenlor Road</t>
  </si>
  <si>
    <t>Demolition of existing single storey building and the erection of a single-storey one bedroom detached house with associated cycle and refuse storage and landscaping.</t>
  </si>
  <si>
    <t>2017/3316</t>
  </si>
  <si>
    <t>15a Selkirk Road</t>
  </si>
  <si>
    <t>Demolition of existing buildings in association with an MOT garage. Erection of a three-storey building to create 3 x 2-bedroom flats; erection of two-storey building to create 2 x1-bedroom flats and erection of 2 x two-storey 2-bedroom houses and 1 x two-storey 3-bedroom house with associated landscaping, refuse and cycle storage._x000D_
_x000D_
Amendments:_x000D_
Additional drawings/information has been submitted in regard to existing and proposed relationships with neighbouring residential properties, waste storage and vehicular access.</t>
  </si>
  <si>
    <t>2017/4020</t>
  </si>
  <si>
    <t>104 Streathbourne Road</t>
  </si>
  <si>
    <t>Erection of single-storey rear extension and conversion of property to 1 x 3-bedroom and 2 x 2-bedroom flats.</t>
  </si>
  <si>
    <t>2018/0235</t>
  </si>
  <si>
    <t>30 Rogers Road</t>
  </si>
  <si>
    <t>Erection of two-storey side and single storey side/rear extension in connection with creation of 1 x 2-bedroom dwelling with associated bin and cycle storage.</t>
  </si>
  <si>
    <t>2018/5069</t>
  </si>
  <si>
    <t>292 Upper Richmond Road</t>
  </si>
  <si>
    <t>Demolition of rear toilet block and erection of a single-storey (plus basement) 1-bedroom house.</t>
  </si>
  <si>
    <t>2017/4506</t>
  </si>
  <si>
    <t>St Andrews Court, 1 - 6 St Andrews Court</t>
  </si>
  <si>
    <t>Erection of three storey building to provide 3 x 1-bedroom flats with balconies to all levels fronting Waynflete Street.</t>
  </si>
  <si>
    <t>2019/0435</t>
  </si>
  <si>
    <t>Ross Court, 81 Putney Hill</t>
  </si>
  <si>
    <t>Determination as to whether prior approval is required for change of use from storage (Class B8) to residential (Class C3) to provide 1 x 1-bed flat.</t>
  </si>
  <si>
    <t>2017/5299</t>
  </si>
  <si>
    <t>158-160 Balham High Road</t>
  </si>
  <si>
    <t>Determination as to whether prior approval is required for change of use from business (Class B1)  to 7 x studio flats (Class C3).</t>
  </si>
  <si>
    <t>2019/0736</t>
  </si>
  <si>
    <t>Alterations including erection of single storey extension and mansard roof extension above existing two storey building in connection with creation of 3 x 2-bedroom and 3 x 1-bedroom self-contained flats.</t>
  </si>
  <si>
    <t>2019/4846</t>
  </si>
  <si>
    <t>21 Lavender Hill</t>
  </si>
  <si>
    <t>Determination as to whether prior approval is required for change of use from hot food takeaway (Class A5) to residential (Class C3) to provide 2 x 1-bedroom flats with associated external alteration side elevation.</t>
  </si>
  <si>
    <t>2019/3792</t>
  </si>
  <si>
    <t>Basement and Ground floor, 77 Lower Richmond Road</t>
  </si>
  <si>
    <t>Alterations including excavation to enlarge basement, formation of front lightwell, erection of single-storey rear extension in connection with change of use of ground floor and basement from retail (Class A1) to residential (class C3) to provide 2 x 1-bedroom flats with associated bin and cycle storage at rear; removal of access to upper flat from rear to front.</t>
  </si>
  <si>
    <t>2017/3402</t>
  </si>
  <si>
    <t>Flats 1-4, 17 Briar Walk</t>
  </si>
  <si>
    <t>Alterations including erection of part single, part two-storey rear extension; excavation to enlarge basement including formation of front and rear lightwells in connection with conversion of property into 5 x 2-bedroom and 1 x 3-bedroom flats.</t>
  </si>
  <si>
    <t>2018/1456</t>
  </si>
  <si>
    <t>Irene House, 218 Balham High Road</t>
  </si>
  <si>
    <t>Determination as to whether prior approval is required for change of use from offices (Class B1a) to residential (Class C3) to provide 58 studios flats and 19 x 1-bedroom flats.</t>
  </si>
  <si>
    <t>2019/4852</t>
  </si>
  <si>
    <t>100 Lucien Road</t>
  </si>
  <si>
    <t>Demolition of existing garage and erection of two-storey 1-bedroom house with associated bin storage.</t>
  </si>
  <si>
    <t>2017/6287</t>
  </si>
  <si>
    <t>26 Ouseley Road</t>
  </si>
  <si>
    <t>Change of use of property from three flats into single residential dwelling</t>
  </si>
  <si>
    <t>2018/6137</t>
  </si>
  <si>
    <t>25 Mexfield Road</t>
  </si>
  <si>
    <t>Alterations including erection of single storey rear/side extension in connection with change of use of property from House of Multiple Occupation (Sui Generis) to create 2 x 2-bedroom and 1 x 1-bedroom flats (Class C3).</t>
  </si>
  <si>
    <t>2017/6510</t>
  </si>
  <si>
    <t>Land between 107-109, 107-109 Garratt Lane</t>
  </si>
  <si>
    <t>Erection and excavation of a two-storey (plus basement) 3-bedroom detached house with associated cycle and refuse storage and lightwell courtyard to the rear.</t>
  </si>
  <si>
    <t>2017/6846</t>
  </si>
  <si>
    <t>Garages north of Fordyce House, Colson way</t>
  </si>
  <si>
    <t>Demolition of 2 rows of existing lock-up garages and construction of a three-storey building designed specifically for wheelchair and ambulant users (8 no. 1-bedroom residential units). Landscaping and street improvement works with the construction of a new refuse store for Fordyce House.</t>
  </si>
  <si>
    <t>2017/6854</t>
  </si>
  <si>
    <t>24 Bellevue Road</t>
  </si>
  <si>
    <t>Excavation to create a basement including formation of front and rear lightwells, erection of two-storey rear extension, erection of outbuilding, erection of dormer roof extensions to front and rear roof slopes in connection with conversion of property to 2 x 3-bedroom, 1 x 2-bedroom and 1 x 1-bedroom flats with associated cycle and refuse storage (Design and Access Statement received).</t>
  </si>
  <si>
    <t>2018/4926</t>
  </si>
  <si>
    <t>30 Bramcote Road</t>
  </si>
  <si>
    <t>Demolition of existing building and erection of a two-storey (plus basement and roof levels) 5-bedroom detached house.</t>
  </si>
  <si>
    <t>2018/4663</t>
  </si>
  <si>
    <t>32 Ribblesdale Road</t>
  </si>
  <si>
    <t>Alterations in connection with the conversion of the property into 1 x 1-bedroom, 1 x 2-bedroom and 1 x 3-bedroom flats.</t>
  </si>
  <si>
    <t>2018/0131</t>
  </si>
  <si>
    <t>30 Oakhill Road</t>
  </si>
  <si>
    <t>Enlargement of existing rear lightwell in connection with conversion of basement into1 x 2-bedroom flat</t>
  </si>
  <si>
    <t>2018/0116</t>
  </si>
  <si>
    <t>85 Sellincourt Road</t>
  </si>
  <si>
    <t>Alterations including erection of mansard roof extension to main rear roof and extension above part of two-storey back addition; formation of roof terrace above two-storey back addition with 1.7m high screen surround in connection with creation of a self-contained unit at roof level.</t>
  </si>
  <si>
    <t>2018/0219</t>
  </si>
  <si>
    <t>47-51 Lavender Hill</t>
  </si>
  <si>
    <t>Erection of a new storey of accommodation to main roof, extensions above back additions, formation of roof terraces above back additions with obscured glazed screen surround in connection with creation of 2 x 1-bedroom and a studio flats.</t>
  </si>
  <si>
    <t>2017/5798</t>
  </si>
  <si>
    <t>Land rear of and 28 Garratt Terrace, 958 Garratt Lane</t>
  </si>
  <si>
    <t>Erection of a 2-bedroom house with a single-storey rear extension.</t>
  </si>
  <si>
    <t>2018/0359</t>
  </si>
  <si>
    <t>125 Lower Richmond Road</t>
  </si>
  <si>
    <t>Alterations including excavation to enlarge basement including formation of rear/side lightwell with grille over; erection of part single-part two-storey rear/side extension and creation of roof terraces at first and second floor levels in connection with creation of 2 x 2-bedroom and 1 x 1-bedroom flats.  Change of use of ground floor to retail/office (Class A1/A2) and installation of new shopfront.</t>
  </si>
  <si>
    <t>2018/2613</t>
  </si>
  <si>
    <t>Non-material amendment to planning permission dated 18/04/2018 ref 2018/0359 (Alterations including excavation to enlarge basement including formation of rear/side lightwell with grille over; erection of part single-part two-storey rear/side extension and creation of roof terraces at first and second floor levels in connection with creation of 2 x 2-bedroom and 1 x 1-bedroom flats.  Change of use of ground floor to retail/office (Class A1/A2) and installation of new shopfront.) to allow new entrance door position on the flank elevation, alterations to reconfigure unit 3 from a two to three bedroom unit, and relocation of the bin store for units 1 &amp; 2 on along the flank elevation.</t>
  </si>
  <si>
    <t>2018/0376</t>
  </si>
  <si>
    <t>231 Putney Bridge Road</t>
  </si>
  <si>
    <t>CoU from A4 to C3</t>
  </si>
  <si>
    <t>Alterations including erection of front and rear mansard extension to main roof and conversion of upper floors to 1 x 1-bedroom and 5 x 2-bedroom flats with roof terraces at all upper floors; refuse and cycle storage accessed from the rear.</t>
  </si>
  <si>
    <t>2019/2840</t>
  </si>
  <si>
    <t>58 Rogers Road</t>
  </si>
  <si>
    <t>Demolition of existing two storey side extension and single storey outbuilding and erection of dormer extension to rear roofslope and erection of single storey rear extension; replacement two storey side extension in connection with formation of 1 x 1-bedroom dwellinghouse and erection of replacement single storey outbuilding and cycle storage in rear garden and waste store in front garden.</t>
  </si>
  <si>
    <t>2019/3481</t>
  </si>
  <si>
    <t>116 Mitcham Lane</t>
  </si>
  <si>
    <t>Alterations including erection of mansard roof extension to main rear roof (with French doors and safety railings) and extension above part of two-storey back addition; formation of roof terrace above two-storey back addition with 1.7m high screen in connection with creation of a 1 x 1-bedroom flat.</t>
  </si>
  <si>
    <t>2019/4792</t>
  </si>
  <si>
    <t>Determination as to whether prior approval is required for change of use from retail (Class A1) to 2 x 2 bedroom flats and 1 x 1-bedroom flat (Class C3) at ground and first floor levels with associated external alterations to rear.</t>
  </si>
  <si>
    <t>2018/0576</t>
  </si>
  <si>
    <t>123 Roehampton Vale</t>
  </si>
  <si>
    <t>Erection of a side and rear roof extension; erection of a part-single, part-two-storey rear extension; conversion of property to 1 x 1-bedroom, 2 x 2-bedroom and 1 x 3-bedroom flats.</t>
  </si>
  <si>
    <t>2019/1043</t>
  </si>
  <si>
    <t>61 Longfield Street</t>
  </si>
  <si>
    <t>Demolition of existing dwelling house and erection of a three-storey (plus basement) building to provide 2 x 1-bedroom and 1 x 3-bedroom flats(Use Class C3) together with associated landscaping, cycle and refuse storage.</t>
  </si>
  <si>
    <t>2018/0272</t>
  </si>
  <si>
    <t>Pocklington Court, 74 Alton Road</t>
  </si>
  <si>
    <t>Building A</t>
  </si>
  <si>
    <t>Demolition of existing buildings and erection of part 2, 5 and 6 storey buildings comprising 41 No. Class C3 Extra Care units and 54 No. Class C3 intermediate affordable units; landscaping and new public realm; energy centre; new basement/lower ground car park accessed off Alton Road (from existing access point); and a new vehicular access off Alton Road into site.</t>
  </si>
  <si>
    <t>Building B</t>
  </si>
  <si>
    <t>Building C</t>
  </si>
  <si>
    <t>2018/0813</t>
  </si>
  <si>
    <t>Unit 19 Ransomes Dock Business Centre, 35-37 Parkgate Road (Ransomes Dock Business Centre)</t>
  </si>
  <si>
    <t>Determination as to whether prior approval is required for change of use of office at first floor level (Use Class B1(a)) to residential (Use Class C3) to provide 1 x studio flat.</t>
  </si>
  <si>
    <t>2018/1606</t>
  </si>
  <si>
    <t>Unit 16 Ransomes Dock Business Centre, 35-37 Parkgate Road (Ransomes Dock Business Centre)</t>
  </si>
  <si>
    <t>Determination as to whether prior approval is required for change of use of office Class B1a) to residential (Class C3) to provide 2 x 1-bedroom flats.</t>
  </si>
  <si>
    <t>2018/0815</t>
  </si>
  <si>
    <t>Unit 15 Ransomes Dock Business Centre, 35-37 Parkgate Road (Ransomes Dock Business Centre)</t>
  </si>
  <si>
    <t>Determination as to whether prior approval is required for change of use of office at first floor level (UseClass B1(a)) to residential (Use Class C3) to provide 1 x 2 bedroom flat.</t>
  </si>
  <si>
    <t>2018/0816</t>
  </si>
  <si>
    <t>Unit 11-12 Ransomes Dock Business Centre, 35-37 Parkgate Road (Ransomes Dock Business Centre)</t>
  </si>
  <si>
    <t>Determination as to whether prior approval is required for change of use of office at second floor level (Use Class B1(a) to residential (Use Class 3) to provide 1 x 2 bedroom flat.</t>
  </si>
  <si>
    <t>2018/0817</t>
  </si>
  <si>
    <t>Unit 7-10 Ransomes Dock Business Centre, 35-37 Parkgate Road (Ransomes Dock Business Centre)</t>
  </si>
  <si>
    <t>Determination as to whether prior approval is required for change of use of office at first floor level  (Use Class B1(a)) to residential (Use Class C3) to provide 1 x 1 bedroom flat and 1 x 2 bedroom flat.</t>
  </si>
  <si>
    <t>2018/1079</t>
  </si>
  <si>
    <t>Land east of 57, 57 Putney Bridge Road</t>
  </si>
  <si>
    <t>Erection of five storey building to provide 5 x studio flats with associated cycle and bin storage.</t>
  </si>
  <si>
    <t>2017/6139</t>
  </si>
  <si>
    <t>Garages south of 156-232, 156-232 Whitlock Drive</t>
  </si>
  <si>
    <t>Demolition of existing garages and erection of three-storey (plus basement) building to provide 2x 3-bedroom flats, 6x 2-bedroom flats and 1x 1-bedroom flat with associated landscaping, underground parking, bin and cycle storage.</t>
  </si>
  <si>
    <t>2018/1104</t>
  </si>
  <si>
    <t>52 Northcote Road</t>
  </si>
  <si>
    <t>Alterations including erection of rear roof extension to main rear roof, erection of rear extensions at first and second floor level including formation of roof terrace with 1.7m high screen surrounds at first and second floors in connection with the conversion of the upper floor flat into 2 x 2-bedroom flats. Provision of bin/cycle storage.</t>
  </si>
  <si>
    <t>2018/5553</t>
  </si>
  <si>
    <t>Kersfield Estate, Lytton Grove</t>
  </si>
  <si>
    <t>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t>
  </si>
  <si>
    <t>2019/2340</t>
  </si>
  <si>
    <t>24 Romberg Road</t>
  </si>
  <si>
    <t>Demolition of single storey rear extension and garage, and erection of 1 x 1-bedroom two-storey dwellinghouse with associated refuse and cycle storage.</t>
  </si>
  <si>
    <t>2019/5030</t>
  </si>
  <si>
    <t>34 Putney High Street</t>
  </si>
  <si>
    <t>Alterations in connection with change of use of 3-bedroom flat (Class C3) to 6-bedroom residence of multiple occupation (Sui Generis.)</t>
  </si>
  <si>
    <t>2018/1377</t>
  </si>
  <si>
    <t>217 Garratt Lane</t>
  </si>
  <si>
    <t>Alterations including erection of part single/part two storey rear/side extension,  in connection with use of front part of ground floor as a shop and the remainder as, 1 x 2-bedroom and 2 x 1-bedroom flats with rear first floor terrace.</t>
  </si>
  <si>
    <t>CoU+</t>
  </si>
  <si>
    <t>2019/3877</t>
  </si>
  <si>
    <t>146-148 Battersea High Street</t>
  </si>
  <si>
    <t>Alterations including erection of single storey rear and two-storey rear/side extensions in connection with change of use of ground floor rear from retail (Use Class Sui Generis) to residential (Use Class C3) to provide 1 x 3-bedroom and 1 x 1-bedroom flats; installation of replacement shopfronts.</t>
  </si>
  <si>
    <t>2018/1564</t>
  </si>
  <si>
    <t>4 Worfield Street</t>
  </si>
  <si>
    <t>Alterations including erection of a single storey side extension in connection with the change of use from the existing 2 x two-bedroom self-contained flats to a single dwellinghouse.</t>
  </si>
  <si>
    <t>2018/1719</t>
  </si>
  <si>
    <t>42-43 Carlton Drive</t>
  </si>
  <si>
    <t>Erection of a three-storey building to provide 3x 1-bedroom flats (with French doors and safety railings), associated landscaping, cycle storage and refuse storage.</t>
  </si>
  <si>
    <t>2018/2218</t>
  </si>
  <si>
    <t>Post Office, 355 Upper Richmond Road</t>
  </si>
  <si>
    <t>Alterations including erection of roof extension to main rear roof, erection of single storey rear extensions and formation of roof terrace over with safety screen surround in connection with use of rear of ground floor and upper floors to provide 1 x 3-bedroom flat.</t>
  </si>
  <si>
    <t>2019/2186</t>
  </si>
  <si>
    <t>1 East Hill</t>
  </si>
  <si>
    <t>New 4 storey building with 2 new commercial units (Class A1, A2, A3 and B1) and 8 x residential self-contained flats (Class C3), comprising 2 x 1 bed units; and 5 x 2 bed units and 1 x 3 bed units.</t>
  </si>
  <si>
    <t>2018/2554</t>
  </si>
  <si>
    <t>Vehicle Repair Workshop Rear of, 7-9 Aldis Street</t>
  </si>
  <si>
    <t>Demolition of existing building and erection of two x 2-bedroom single storey houses with associated cycle and refuse storage.</t>
  </si>
  <si>
    <t>2018/2649</t>
  </si>
  <si>
    <t>2a Balham Grove</t>
  </si>
  <si>
    <t>Alterations including erection of extension at second floor level in association with creation of 1 x studio flat.</t>
  </si>
  <si>
    <t>2019/5419</t>
  </si>
  <si>
    <t>69 Balham High Road</t>
  </si>
  <si>
    <t>Alterations including erection of two storey extension above the back addition with roof terrace and glazed safety surround above in connection with creation of 1 x 1-bedroom flat. Provision of refuse and bicycle storage in the rear yard.</t>
  </si>
  <si>
    <t>2018/3140</t>
  </si>
  <si>
    <t>26 Brookwood Road</t>
  </si>
  <si>
    <t>Change of use from hairdresser (Class A1)  to Residential (Class C3) to provide 1 x1 bedroom flat. Alterations to include installation of windows to front elevation and erection of front boundary wall, railings and gate.</t>
  </si>
  <si>
    <t>2018/3147</t>
  </si>
  <si>
    <t>81a Albert Bridge Road</t>
  </si>
  <si>
    <t>Alterations including the erection of mansard roof extension to main rear roof (with french doors and safety railings); alterations to the second floor balcony to the front elevation. Amalgamation of first, second and third floor maisonettes into 1 x 3-bedroom maisonette.</t>
  </si>
  <si>
    <t>2019/1556</t>
  </si>
  <si>
    <t>824 Garratt Lane</t>
  </si>
  <si>
    <t>Alterations including erection of mansard roof extension to main rear roof, extension over two-storey back addition and part single/part two storey rear extension in connection with change of use of rear of ground floor from laundrette (Sui Generis) to residential (Class C3) and creation of 3 x 1-bedroom flats.</t>
  </si>
  <si>
    <t>CoU from SG</t>
  </si>
  <si>
    <t>2018/1510</t>
  </si>
  <si>
    <t>Apts 2 &amp; 3 Centurian Building, 376 Queenstown Road (Chelsea Bridge Wharf)</t>
  </si>
  <si>
    <t>Conversion (without extension) of apartments 2 &amp; 3 Centurion building to form one self contained residential dwelling.</t>
  </si>
  <si>
    <t>2018/3383</t>
  </si>
  <si>
    <t>19a St Anns Park Road</t>
  </si>
  <si>
    <t>Demolition of existing building and erection of a two-storey (plus basement) 3-bedroom detached house including associated landscaping, cycle and refuse storage.</t>
  </si>
  <si>
    <t>2018/5690</t>
  </si>
  <si>
    <t>64 Tooting High Street</t>
  </si>
  <si>
    <t>Alterations including  erection of rear extensions at first and second floor level; creation of two roof terraces to the rear at first and second floor levels, erection of external staircase to the side elevation; provision of a waste store; all in connection with conversion of 1 x 2 bedroom flat into 2 x 2 bedroom flats.</t>
  </si>
  <si>
    <t>2018/4022</t>
  </si>
  <si>
    <t>13 Rookstone Road</t>
  </si>
  <si>
    <t>Erection of mansard roof extension to main rear roof and extension above two-storey back addition; erection of single storey rear/side extension in connection with conversion of property from 2 x 2 bedroom flats to 1 x 2 bedroom and 2 x 1 bedroom flats.</t>
  </si>
  <si>
    <t>2018/4165</t>
  </si>
  <si>
    <t>One Westbury Parade, Balham Hill</t>
  </si>
  <si>
    <t>Determination as to whether prior approval is required for change of use from retail (Class A1) to single dwelling house (Class C3).</t>
  </si>
  <si>
    <t>2018/4031</t>
  </si>
  <si>
    <t>1 Chartfield Square</t>
  </si>
  <si>
    <t>Erection of two-storey (ground and basement levels) house fronting Chartfield Square.</t>
  </si>
  <si>
    <t>2019/2953</t>
  </si>
  <si>
    <t>Ground Floor, 64 Eastwood Street</t>
  </si>
  <si>
    <t>Alterations including erection of mansard roof extension to main rear roof in connection with change of use of building from restaurant (Class A3) and residential flat above to residential (Class C3) to create 2 x 2-bedroom flats.</t>
  </si>
  <si>
    <t>2018/4073</t>
  </si>
  <si>
    <t>162 Trevelyan Road</t>
  </si>
  <si>
    <t>Demolition of the existing  property. Erection of a two-storey (plus basement and roof levels) 4-bedroom terraced house.</t>
  </si>
  <si>
    <t>2018/3776</t>
  </si>
  <si>
    <t>York Road Business Centre, 55-59 Lombard Road</t>
  </si>
  <si>
    <t>Core 1</t>
  </si>
  <si>
    <t>Demolition of the existing buildings and the erection of a new 9177 sq m 6 storey self-storage facility, including artists' studios (293 sq m) and flexible office space (413 sq m), and a 4/6/8/13/20 storey development comprising 168 residential units with ground floor retail uses (1007 sq m) and 1st and 2nd floor offices (487 sq m) and formation of basement parking (incl. 64 car parking spaces), cycle parking (344 spaces) and surface level parking, loading, servicing and landscaped areas including formation of new plaza on Lombard Road.</t>
  </si>
  <si>
    <t>10.9</t>
  </si>
  <si>
    <t>Core 2</t>
  </si>
  <si>
    <t>Core 3</t>
  </si>
  <si>
    <t>2019/1908</t>
  </si>
  <si>
    <t>17-19 St Anns Park Road</t>
  </si>
  <si>
    <t>Alterations including erection of replacement main roof, raising the ridge by 1.1m  with dormers to all elevations; erection of two-storey front extension with gabled roof and first floor level balconies to front; replacement fenestration throughout in connection with use as 2 x 1-bed and 3 x 2-bed flats.</t>
  </si>
  <si>
    <t>2018/4477</t>
  </si>
  <si>
    <t>1-3 Byrne Road</t>
  </si>
  <si>
    <t>1 Byrne Road</t>
  </si>
  <si>
    <t>Alterations including the erection of single-storey lower ground floor rear extension; and front and rear lightwells; and reconfiguration of front entrances; in connection with conversion of the lower ground floor into 2 x 2-bedroom flats.</t>
  </si>
  <si>
    <t>3 Byrne Road</t>
  </si>
  <si>
    <t>2018/4665</t>
  </si>
  <si>
    <t>190a Tooting High Street</t>
  </si>
  <si>
    <t>Alterations including erection of mansard extension over main roof to create additional storey of accommodation; erection of first floor rear extensions and roof extension over two-storey back addition in connection with conversion of property into 1 x 1-bedroom and 1 x 3- bedroom flats.</t>
  </si>
  <si>
    <t>2019/2259</t>
  </si>
  <si>
    <t>393 Upper Richmond Road</t>
  </si>
  <si>
    <t>Alterations including hip to gable roof extension, erection of mansard roof extension to main rear roof and roof extension over part of two-storey back addition, together with alterations to existing shopfront to insert a door to provide access to the upper floors. Works in connection with proposed creation of 2 x studio flats on upper floors, together with retained ancillary floorspace for ground floor commercial unit. (Revised description following amendments)</t>
  </si>
  <si>
    <t>2018/5025</t>
  </si>
  <si>
    <t>111 Elspeth Road</t>
  </si>
  <si>
    <t>Change of use from dwelling house (Class C3) to 10 person House in Multiple Occupation (Sui Generis).</t>
  </si>
  <si>
    <t>2018/4850</t>
  </si>
  <si>
    <t>Flats 26 &amp; 27 Waterside Point, 2 Anhalt Road</t>
  </si>
  <si>
    <t>Conversion of existing 1 x 2 bed and 1 x 3 bed second floor self-contained flats into one x 6 bedroom second floor self-contained flat.</t>
  </si>
  <si>
    <t>2019/5224</t>
  </si>
  <si>
    <t>842 Garratt Lane</t>
  </si>
  <si>
    <t>Alterations including erection of side and rear mansard extension to main rear roof and over back addition. Erection of part single, part two-storey rear/side extension in connection with conversion of property into 3 x studio and 1 x 1-bedroom flats. Change of use of part of ground floor from mixed A2/C3 to part A2 and part C3</t>
  </si>
  <si>
    <t>2018/5454</t>
  </si>
  <si>
    <t>1 Granville Road</t>
  </si>
  <si>
    <t>Determination as to whether prior approval is required for change of use from retail (Class A1) to 1 x 1 bedroom flat (Class C3).</t>
  </si>
  <si>
    <t>2018/4919</t>
  </si>
  <si>
    <t>12 St Margarets Crescent</t>
  </si>
  <si>
    <t>Demolition of the existing house and and erection of replacement three-storey (plus basement) 7-bedroom house  with associated landscaping and boundary treatment, bin storage and provision for parking for two cars.</t>
  </si>
  <si>
    <t>2018/5380</t>
  </si>
  <si>
    <t>42 &amp; 44b Santos Road</t>
  </si>
  <si>
    <t>Alterations in connection with use of two flats as one single dwelling including erection of part single/part two-storey side extension.</t>
  </si>
  <si>
    <t>2018/5521</t>
  </si>
  <si>
    <t>89 Ramsden Road</t>
  </si>
  <si>
    <t>Alterations in connection with conversion of 5 self-contained flats into one single family dwellinghouse.</t>
  </si>
  <si>
    <t>2018/5309</t>
  </si>
  <si>
    <t>121 Roehampton Vale</t>
  </si>
  <si>
    <t>Alterations including erection of main roof extension including rear and side dormers; alterations to front elevation in connection with use of garage as additional habitable accommodation and erection of part single part two-storey rear/side extension in connection with conversion of property into 2 x 3-bedroom and 1 x 1-bedroom flats; refuse and cycle stores in front garden.</t>
  </si>
  <si>
    <t>2019/1473</t>
  </si>
  <si>
    <t>40 Atheldene Road (and 45 Farlton Road)</t>
  </si>
  <si>
    <t>FIRST FLOOR</t>
  </si>
  <si>
    <t>Submission of technical details pursuant to permission in principle ref. 2018/5974 dated 22/01/2019 (Demolition of existing former vicarage, attached residential property and detached garages and the erection of a three storey building to provide 4x 2-bedroom and 5x 3-bedroom flats with terraces to all elevations, cycle and refuse storage together with a disabled parking space).</t>
  </si>
  <si>
    <t>TDC</t>
  </si>
  <si>
    <t>GROUND FLOOR</t>
  </si>
  <si>
    <t>SECOND FLOOR</t>
  </si>
  <si>
    <t>2018/5918</t>
  </si>
  <si>
    <t>Rear of, 631 Garratt Lane</t>
  </si>
  <si>
    <t>Erection of two storey 1-bedroom house with first floor terraces with 1.7m high screen and access from Quinton Street.</t>
  </si>
  <si>
    <t>2018/5922</t>
  </si>
  <si>
    <t>57-63 Tooting High Street</t>
  </si>
  <si>
    <t>Alterations including erection of two-storey rear extension at second floor level with mansard roof and installation of two dormer windows in front roofslope in connection with creation of additional 1 x 1-bedroom and 1 x 2-bedroom flats.</t>
  </si>
  <si>
    <t>2019/1697</t>
  </si>
  <si>
    <t>Alterations and extensions including erection of four storey rear extension (with three balconies); two storey side extension over the flat roof of the existing two storey back addition (with second floor roof terrace); conversions and changes to the layouts of the existing 7 flats (1 x 4 bedroom, 4 x 3 bedroom, 1 x 2 bedroom, 1 x 1 bedroom) in order to create 11 flats (8 x 2 bedroom, 1 x 1 bedroom and 2 x studio flats (net increase of 4 flats)); and associated waste and cycle storage.</t>
  </si>
  <si>
    <t>2018/5898</t>
  </si>
  <si>
    <t>6 Ravenslea Road</t>
  </si>
  <si>
    <t>Alterations in connection with conversion of existing flat into 1x 3-bedroom flat and 1x 2-bedroom flat.</t>
  </si>
  <si>
    <t>2018/5833</t>
  </si>
  <si>
    <t>The Northcote Library, Chatham Hall and garages west of Chatham Hall, 155e Northcote Road</t>
  </si>
  <si>
    <t>Chatham Hall</t>
  </si>
  <si>
    <t>The demolition of the two storey library, the single storey plus two storey roof Chatham Hall and the 8 vehicular garages (single storey) and the erection of a four storey building plus the excavation of a basement at the existing library site comprising two commercial units (Use Class A1) split over basement and ground floor levels (approximately 388sq.m) and nine (9) residential units at upper floor levels; the erection of a part one/two/three storey library (Use Class D1) (approximately 848sq.m) fronting onto Northcote Road; the erection of a part two/ three storey building behind the proposed library comprising a community hall (Use Class D1) at ground floor (approximately 301sq.m) and seven (7) residential flats at upper floor levels; 2 car parking spaces and 20 cycle parking spaces; and associated landscaping and infrastructure works.</t>
  </si>
  <si>
    <t>Northcote Library Site</t>
  </si>
  <si>
    <t>2019/2980</t>
  </si>
  <si>
    <t>80 Moyser Road</t>
  </si>
  <si>
    <t>Alterations to the shopfront and rear elevation at ground floor level in connection with change of use of part rear ground floor from retail (Class A1) to 1 x 1 studio flat (Class C3).</t>
  </si>
  <si>
    <t>2019/4024</t>
  </si>
  <si>
    <t>92 East Hill</t>
  </si>
  <si>
    <t>Alterations including erection of a rear mansard roof extension to main rear roof; Removal of chimney stack and formation of a rear roof terrace with brick surround above 3 storey rear addition; Removal of rear access staircase to upper ground floor in connection with change of use of first and second floors from office (Class A2) to residential (Class C3) to provide 1 x 3-bed flat.</t>
  </si>
  <si>
    <t>2019/0370</t>
  </si>
  <si>
    <t>190-194 St Anns Hill</t>
  </si>
  <si>
    <t>Demolition of parts of the existing building, including the retention of the existing front and rear facades; erection of a three-storey building (plus basement floor and roof accommodation) with front and rear roof terraces at first and second floor levels; development to include 4 x 2-bedroom, 5 x 1-bedroom flats (Class C3) and 616 sqm of light industrial floorspace (Class B1c).</t>
  </si>
  <si>
    <t>2019/0452</t>
  </si>
  <si>
    <t>117 Fernlea Road</t>
  </si>
  <si>
    <t>Alterations including erection of dormer roof extension to main rear roof and formation of roof terrace over part of three-storey back addition, erection of single storey rear/side extension, single storey side extension and replacement two storey rear extension at first floor level in connection with conversion of building into 1 x 4-bedroom, 1 x 2-bedroom and 1 x 1-bedroom flats.</t>
  </si>
  <si>
    <t>2019/0772</t>
  </si>
  <si>
    <t>33-35 St Johns Road</t>
  </si>
  <si>
    <t>Remodelling and extension of main rear elevation with conversion of existing flats into 4 x 1-bedroom flats and erection of a two-bedroom two-storey dwelling unit over existing rear ground floor roof level.</t>
  </si>
  <si>
    <t>2019/0899</t>
  </si>
  <si>
    <t>55 Gayville Road</t>
  </si>
  <si>
    <t>Alterations including erection of a mansard roof extension to main rear roof, installation of glazed doors (with safety railing) at first floor level and erection of a single storey rear/side extension in connection with conversion to 1 x 2-bed and 1 x 3-bed flats.</t>
  </si>
  <si>
    <t>2019/0922</t>
  </si>
  <si>
    <t>Land rear of, 26 Roehampton High Street</t>
  </si>
  <si>
    <t>Erection of part single/part two-storey 1-bedroom house with associated boundary treatment, cycle and refuse storage.</t>
  </si>
  <si>
    <t>2019/2504</t>
  </si>
  <si>
    <t>91 St Johns Road</t>
  </si>
  <si>
    <t>Alterations including erection of a two storey extension (top floor mansard roof); new shopfront; in connection with the change of use of part of the ground floor and the whole of the first floor from retail (Class A1) to create a 1 x 1-bedroom flat (Class C3).</t>
  </si>
  <si>
    <t>2018/3089</t>
  </si>
  <si>
    <t>Garages east of, 147 Whitlock Drive</t>
  </si>
  <si>
    <t>Erection of 3 x  2-bedroom houses to a shell and core stage as part of a pilot known as the Resident Custom Housebuilding Scheme</t>
  </si>
  <si>
    <t>2018/5605</t>
  </si>
  <si>
    <t>66A North Side Wandsworth Common</t>
  </si>
  <si>
    <t>Alterations in connection with conversion of basement into 1-bedroom flat.</t>
  </si>
  <si>
    <t>j-</t>
  </si>
  <si>
    <t>2018/2174</t>
  </si>
  <si>
    <t>42-43 Halston Close</t>
  </si>
  <si>
    <t>Alterations including the reconfiguration of three existing lower ground floor flats ( 2 lawful and 1 unlawful ) within no. 42 Halston Close to create two studio flats accessed by the creation of a new external entrance to the side of No.42 Halston Close. The removal of internal staircases at No.42 Halston Close to enlarge existing lawful ground floor studio flat 2C. The enlargement of the existing lawful first floor flat 3A across both Nos.42 and 43 to form a studio flat, accessed by way of a newly created staircase and street facing private entrance. Conversion of the unlawful flats at lower ground floor (3 units) and ground floor (3 units) at No.43 to create 1 x three-bedroom five person flat at lower ground floor and 1 x one-bedroom two person flat at ground floor. The erection of a single storey rear extension at lower ground floor level.</t>
  </si>
  <si>
    <t>2019/1830</t>
  </si>
  <si>
    <t>784 Garratt Lane</t>
  </si>
  <si>
    <t>Alterations including erection of mansard roof extension to main rear roof (with french doors and safety railings); erection of roof extension and formation of roof terrace with 1.7m glazed screen surround over two storey back addition; in connection with the conversion of the upper floor flat into 2 x 1-bedroom flats.</t>
  </si>
  <si>
    <t>2019/1680</t>
  </si>
  <si>
    <t>40 Lavender Hill</t>
  </si>
  <si>
    <t>Alterations in connection with change of use of hot food takeaway (Class A5) to retail (Class A1) and residential (Class C3) to provide 1 x 1-bedroom flat.</t>
  </si>
  <si>
    <t>2019/2233</t>
  </si>
  <si>
    <t>43 Sisters Avenue</t>
  </si>
  <si>
    <t>Creation of a rear courtyard in connection with conversion from a single dwelling to 3 x 3-bed and 1 x 1-bed flats, with associated cycle and refuse storage to front garden</t>
  </si>
  <si>
    <t>2019/1706</t>
  </si>
  <si>
    <t>148 Earlsfield Road</t>
  </si>
  <si>
    <t>Alterations including excavation to create basement in connection with creation of 1 x 1-bedroom flat.</t>
  </si>
  <si>
    <t>2019/1481</t>
  </si>
  <si>
    <t>10-15 The Boulevard, Balham High Road</t>
  </si>
  <si>
    <t>Alterations including erection of mansard roof extensions to rear roof slope in connection with formation of 1 x 2-bedroom and 1 x 1-bedroom flats.</t>
  </si>
  <si>
    <t>2019/2033</t>
  </si>
  <si>
    <t>11 Barmouth Road</t>
  </si>
  <si>
    <t>Alterations including changes to front elevation fenestration and erection of single-storey rear/side extension in connection with change of use from office (Class B1) to residential (Class C3) to create 1 x 2-bedroom flat.</t>
  </si>
  <si>
    <t>2019/1643</t>
  </si>
  <si>
    <t>Ground Floor 2 Duchess Court, 2 Dinsmore Road</t>
  </si>
  <si>
    <t>Determination as to whether prior approval is required for change of use of office at ground floor level from office (Class B1a) to residential (Class C3) to provide 1 x 2-bedroom flat.</t>
  </si>
  <si>
    <t>2019/1924</t>
  </si>
  <si>
    <t>97 East Hill</t>
  </si>
  <si>
    <t>Alterations including erection of part single, part three-storey rear/side extension, excavation to enlarge basement, erection of roof extension to main rear roof,  in connection with retention of retail unit in part of ground and basement levels and provision of 1 x 1-bedroom and 2 x 2-bedroom flats.</t>
  </si>
  <si>
    <t>2019/2018</t>
  </si>
  <si>
    <t>737 Garratt Lane</t>
  </si>
  <si>
    <t>Alterations including installation of bay windows and French doors to the south elevation of the building in connection with change of use from office (Class B1) to residential (Class C3) to create 2 x 1-bedroom and 1 x 2-bedroom flats with associated refuse and cycle storage.</t>
  </si>
  <si>
    <t>2019/1659</t>
  </si>
  <si>
    <t>173 Lavender Hill</t>
  </si>
  <si>
    <t>Alterations including erection of front and rear mansard extension to main rear roof and extension above existing three storey rear addition; alterations and replacement of windows to rear and side of back addition and replacement of shopfront in connection with change of use from Royal British Legion clubhouse (Class D1) to community use unit (Class D1) at basement and ground floors and creation of 2 x 2-bedroom and 1 x 1-bedroom flats.</t>
  </si>
  <si>
    <t>2019/1818</t>
  </si>
  <si>
    <t>197-199 Merton Road</t>
  </si>
  <si>
    <t>Alterations including erection of two storey rear extension in connection with creation of 2 x 1-bedroom flats with access from Coliston Passage.</t>
  </si>
  <si>
    <t>2019/1945</t>
  </si>
  <si>
    <t>Burdwood Court, 46 Putney Hill</t>
  </si>
  <si>
    <t>Erection of additional storey of at fourth floor level to provide 4 x 1-bedroom flats including two roof terraces;  installation of replacement fenestration to all elevations.</t>
  </si>
  <si>
    <t>2019/1933</t>
  </si>
  <si>
    <t>43 Queenstown Road</t>
  </si>
  <si>
    <t>Alterations and erection of a part single, part two-storey rear addition with change of use of part of the ground floor unit from retail (Class A1) to form a live/work unit (Sui Generis). Addtional window to the existing first floor flat (side elevation facing Stanley Grove ). (Amended development description and site address).</t>
  </si>
  <si>
    <t>2019/2137</t>
  </si>
  <si>
    <t>54a Waldron Road</t>
  </si>
  <si>
    <t>Alterations including erection of mansard roof extension to main rear roof, erection of roof extension and formation of roof terrace with 1.8m glazed screen surround over two storey back addition in connection with creation of 1-bedroom flat.</t>
  </si>
  <si>
    <t>2019/1757</t>
  </si>
  <si>
    <t>Terrapin Court, Terrapin Road</t>
  </si>
  <si>
    <t>Alterations including erection of roof extension and roof terraces to provide 2 x 2-bedroom flats within extended roof. Provision of associated refuse and cycle storage for existing and proposed dwellings.</t>
  </si>
  <si>
    <t>2019/2585</t>
  </si>
  <si>
    <t>Wildcroft Manor, Wildcroft Road</t>
  </si>
  <si>
    <t>Alterations including erection of front and rear dormer roof extensions to all blocks to provide to 6 x 2-bedroom and 3 x 3-bedroom flats; 18 cycle storage spaces .</t>
  </si>
  <si>
    <t>2019/2583</t>
  </si>
  <si>
    <t>245a Wimbledon Park Road</t>
  </si>
  <si>
    <t>Determination as to whether prior approval is required for change of use of lower ground floor from Estate agents(Class A2) to 1 x 1-bedroom flat (Class C3).</t>
  </si>
  <si>
    <t>2019/2251</t>
  </si>
  <si>
    <t>22 Carlton Drive</t>
  </si>
  <si>
    <t>Existing</t>
  </si>
  <si>
    <t>Alterations including erection of pitch roof to first floor front extension in connection with conversion of property 1 x1 bedroom flat, 6 x2 bedroom flats and 1 x3 bedroom flat. Erection of front boundary wall to 1.8m high</t>
  </si>
  <si>
    <t>AU</t>
  </si>
  <si>
    <t>Proposed</t>
  </si>
  <si>
    <t>2019/2365</t>
  </si>
  <si>
    <t>rear of, 10-12 Replingham Road</t>
  </si>
  <si>
    <t>Alterations in connection with change of use from offices (Class B1) to residential (Class C3) to provide two storey 1-bedroom house.</t>
  </si>
  <si>
    <t>2019/2933</t>
  </si>
  <si>
    <t>22 Westhorpe Road</t>
  </si>
  <si>
    <t>Alterations in connection use as a single dwellinghouse.</t>
  </si>
  <si>
    <t>2019/2977</t>
  </si>
  <si>
    <t>180 Balham High Road</t>
  </si>
  <si>
    <t>Alterations including part demolition of existing building and erection of part four, part five storey building to provide retail (Class A1) at basement and ground floor levels and residential (Class C3) above to provide 4 x 1 bedroom and 1 x 2 bedroom flats with associated balconies. Provision of cycle and refuse storages.</t>
  </si>
  <si>
    <t>2019/5582</t>
  </si>
  <si>
    <t>916 Garratt Lane</t>
  </si>
  <si>
    <t>Demolition of existing buildings and erection of single-storey building plus basement to form 1x2-bedroom flat</t>
  </si>
  <si>
    <t>2019/1993</t>
  </si>
  <si>
    <t>19 Roedean Crescent</t>
  </si>
  <si>
    <t>Demolition of existing building and erection of a two-storey (plus basement and roof levels) 6-bedroom detached house with rear first floor terrace.</t>
  </si>
  <si>
    <t>2019/2315</t>
  </si>
  <si>
    <t>94 Balham High Road</t>
  </si>
  <si>
    <t>Alterations including erection of mansard roof extension to main rear roof; excavation works to enlarge lower ground floor and part single, part two, part three storey rear and side extensions; formation of rear roof terrace at second floor level with 1.7m high obscured glazed screening in connection with reconfiguration and enlargement of social club (Class D1) and change of use of second floor from D1 to C3 in connection with creation of 2 x 1-bedroom and 1 x studio flats.</t>
  </si>
  <si>
    <t>2019/3302</t>
  </si>
  <si>
    <t>74 Brookwood Road</t>
  </si>
  <si>
    <t>Determination as to whether prior approval is required for change of use from Shop (A1) to Residental (C3).</t>
  </si>
  <si>
    <t>2019/3241</t>
  </si>
  <si>
    <t>87 Nightingale Lane</t>
  </si>
  <si>
    <t>Conversion of first and second floors to 2 x 1-bedroom flats.</t>
  </si>
  <si>
    <t>2019/3388</t>
  </si>
  <si>
    <t>77 Broomwood Road</t>
  </si>
  <si>
    <t>Alterations including erection of dormer roof extensions to side and rear roof (with french doors and safety railings); erection of part single, part three-storey front, side and rear extension; excavation to enlarge basement including formation front lightwell; all in connection with the conversion of 2 x 1 bedroom flats and 1 x 3 bedroom flat into 3 x 2 bedroom flats and 1 x 3 bedroom flat.</t>
  </si>
  <si>
    <t>2019/3539</t>
  </si>
  <si>
    <t>95-97 Putney High Street</t>
  </si>
  <si>
    <t>Erection of single to three-storey rear and side extensions and formation of roof terraces at first and  third floor levels in connection with use of the upper floors as a 19 person HMO (Sui Generis) with refuse and cycle storage at the rear; restoration of the facade of No. 95.</t>
  </si>
  <si>
    <t>2019/3522</t>
  </si>
  <si>
    <t>26a Replingham Road</t>
  </si>
  <si>
    <t>Alterations including erection of mansard roof extension to main rear roof (with French doors and safety railings) and extension above part of two-storey back addition in connection with conversion of flat into 2 x1bedroom flats.</t>
  </si>
  <si>
    <t>2019/3563</t>
  </si>
  <si>
    <t>58a Gosberton Road</t>
  </si>
  <si>
    <t>Determination as to whether prior approval is required for change of use from retail (Class A1) to 2 x studio flats (Class C3) with associated external alterations to front and side elevations.</t>
  </si>
  <si>
    <t>2019/3718</t>
  </si>
  <si>
    <t>260 Upper Tooting Road</t>
  </si>
  <si>
    <t>Alterations in connection with change of use of first, second and third floors from retail (Class A1) to residential (Class C3) and erection of part single, part two, part three, part four storey rear extension to create 1 x studio, 2 x one bedroom and 1 x two bedroom flats with associated roof terraces and provision of new access  via adjoining 262 Upper Tooting Road. Provision of bin and cycle storage.</t>
  </si>
  <si>
    <t>2019/3708</t>
  </si>
  <si>
    <t>5 Denton Street</t>
  </si>
  <si>
    <t>Alterations including erection of roof extension to main rear roof (with French doors and safety railings) and extension above part of two-storey back addition (both sides); raising of the ridge height by 278mm; formation of roof terrace above part of two-storey back addition with 1.7m high screen surround in connection with creation of 1 x 2 bedroom flat.</t>
  </si>
  <si>
    <t>2019/3812</t>
  </si>
  <si>
    <t>17 Sangora Road</t>
  </si>
  <si>
    <t>Alterations including erection of mansard roof extension to main rear roof (with French doors and safety railings) including formation of roof terrace above four-storey back addition with 1.2m high screen surround; erection of single-storey rear/ side extension. Excavation to enlarge basement in connection with the conversion of property into 1 x 1bedroom flat, 1 x 2 bedroom flat and 1 x 3 bedroom flat.</t>
  </si>
  <si>
    <t>2019/3778</t>
  </si>
  <si>
    <t>Flat B &amp; C, 39 Bolingbroke Grove</t>
  </si>
  <si>
    <t>Alterations including erection of single-storey rear/side extension at lower ground floor level in connection with de-conversion of the properties from 2 x 1-bedroom flats into 1 x 4 bedroom flat (amended description).</t>
  </si>
  <si>
    <t>2019/3870</t>
  </si>
  <si>
    <t>32 Latchmere Road</t>
  </si>
  <si>
    <t>Alterations including erection of extension to provide an additional floor of accomodation, including formation of rear roof terrace; Rebuilding existing front bay window and insertion of two additional bay windows and formation of two balconies at first and second floor levels; Installation of rear access stair with screening to first and second floors; Erection of first floor rear extension in connection with conversion to 1 x 2-bedroom and 2 x 3-bedroom flats, with associated refuse and cycle storage.</t>
  </si>
  <si>
    <t>2019/4219</t>
  </si>
  <si>
    <t>124a Putney High Street</t>
  </si>
  <si>
    <t>Alterations including erection of rear extension at first, second and third floors, and the installation of new windows and a roof light on the rear elevation, in connection with conversion to 3 x 1-bed flats [Amended Discription].</t>
  </si>
  <si>
    <t>2019/4343</t>
  </si>
  <si>
    <t>72 Stapleton Road</t>
  </si>
  <si>
    <t>Erection of mansard roof extension to main rear roof and extension above part of two-storey back addition (with French doors and safety railings); formation of roof terrace above two-storey back addition with 1.7m high screen surround and the creation of 1-bedroom/1-person flat.</t>
  </si>
  <si>
    <t>2019/4158</t>
  </si>
  <si>
    <t>335a Garratt Lane</t>
  </si>
  <si>
    <t>Alterations including erection of a mansard roof extension (with French doors and safety railings) to main rear roof and extension above part of two storey back addition; Formation of a roof terrace above two-storey back addition with 1.7m high screen surround in connection with creation of 2 x 1 bed flats.</t>
  </si>
  <si>
    <t>2019/4285</t>
  </si>
  <si>
    <t>2a York Road</t>
  </si>
  <si>
    <t>Erection of first floor extension to existing flat and erection of two additional storeys to provide second and third floors, in connection with creation of a 1 x 2 bed flat.</t>
  </si>
  <si>
    <t>2019/4408</t>
  </si>
  <si>
    <t>199b Latchmere Road</t>
  </si>
  <si>
    <t>Erection of mansard roof extension to main rear roof including raising ridge by 300mm and roof extension and formation of roof terrace with 1.7m safety glazed surround over three storey back addition; enlarged opening to the existing rear roof terrace to create 1 x two bedroom self-contained flat.</t>
  </si>
  <si>
    <t>2019/4912</t>
  </si>
  <si>
    <t>72 Bolingbroke Grove</t>
  </si>
  <si>
    <t>Conversion of property into three self-contained flats (2 x 2-bedroom and 1 x 3 bedroom) to include the erection of a single-storey rear extension; erection of a dormer roof extension to main rear roof and above part of three-storey rear addition. Formation of rear roof terrace with obscured balastrade. Excavation of basement and formation of lightwells to front and rear elevations.</t>
  </si>
  <si>
    <t>2019/4774</t>
  </si>
  <si>
    <t>62 Thrale Road</t>
  </si>
  <si>
    <t>conv</t>
  </si>
  <si>
    <t>Alterations including erection of two storey side and single storey rear extensions, addition of side and rear rooflights, internal re-configuration in connection with creation of two additional flats (existing = 2 x 1-bedroom and 2 x 2-bedroom units and proposed = 1 x 1-bedroom, 4 x 2-bedroom and 1 x 3-bedroom)</t>
  </si>
  <si>
    <t>2019/4694</t>
  </si>
  <si>
    <t>11-13 Westover Road</t>
  </si>
  <si>
    <t>11 Westover Road</t>
  </si>
  <si>
    <t>Conversion of single family dwelling house back into original form of 2 x single family dwelling houses and erection of single-storey rear extensions at 11 and 13 Westover Road.</t>
  </si>
  <si>
    <t>13 Westover Road</t>
  </si>
  <si>
    <t>2019/3492</t>
  </si>
  <si>
    <t>9-11 Delia Street</t>
  </si>
  <si>
    <t>Alterations including erection of mansard roof extensions to main rear roofs and extension above part of two-storey back additions; including raising the ridges by 230mm  Formation of roof terraces above two-storey back additions with 1.7m high screen surrounds in connection with creation of 2 x 2 bed flats with associated cycle and refuse storage.</t>
  </si>
  <si>
    <t>2019/4378</t>
  </si>
  <si>
    <t>Apartments 5 &amp; 6, 2 Riverlight Quay (Riverlight)</t>
  </si>
  <si>
    <t>The amalgamation of two adjacent two-bed units to create one four-bed unit.</t>
  </si>
  <si>
    <t>2019/5569</t>
  </si>
  <si>
    <t>36 Putney Hill</t>
  </si>
  <si>
    <t>Erection of a 2-storey rear/side extension in connection with the conversion of the property into six dwellings comprising 2no. 3-bedroom units, 3no. 2-bedroom units and 1no. 1-bedroom unit, together with alterations to the front boundary wall and formation of cycle and refuse stores.</t>
  </si>
  <si>
    <t>2020/0021</t>
  </si>
  <si>
    <t>13 Marcus Street</t>
  </si>
  <si>
    <t>Alterations including erection of mansard roof extension to main rear roof including altering pitch of front roofslope and raising the ridge by 280mm and erection of roof extension over part of two-storey back addition in connection with creation of 1 x 2-bedroom flat.</t>
  </si>
  <si>
    <t>2020/0009</t>
  </si>
  <si>
    <t>Lower ground floor and ground floor, 75a &amp; b Nightingale Lane</t>
  </si>
  <si>
    <t>Conversion of flats 75A and 75B into one x 3-bedroom flat.</t>
  </si>
  <si>
    <t>2020/0131</t>
  </si>
  <si>
    <t>115 Lavender Hill</t>
  </si>
  <si>
    <t>Alterations including addition of front door, conversion of part of shop to create stairs to up floors, erection of dormer roof extension to main rear roof, first floor side/rear infill extension and formation of rear roof terraces at first floor and second floor level with safety surround in connection with conversion of existing flat into 1 x 2-bedroom and 1 x 1 bedroom flats.</t>
  </si>
  <si>
    <t>2020/0419</t>
  </si>
  <si>
    <t>463 Garratt Lane</t>
  </si>
  <si>
    <t>Determination as to whether prior approval is required for change of use from retail (Class A1) to 1 x 1-bedroom flat (Class C3) with associated external alterations to front and rear elevations.</t>
  </si>
  <si>
    <t>2019/5440</t>
  </si>
  <si>
    <t>Unit A, Molasses House, Clove Hitch Quay (Plantation Wharf)</t>
  </si>
  <si>
    <t>Determination as to whether prior approval is required for change of use of office at ground floor level from (Class B) to residential (Class C3) to provide 1 x 1-bedroom flat.</t>
  </si>
  <si>
    <t>2020/0301</t>
  </si>
  <si>
    <t>Unit 1, Ivory House, Clove Hitch Quay (Plantation Wharf)</t>
  </si>
  <si>
    <t>Determination as to whether prior approval is required for change of use of office at ground floor level from (Class B1a) to residential (Class C3) to provide 1 x 2-bedroom flat and 2 x 1bedroom flats.</t>
  </si>
  <si>
    <t>2020/0478</t>
  </si>
  <si>
    <t>Unit B, Molasses House, Clove Hitch Quay (Plantation Wharf)</t>
  </si>
  <si>
    <t>Determination as to whether prior approval is required for change of use from Office (Class B1) to 5 x 1-bedroom flats (Class C3).</t>
  </si>
  <si>
    <t>2020/0490</t>
  </si>
  <si>
    <t>Unit D, Molasses House, Clove Hitch Quay (Plantation Wharf)</t>
  </si>
  <si>
    <t>Determination as to whether prior approval is required for change of use from Office (Class B1) to 2 x 1-bedroom flats 1 x 2-bedroom flat (Class C3).</t>
  </si>
  <si>
    <t>2016/1069</t>
  </si>
  <si>
    <t>Apartments 233 and 240, 4 Riverlight Quay (Riverlight)</t>
  </si>
  <si>
    <t>Conversion of two 3-bedroom units (flat nos. 233 and 240) into one 5-bedroom unit on the 11th floor of 4 Riverlight Quay. No external alterations are proposed.</t>
  </si>
  <si>
    <t>2018/4505</t>
  </si>
  <si>
    <t>Garages West of 2a, 2a Isis Street</t>
  </si>
  <si>
    <t>Erection of single storey plus basement 1-bedroom house with front lightwell and associated refuse storage.</t>
  </si>
  <si>
    <t>2020/0539</t>
  </si>
  <si>
    <t>29 &amp; 29a, 29a Fairlight Street</t>
  </si>
  <si>
    <t>Alterations including erection of mansard roof extension to main rear roof, raising the ridge by 300mm, extension above part of two-storey back addition in connection with creation of a 1 x 1-bedroom flat, with associated refuse storage to front garden and associated cycle storage.</t>
  </si>
  <si>
    <t>AF</t>
  </si>
  <si>
    <t>04 Subject to Legal Agreement</t>
  </si>
  <si>
    <t>2018/0210</t>
  </si>
  <si>
    <t>Land rear of 4-24, Thrale Road (Land rear of Mitcham Lane)</t>
  </si>
  <si>
    <t>Demolition of existing garage structures and erection of 22 residential units (6x1bedroom, 10x2-bedroom and 6x3-bedroom) within three two/three-storey buildings accessed from Thrale Road (between Nos. 16 and 18 Thrale Road) with associated car and cycle parking, refuse storage and landscaping.</t>
  </si>
  <si>
    <t>SLA</t>
  </si>
  <si>
    <t>2017/4141</t>
  </si>
  <si>
    <t>Brocklebank Health Centre, 249 Garratt Lane (and others), 229-247 Garratt Lane (Garratt Lane and Atheldene Regeneration Site)</t>
  </si>
  <si>
    <t>Phase 1</t>
  </si>
  <si>
    <t>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t>
  </si>
  <si>
    <t>2018/5540</t>
  </si>
  <si>
    <t>Land adjacent, 101 Moring Road</t>
  </si>
  <si>
    <t>Erection of two-storey (plus basement) 2-bedroom house with associated refuse and cycle storage.</t>
  </si>
  <si>
    <t>2018/5669</t>
  </si>
  <si>
    <t>Ferrier Street Industrial Estate and 322 Old York Road, 1 Ferrier Street</t>
  </si>
  <si>
    <t>Demolition of existing buildings and construction of mixed use development ranging from 4 to 10 storeys to provide 5826sqm light industrial (Class B1c) use, 5078sqm flexible business (Class B1) use, 106 residential units (Class C3) use and 213sqm retail use (Class A1/A3). Associated public realm works including on-site playspace, enlargement of the station square and alterations to the Ferrier Street ground floor retail frontage of 332 Old York Road.</t>
  </si>
  <si>
    <t>2019/0024</t>
  </si>
  <si>
    <t>Site of York Road, Winstanley Road (Part of Estate, York Gardens and Winstanley Estate)</t>
  </si>
  <si>
    <t>Block 1A</t>
  </si>
  <si>
    <t>The application is for a part outline and part detailed planning permission for the following proposed development:_x000D_
(a) Phased demolition of all existing buildings;_x000D_
(b)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
(c) Site clearance and enabling works including works to Winstanley Road, as well as temporary works necessary to enable the approved development._x000D_
An Environmental Statement has been submitted with the application under the Town and Country Planning (Environmental Impact Assessment) Regulations 2017.</t>
  </si>
  <si>
    <t>Block 1C</t>
  </si>
  <si>
    <t>Block 5A</t>
  </si>
  <si>
    <t>ISE</t>
  </si>
  <si>
    <t>Block 5B</t>
  </si>
  <si>
    <t>Block 5C</t>
  </si>
  <si>
    <t>Block 6</t>
  </si>
  <si>
    <t>Blocks 2-4 and 7-14</t>
  </si>
  <si>
    <t>Blocks A-S</t>
  </si>
  <si>
    <t>05 Pending or at Appeal</t>
  </si>
  <si>
    <t>2020/0389</t>
  </si>
  <si>
    <t>165 Upper Richmond Road</t>
  </si>
  <si>
    <t>Erection of front and rear mansard roof extension to create an additional floor. Erection of single- and two-storey rear and side extensions (at first and second floor levels) in connection with use of upper floors as 1 x 1-bedroom and 1 x 2-bedroom flats.</t>
  </si>
  <si>
    <t>2020/0877</t>
  </si>
  <si>
    <t>6-10 Mitcham Road</t>
  </si>
  <si>
    <t>Extension of the ground floor area for retail use. Extension of existing residential block of four dwellings at front of site to create additional storey (for 1 x 3-bed flat), with alterations to frontage and replacement shopfront. Construction of 4 x 2-bed flats to the rear of the site in a two-storey extension set above the extended ground floor retail unit, with associated roof terraces/balconies, communal courtyard, cycle storage and refuse storage.</t>
  </si>
  <si>
    <t>2020/0617</t>
  </si>
  <si>
    <t>Alterations including erection of rear extension at first and second floor levels and roof extension to provide additional floor of accommodation with roof terrace to front and back elevations in connection with conversion of existing flat into 1 x 1-bedroom and 1 x 3-bedroom flats.</t>
  </si>
  <si>
    <t>2019/5337</t>
  </si>
  <si>
    <t>Electricity substation, Tilford Gardens</t>
  </si>
  <si>
    <t>House 1 2-storey</t>
  </si>
  <si>
    <t>Alterations including relocation of electricity substation in connection with erection of 1 x two storey 3-bedroom and 1 x three-storey 3-bedroom houses with associated parking and refuse/cycle storage [AMENDED DESCRIPTION].</t>
  </si>
  <si>
    <t>House 2 3-storey</t>
  </si>
  <si>
    <t>2020/0107</t>
  </si>
  <si>
    <t>Alterations including erection of rear roof extension and formation of roof terrace with 1.8m high screen surround in connection with creation of studio flat on third floor.</t>
  </si>
  <si>
    <t>2019/3380</t>
  </si>
  <si>
    <t>84-88 Mitcham Road</t>
  </si>
  <si>
    <t>Alterations including additional windows, screening to first floor terrace and conversion of upper floors to 2 x 2-bedroom and 4 x 1-bedroom flats._x000D_
_x000D_
AMENDED DRAWINGS AND DESCRIPTION</t>
  </si>
  <si>
    <t>2020/0184</t>
  </si>
  <si>
    <t>Sterling House, Burston Road (Former garage site)</t>
  </si>
  <si>
    <t>Erection of roof extension to provide an additional floor of accommodation to accomodate 1x3 bedroom flat.</t>
  </si>
  <si>
    <t>2020/0802</t>
  </si>
  <si>
    <t>26 Replingham Road</t>
  </si>
  <si>
    <t>Determination as to whether prior approval is required for change of use from retail (Class A1) to 2 x studio flats (Class C3) with associated external alterations to front and rear elevations.</t>
  </si>
  <si>
    <t>NPA</t>
  </si>
  <si>
    <t>2020/0723</t>
  </si>
  <si>
    <t>102 Roehampton Vale</t>
  </si>
  <si>
    <t>Change of use from residential (Class C4) to 1 x 7-bedroom HMO (Class Sui Generis).</t>
  </si>
  <si>
    <t>2020/0420</t>
  </si>
  <si>
    <t>58 Bendemeer Road</t>
  </si>
  <si>
    <t>Alterations in connection with the conversion fo the property from two flats to a single family dwelling house</t>
  </si>
  <si>
    <t>2020/0599</t>
  </si>
  <si>
    <t>184 Northcote Road</t>
  </si>
  <si>
    <t>Determination as to whether prior approval is required for change of use of rear part of ground and first floors from retail (Class A1) to 1 x 2-bedroom flat (Class C3), with associated external alterations including installation of windows.</t>
  </si>
  <si>
    <t>2020/0082</t>
  </si>
  <si>
    <t>96 Upper Tooting Road</t>
  </si>
  <si>
    <t>Conversion of rear ground floor storage room (B8) into 1-bedroom/ 1-person residential unit (C3) with installation of new windows on rear and side elevation. Rear two-storey extension at first and second floor level, rear mansard and pod roof extensions, creation of terrace at 1st floor and roof level with 1.7m high obscured glass balustrade, conversion of existing 1x2 bedroom flat into 1x2 bedroom / 3-person flat and 1x1 bedroom/ 1-person unit with associated refuse and cycle storage</t>
  </si>
  <si>
    <t>2020/0462</t>
  </si>
  <si>
    <t>10 Cambalt Road</t>
  </si>
  <si>
    <t>Conversion of existing basement to form 1 x studio flat including formation of light well to rear</t>
  </si>
  <si>
    <t>2020/0650</t>
  </si>
  <si>
    <t>Rear of 667-669, 667-669 Garratt Lane</t>
  </si>
  <si>
    <t>Alterations including erection of first floor rear extension to provide 1x1 bedroom flat.</t>
  </si>
  <si>
    <t>2020/0683</t>
  </si>
  <si>
    <t>Unit 2 Windward House, Square Rigger Row</t>
  </si>
  <si>
    <t>Determination as to whether prior approval is required for change of use from Office (Class B1a) to 1 x 2-bedroom flat (Class C3).</t>
  </si>
  <si>
    <t>2020/0684</t>
  </si>
  <si>
    <t>Units 1, 9 &amp; 10 Port House, Square Rigger Row</t>
  </si>
  <si>
    <t>Determination as to whether prior approval is required for change of use from office (Class B1a) to 3 x 1-bedroom flats (Class C3).</t>
  </si>
  <si>
    <t>2020/0682</t>
  </si>
  <si>
    <t>1 Leeward House, Square Rigger Row</t>
  </si>
  <si>
    <t>Determination as to whether prior approval is required for change of use from Office (Class B1) to 1 x 1-bedroom flat (Class C3).</t>
  </si>
  <si>
    <t>2020/0680</t>
  </si>
  <si>
    <t>Units 2-8 &amp; 11-14 Port House, Square Rigger Row</t>
  </si>
  <si>
    <t>Determination as to whether prior approval is required for change of use of office at ground to first floor from (Class B1) to residential (Class C3) to provide 7 x 1-bedroom flats and 4 x 2-bedroom flats.</t>
  </si>
  <si>
    <t>2020/0685</t>
  </si>
  <si>
    <t>Units 2, 3, 4, 5, 6, &amp; 7 Leeward House, Square Rigger Row (Plantation Wharf)</t>
  </si>
  <si>
    <t>Determination as to whether prior approval is required for change of use from office (Class B1) to 6 x 1-bedroom flats (Class C3).</t>
  </si>
  <si>
    <t>2020/0686</t>
  </si>
  <si>
    <t>East &amp; West 1,2,3,4, &amp; 8, Square Rigger Row (Plantation Wharf)</t>
  </si>
  <si>
    <t>Determination as to whether prior approval is required for change of use from office (Class B1a) to 5 x 3-bedroom flats (Class C3).</t>
  </si>
  <si>
    <t>2020/0614</t>
  </si>
  <si>
    <t>Alterations in connection with conversion of building from retail (Class A1) on ground floor and residential flat (Class C3) to 1 x studio, 2 x 1-bedroom and 1 x 2-bedroom flats.</t>
  </si>
  <si>
    <t>2020/0722</t>
  </si>
  <si>
    <t>13 Henderson Road</t>
  </si>
  <si>
    <t>Alterations including erection of front dormer, front portico, part single part three storey rear/side extension;  excavation to create basement including formation of front and rear lightwells with grille over in connection with use as a single dwelling house.</t>
  </si>
  <si>
    <t>2019/1231</t>
  </si>
  <si>
    <t>235a - 237a, 235-237 Wimbledon Park road</t>
  </si>
  <si>
    <t>Erection of a three-storey rea rextension in connection with formation of 3 x 2 -bedroom flats with balconies, associated cycle and refuse storage.</t>
  </si>
  <si>
    <t>2019/5092</t>
  </si>
  <si>
    <t>Belvedere Court, 372-374 Upper Richmond Road</t>
  </si>
  <si>
    <t>Alterations including extension to main roof for the creation of 6 X 2 bedroom, 2 X 1 bedroom and 1 X 3 bedroom flats at 6th and 7th floor level.. Associated landscaping and refuse provision. Formation of additional 9 parking spaces.</t>
  </si>
  <si>
    <t>2020/0681</t>
  </si>
  <si>
    <t>533 Garratt Lane</t>
  </si>
  <si>
    <t>Alterations in connection with change of use of rear ground floor from retail (Class A1) to residential (Class C3) to provide studio flat with access from Beemans Row.</t>
  </si>
  <si>
    <t>2020/0123</t>
  </si>
  <si>
    <t>Erection of roof extension to provide an additional floor of accommodation to accommodate 7 residential units (1x1 bedroom and 6 x 2 bedroom) with roof terraces; alterations to parking arrangements, landscaping and refuse and cycle storage.</t>
  </si>
  <si>
    <t>2019/4409</t>
  </si>
  <si>
    <t>99-105 Moyser Road</t>
  </si>
  <si>
    <t>Alterations including erection of roof extension to provide additional floor of accommodation and creation of 3 x 1-bedroom and a studio flats.</t>
  </si>
  <si>
    <t>2019/5259</t>
  </si>
  <si>
    <t>2 Worcester Gardens</t>
  </si>
  <si>
    <t>Alterations including erection of a rear roof extension and extension above part of  back addition; formation of a roof terrace with screen surround; erection first and second floor rear extensions; erection of a ground floor rear/side extension; excavation to enlarge existing basement and formation of front and rear lightwells, in connection with conversion to 1 x 2 bed and 2 x 3 bed self-contained flats.</t>
  </si>
  <si>
    <t>2019/4923</t>
  </si>
  <si>
    <t>18 Trinity Road</t>
  </si>
  <si>
    <t>Erection of a part two, part three-storey extension to create two x 2-bedroom flats with associated refuse and cycle storage.</t>
  </si>
  <si>
    <t>2019/2295</t>
  </si>
  <si>
    <t>2-18 Yelverton Road</t>
  </si>
  <si>
    <t>Demolition of an existing building and structures and erection of a part 3/16 storey mixed-use development plus basement, providing 357 sq.m of commercial office floor space (Class B1a) and 231 sq.m of creative workspace (flexible Class B1/Sui Generis) at ground and basement levels and 74 residential units at upper levels; communal garden on the 3rd floor; with 6 car parking spaces and cycle parking spaces at basement level; disabled car parking space on Yelverton Road and visitor cycle parking spaces on York Road and associated infrastructure works.</t>
  </si>
  <si>
    <t>2019/3464</t>
  </si>
  <si>
    <t>35-37 Augustus Road</t>
  </si>
  <si>
    <t>Alterations in connection with conversion of existing house into 2 x 2-bedroom flats.</t>
  </si>
  <si>
    <t>2020/0929</t>
  </si>
  <si>
    <t>Alterations including the extension of the main property through the introduction of an additional storey; the erection of a mansard roof extension over the proposed rear roofslope of the main property; the erection of a part one/two/three storey front/side/rear extension; alterations to front and rear boundary treatments; and associated waste and cycle storage in the front and rear gardens in connection with conversion of property to 1 x 3-bedroom, 2 x 2-bedroom flats.</t>
  </si>
  <si>
    <t>2019/4316</t>
  </si>
  <si>
    <t>Alterations including erection of hip to gable roof extension, extension to main rear roof and erection of part-single, part-two storey rear/side extension in connection with conversion to 2 x 1 bed flats.</t>
  </si>
  <si>
    <t>2019/3459</t>
  </si>
  <si>
    <t>Flat First Floor, 36a Putney High Street</t>
  </si>
  <si>
    <t>Alterations in connection with conversion of  flat into 2 x 1-bedroom flats.</t>
  </si>
  <si>
    <t>2020/1153</t>
  </si>
  <si>
    <t>Ground Floor, 369 Garratt Lane</t>
  </si>
  <si>
    <t>Determination as to whether prior approval is required for change of use from shop (Class A1) to 1 x 2-bedroom flat and 1 x 1-bedroom flat (Class C3).</t>
  </si>
  <si>
    <t>2020/0014</t>
  </si>
  <si>
    <t>9a Loubet Street</t>
  </si>
  <si>
    <t>Alterations including erection of mansard roof extension (with french doors and safety railings), erection of roof extension and formation of roof terrace with 1.7m glazed screen surround above two storey back addition and installation of steel spiral staircase to rear garden in connection with conversion of existing flat to 1 x 2-bedroom and 1 x1-bedroom flats.</t>
  </si>
  <si>
    <t>2019/4665</t>
  </si>
  <si>
    <t>2 Replingham Road</t>
  </si>
  <si>
    <t>Alterations in connection with change of use of ground floor from office (Class A2) to retail (Class A1). Alterations including erection of dormer roof extension and formation of roof terrace in connection with change of use of rear ground, first and second floors from office (Class A2) to residential (Class C3) to create 1 x 3-bedroom, 2 x 2-bedroom, 1 x 1-bedroom and 1 x studio flats with associated cycle and refuse storage.</t>
  </si>
  <si>
    <t>2019/2516</t>
  </si>
  <si>
    <t>Development Site of Alton Estate, Danebury Avenue (Alton Estate)</t>
  </si>
  <si>
    <t>The application is for a part outline and a part detailed planning permission for the following proposed development._x000D_
_x000D_
(a) Phased demolition of existing buildings and structures (except Alton Activity Centre community building);_x000D_
(b)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
_x000D_
An Environmental Statement has been submitted with the application under the Town and Country Planning (Environmental Impact Assessment) Regulations 2017.</t>
  </si>
  <si>
    <t>AO</t>
  </si>
  <si>
    <t>8.1.1</t>
  </si>
  <si>
    <t>Block M</t>
  </si>
  <si>
    <t>Block N</t>
  </si>
  <si>
    <t>Block O</t>
  </si>
  <si>
    <t>Blocks A and Q</t>
  </si>
  <si>
    <t>Blocks D-J</t>
  </si>
  <si>
    <t>2020/0740</t>
  </si>
  <si>
    <t>292 Cavendish Road</t>
  </si>
  <si>
    <t>Alterations including changes to shopfront and erection of single storey rear/side extension in connection with change of use from restaurant (Class A3) to dwelling (Class C3) to provide 1 x 2-bedroom self-contained flat.</t>
  </si>
  <si>
    <t>2020/0694</t>
  </si>
  <si>
    <t>235 Mitcham Road</t>
  </si>
  <si>
    <t>Alterations including erection of a part-single, part-two storey rear extension and part change of use of ground floor from retail (Class A1) to residential (Class C3) in connection with creation of a 1 x 1 bed flat and 1 x 2 bed flat.</t>
  </si>
  <si>
    <t>2019/5376</t>
  </si>
  <si>
    <t>18 Salcott Road</t>
  </si>
  <si>
    <t>Alterations including erection of roof extension to create additional floor of accommodation; erection of single-storey ground and second floor extensions; increase in height of rear first floor roof terrace screen to 1.7m; excavation of basement and formation of rear lightwell. Conversion of the existing first and second floor flat to form 1 x 1-bedroom and 1 x 2-bedroom flats over the top three floors.</t>
  </si>
  <si>
    <t>2019/5567</t>
  </si>
  <si>
    <t>6-8 West Hill</t>
  </si>
  <si>
    <t>Alterations including the erection of ground floor rear extensions with roof terraces above; erection of mansard roof extensions above the main rear roof slopes and back addition roofs; restoration of the front façade; installation of a replacement shop front.  Works in connection with the conversion of the property into 5 x 1-bedroom and 2 x 2-bedroom flats (Class C3) and provision of bicycle and bin stores on the ground floor [RE-CONSULTATION CARRIED OUT DUE TO AMENDED PROPOSAL DESCRIPTION].</t>
  </si>
  <si>
    <t>2019/5552</t>
  </si>
  <si>
    <t>44 and 46, Alfriston Road</t>
  </si>
  <si>
    <t>**Revised Design submitted**_x000D_
_x000D_
Remodelling of houses to include re-configured front, side and rear elevations, increased roof height with front and rear dormers, single-storey rear extensions. Demolition of existing garage and erection of single storey (plus habitable roof) 1-bedroom bungalow.</t>
  </si>
  <si>
    <t>2020/0503</t>
  </si>
  <si>
    <t>99 St Johns Hill</t>
  </si>
  <si>
    <t>Alterations including erection of single storey rear extension at basement level and formation of rear lightwell in connection with retention of retail space (Class A1) on ground floor level and  creation of 2 x 2-bedroom and 2 x 1-bedroom flats to rear basement and ground floors and first to third floors above with associated cycle and refuse storage.</t>
  </si>
  <si>
    <t>2020/0412</t>
  </si>
  <si>
    <t>62 Lavender Hill</t>
  </si>
  <si>
    <t>Alterations including part change of use of exisitng restaurant (Class A4) at ground and lower ground levels to create a one-bedroom flat (Class C3). Erection of dwarf wall and glass pavement lenses to front forecourt. Alteration to shop front entrance.</t>
  </si>
  <si>
    <t>O</t>
  </si>
  <si>
    <t>2020/0202</t>
  </si>
  <si>
    <t>Garages at, 143 Byrne Road</t>
  </si>
  <si>
    <t>House 1</t>
  </si>
  <si>
    <t>Alterations, including part demolition and reconfiguration of of north east section and installation of windows to elevations and replacement roof slopes in connection with conversion of garages into 2 x 2-bedroom houses.</t>
  </si>
  <si>
    <t>House 2</t>
  </si>
  <si>
    <t>2020/0583</t>
  </si>
  <si>
    <t>54 Bickley Street</t>
  </si>
  <si>
    <t>Alterations including erection of mansard roof extension to main rear roof (with French door and safety railings) including raising the ridge by 300mm; erection of roof extension and formation of roof terrace with 1.7m high glazed screen surround over two-storey back addition to provide 1x1 bedroom flat</t>
  </si>
  <si>
    <t>2020/0784</t>
  </si>
  <si>
    <t>2 &amp; 2a, Oldridge Road</t>
  </si>
  <si>
    <t>Alterations including erection of an extension to form an additional floor of accomodation; Formation of a roof terrace with 1.6m high screen surround above to storey back addition; Erection of a two-storey rear extension; Installation of new front entrance; Excavation to create basement with formation of front and rear lightwells, in connection with conversion to 2 x 1-bed and 1 x 2-bed flats.</t>
  </si>
  <si>
    <t>2020/0679</t>
  </si>
  <si>
    <t>Units 3 to 8 Windward House, Square Rigger Row</t>
  </si>
  <si>
    <t>Determination as to whether prior approval is required for change of use from office (Class B1a) to 3 x 2-bedroom flats and 3 x 1-bedroom flats (Class C3).</t>
  </si>
  <si>
    <t>2020/0040</t>
  </si>
  <si>
    <t>521-525 Battersea Park Road</t>
  </si>
  <si>
    <t>Alterations including erection of part one/two/three storey extensions at rear in connection with the enlargement of ground floor commercial unit, existing dwelling and creation of 2 x 2-bedroom flat; formation of roof terraces on first floor level with 2m high screen surround. Change of use of commercial ground floor from retail (Class A1) to office (Class B1a) and treatment rooms (Class D1) (sui generis). Relocation of 2 existing air conditioning units to first floor roof.</t>
  </si>
  <si>
    <t>2020/0797</t>
  </si>
  <si>
    <t>The Studio, 1c Moring Road</t>
  </si>
  <si>
    <t>Alterations in connection with change of use from office (Class B1) to residential (Class C3) to provide studio flat with associated refuse storage.</t>
  </si>
  <si>
    <t>2020/0980</t>
  </si>
  <si>
    <t>86 Mitcham Road</t>
  </si>
  <si>
    <t>Determination as to whether prior approval is required for change of use from shop (Class A1) to a restaurant (Class A3).</t>
  </si>
  <si>
    <t>2020/1090</t>
  </si>
  <si>
    <t>118a Disraeli Road</t>
  </si>
  <si>
    <t>Demolition of existing car garage and erection of two storey (plus roof) building to provide 2 x 1-bedrrom and 3 x 2-bedroom flats with associated refuse and cycle storage.</t>
  </si>
  <si>
    <t>2020/0951</t>
  </si>
  <si>
    <t>36a Fountain Road</t>
  </si>
  <si>
    <t>Alterations including erection of a mansard roof extension to main rear roof (with french doors and safety railings) including raising the main foor ridge height by 300mm and extension above part of existing two storey back addition; Formation of roof terrace above existing two storey back addition with 1.7m high screen surround in connection with creation of 1 x 1 bed flat.</t>
  </si>
  <si>
    <t>06 Identified Site</t>
  </si>
  <si>
    <t>0000/0250</t>
  </si>
  <si>
    <t>McDonald's, Swandon Way (1 Marl Road)</t>
  </si>
  <si>
    <t>Redevelopment</t>
  </si>
  <si>
    <t>NONE</t>
  </si>
  <si>
    <t>3.8</t>
  </si>
  <si>
    <t>0000/0251</t>
  </si>
  <si>
    <t>Mercedes Benz and Bemco, Bridgend Road</t>
  </si>
  <si>
    <t>3.9</t>
  </si>
  <si>
    <t>0000/0248</t>
  </si>
  <si>
    <t>Wandsworth Bridge Roundabout</t>
  </si>
  <si>
    <t>3.10</t>
  </si>
  <si>
    <t>0000/0254</t>
  </si>
  <si>
    <t>Sainsbury's, 2-6 Werter Road</t>
  </si>
  <si>
    <t>6.3</t>
  </si>
  <si>
    <t>0000/0256</t>
  </si>
  <si>
    <t>Asda, Roehampton Vale</t>
  </si>
  <si>
    <t>8.2</t>
  </si>
  <si>
    <t>0000/0249</t>
  </si>
  <si>
    <t>Wandsworth Bus Garage, Jews Row</t>
  </si>
  <si>
    <t>3.11</t>
  </si>
  <si>
    <t>0000/0310</t>
  </si>
  <si>
    <t>Brooks Court, 1-10 Cringle Street</t>
  </si>
  <si>
    <t>2.1.23</t>
  </si>
  <si>
    <t>0000/0311</t>
  </si>
  <si>
    <t>Cemex Battersea Plant, Cringle Street (Kirtling Wharf)</t>
  </si>
  <si>
    <t>2.1.7</t>
  </si>
  <si>
    <t>0000/0252</t>
  </si>
  <si>
    <t>Market Area, Tooting High Street</t>
  </si>
  <si>
    <t>0000/0253</t>
  </si>
  <si>
    <t>St Georges Hospital Car Park, Maybury Street</t>
  </si>
  <si>
    <t>5.5</t>
  </si>
  <si>
    <t>0000/0255</t>
  </si>
  <si>
    <t>Sainsbury's Car Park, Bedford Hill</t>
  </si>
  <si>
    <t>7.1</t>
  </si>
  <si>
    <t>0000/0257</t>
  </si>
  <si>
    <t>259-311 Battersea Park road</t>
  </si>
  <si>
    <t>9.10</t>
  </si>
  <si>
    <t>0000/0259</t>
  </si>
  <si>
    <t>36 Lombard Road</t>
  </si>
  <si>
    <t>10.11</t>
  </si>
  <si>
    <t>0000/0260</t>
  </si>
  <si>
    <t>Travis Perkins, 37 Lombard Road</t>
  </si>
  <si>
    <t>10.12</t>
  </si>
  <si>
    <t>0000/0261</t>
  </si>
  <si>
    <t>80 Gwynne Road, 19 Lombard Road</t>
  </si>
  <si>
    <t>10.13</t>
  </si>
  <si>
    <t>0000/0262</t>
  </si>
  <si>
    <t>Tavelodge, 200 York Road</t>
  </si>
  <si>
    <t>10.16</t>
  </si>
  <si>
    <t>0000/0263</t>
  </si>
  <si>
    <t>41-47 Chatfield Road</t>
  </si>
  <si>
    <t>0000/0264</t>
  </si>
  <si>
    <t>Gartons Industrial Estate, Gartons Way</t>
  </si>
  <si>
    <t>10.8</t>
  </si>
  <si>
    <t>0000/0266</t>
  </si>
  <si>
    <t>Heliport Estate, Lombard Road</t>
  </si>
  <si>
    <t>10.3</t>
  </si>
  <si>
    <t>0000/0267</t>
  </si>
  <si>
    <t>Cable and Wireless Ballymore Site 6, 2a Battersea Park Road</t>
  </si>
  <si>
    <t>2.1.11</t>
  </si>
  <si>
    <t>0000/0268</t>
  </si>
  <si>
    <t>Securicor Site, 80 Kirtling Street</t>
  </si>
  <si>
    <t>2.1.17</t>
  </si>
  <si>
    <t>0000/0269</t>
  </si>
  <si>
    <t>Metropolitan Police Warehouse Garage, Ponton Road</t>
  </si>
  <si>
    <t>2.1.21</t>
  </si>
  <si>
    <t>0000/0270</t>
  </si>
  <si>
    <t>Causeway Island including Land to the east, The Causeway</t>
  </si>
  <si>
    <t>3.2.1</t>
  </si>
  <si>
    <t>0000/0271</t>
  </si>
  <si>
    <t>Hunts Trucks and adjoining gasholder, Armoury Way</t>
  </si>
  <si>
    <t>3.2.2</t>
  </si>
  <si>
    <t>0000/0272</t>
  </si>
  <si>
    <t>Keltbray Site Wentworth House and adjacent land at, Dormay Street</t>
  </si>
  <si>
    <t>3.2.3</t>
  </si>
  <si>
    <t>0000/0274</t>
  </si>
  <si>
    <t>Feathers Wharf, The Causeway</t>
  </si>
  <si>
    <t>3.3.5</t>
  </si>
  <si>
    <t>0000/0275</t>
  </si>
  <si>
    <t>Land at the Causeway, The Causeway</t>
  </si>
  <si>
    <t>3.3.6</t>
  </si>
  <si>
    <t>0000/0276</t>
  </si>
  <si>
    <t>Asda, Lidl and Boots Sites, Falcon Lane</t>
  </si>
  <si>
    <t>4.1.1</t>
  </si>
  <si>
    <t>0000/0277</t>
  </si>
  <si>
    <t>Clapham Junction Station, St Johns Hill</t>
  </si>
  <si>
    <t>4.1.4</t>
  </si>
  <si>
    <t>0000/0278</t>
  </si>
  <si>
    <t>Land on the corner of Grant Road and, Falcon Road</t>
  </si>
  <si>
    <t>4.1.3</t>
  </si>
  <si>
    <t>0000/0280</t>
  </si>
  <si>
    <t>Jubilee House and cinema, 230-232 Putney Bridge Road</t>
  </si>
  <si>
    <t>6.1.2</t>
  </si>
  <si>
    <t>0000/0281</t>
  </si>
  <si>
    <t>Putney Telephone Exchange, Montserrat Road</t>
  </si>
  <si>
    <t>6.1.4</t>
  </si>
  <si>
    <t>0000/0283</t>
  </si>
  <si>
    <t>Chelsea Cars and KwikFit, Armoury Way</t>
  </si>
  <si>
    <t>0000/0284</t>
  </si>
  <si>
    <t>Frogmore Depot, Dormay Street</t>
  </si>
  <si>
    <t>0000/0285</t>
  </si>
  <si>
    <t>Panorama Antennas, Dormay Street</t>
  </si>
  <si>
    <t>0000/0287</t>
  </si>
  <si>
    <t>Riverside Business Centre and Former Bingo Hall, Bendon Valley</t>
  </si>
  <si>
    <t>0000/0324</t>
  </si>
  <si>
    <t>Randall Close Day Centre and car park, 2 Randall Close (Surrey Lane Estate)</t>
  </si>
  <si>
    <t>0000/0325</t>
  </si>
  <si>
    <t>Crewkerne Court Garages, Battersea Church Road (Somerset Estate)</t>
  </si>
  <si>
    <t>0000/0326</t>
  </si>
  <si>
    <t>Ashburton Community Centre, Westleigh Avenue (Ashburton South Estate)</t>
  </si>
  <si>
    <t>07 SHLAA Potential Sites</t>
  </si>
  <si>
    <t>08 SHLAA Small Sites</t>
  </si>
  <si>
    <t>UK</t>
  </si>
  <si>
    <t>Existing Hostel Rooms</t>
  </si>
  <si>
    <t>Proposed Hostel Rooms</t>
  </si>
  <si>
    <t>Net Hostel Rooms</t>
  </si>
  <si>
    <t>Existing Home Rooms</t>
  </si>
  <si>
    <t>Proposed Home Rooms</t>
  </si>
  <si>
    <t>Net Home Rooms</t>
  </si>
  <si>
    <t>Existing Staff Rooms</t>
  </si>
  <si>
    <t>Proposed Staff Rooms</t>
  </si>
  <si>
    <t>Net Staff Rooms</t>
  </si>
  <si>
    <t>Existing Student Rooms</t>
  </si>
  <si>
    <t>Proposed Student Rooms</t>
  </si>
  <si>
    <t>Net Student Rooms</t>
  </si>
  <si>
    <t>Existing House in Multiple Occupation Rooms</t>
  </si>
  <si>
    <t>Proposed House in Multiple Occupation Rooms</t>
  </si>
  <si>
    <t>Net House in Multiple Occupation Rooms</t>
  </si>
  <si>
    <t>Existing Non-Self-Contained Rooms</t>
  </si>
  <si>
    <t>Proposed Non-Self-Contained Rooms</t>
  </si>
  <si>
    <t>Net Non-Self-Contained Rooms</t>
  </si>
  <si>
    <t>Non-Self-Contained Rooms Construction Date</t>
  </si>
  <si>
    <t>Non-Self-Contained Rooms Completion Date</t>
  </si>
  <si>
    <t>Special Needs</t>
  </si>
  <si>
    <t>Special Needs Type</t>
  </si>
  <si>
    <t>2016/2580</t>
  </si>
  <si>
    <t>207 Arabella Drive</t>
  </si>
  <si>
    <t>Erection of an additional storey over the existing three storey building with external alterations and second floor extension to the south elevation, to create an additional 25 client rooms. Extension to refuse store and provision of covered cycle area.</t>
  </si>
  <si>
    <t>EW</t>
  </si>
  <si>
    <t>2016/6438</t>
  </si>
  <si>
    <t>Former Garage, 39-41 East Hill</t>
  </si>
  <si>
    <t>Demolition of existing buildings and erection of four to six storey (plus basement) care home (Class C2) to accommodate 100 residents; west facing roof terraces and associated landscaping, parking (cycle store, 17 spaces for cars and 2 minibus spaces in basement) accessed from Huguenot Place.</t>
  </si>
  <si>
    <t>9.5</t>
  </si>
  <si>
    <t>EN</t>
  </si>
  <si>
    <t>2017/0258</t>
  </si>
  <si>
    <t>9 Clavering Place</t>
  </si>
  <si>
    <t>Change of use from a House of Multiple Occupation (Class C4) to a larger House of Multiple Occupation (Sui Generis) by allowing an additional bedroom to be used.</t>
  </si>
  <si>
    <t>U</t>
  </si>
  <si>
    <t>OT</t>
  </si>
  <si>
    <t>2018/0263</t>
  </si>
  <si>
    <t>The Bedford, 77 Bedford Hill</t>
  </si>
  <si>
    <t>Alterations including change of second floor function room, kitchen and ancillary rooms to guest bedrooms (increase total from 10 to 15 bedrooms at second and third floor levels) (Class A4/C1 use - public house with guest rooms). Erection of a single-storey rear extension. (Accompanying listed building application ref.2018/0341)</t>
  </si>
  <si>
    <t>2016/5617</t>
  </si>
  <si>
    <t>Longhedge, 313 Battersea Park Road</t>
  </si>
  <si>
    <t>Alterations and extensions to existing (Class C2) care home, including the creation of two additional storeys at third and fourth floor, single-storey side extension and partial infill of existing courtyard to provide a 108 bed care home (78 care beds and 30 new assisted living suites). Alterations to main entrance, amendments to existing facades including installation of new windows, creation of glazed garden room, enhancements to landscaping, remodelling of car park and associated works.</t>
  </si>
  <si>
    <t>2015/7536</t>
  </si>
  <si>
    <t>St Anthonys Court, 49 Foxbourne Road</t>
  </si>
  <si>
    <t>Erection of an additional storey (within a pitched roof and including raising the ridge height) to create 13 additional self contained units for sheltered housing (Use Class C2).  Alterations to the building including widening of the two existing fire escape staircases located on north-eastern and western elevations and provision of refuse and cycle storage.</t>
  </si>
  <si>
    <t>2018/0669</t>
  </si>
  <si>
    <t>Cedars Hall, 141 Welham Road</t>
  </si>
  <si>
    <t>Erection of two-storey extension over the existing two-storey element of the existing student accommodation building at the Cedars Hall to provide 34 x 1 bed 1 person units.</t>
  </si>
  <si>
    <t>2018/1058</t>
  </si>
  <si>
    <t>Trinity Court Nursing Home, 165-167 Trinity Road</t>
  </si>
  <si>
    <t>Erection of single storey (plus habitable roofspace) detached 8-bedroom residential building ancillary (Class C2) to Trinity Court Nursing Home.</t>
  </si>
  <si>
    <t>2019/1083</t>
  </si>
  <si>
    <t>Garratt Mills, Trewint Street</t>
  </si>
  <si>
    <t>Demolition of existing buildings and the erection of two blocks between 8 and 6 storeys (including double height ground floor with mezzanine) linked by a single-storey building with mezzanine level, comprising co-living rooms with internal and external amenity space (Sui Generis), cafe and restaurant use (Class A3), new pedestrian bridge, riverwalk, landscaping, plant, refuse and bicycle stores and associated works.</t>
  </si>
  <si>
    <t>2019/2292</t>
  </si>
  <si>
    <t>Alterations including erection of single-storey dining hall (Class D1) on northern side of Furzedown Primary School playground, relocation of ball cage on southern side of school playground; erection of three-storey student accommodation block to Cedars Hall and change of use of existing Cedars Hall dining area for student</t>
  </si>
  <si>
    <t>2019/1811</t>
  </si>
  <si>
    <t>Haydon House, Haydon Way</t>
  </si>
  <si>
    <t>Erection of single storey rear extensions at ground and first floor levels to provide additional hostel accommodation.</t>
  </si>
  <si>
    <t>2019/5000</t>
  </si>
  <si>
    <t>252-254 Upper Tooting Road</t>
  </si>
  <si>
    <t>Erection a four-storey rear extension (approximately 12m in height). Change of use from a 1 x House of Multiple Occupation (HMO - 6 rooms) in to 1x HMO (18 rooms), while existing flats (1x studio, 1 x 1-bedroom flat and 2 x 2-bedroom flats) are to be retained.</t>
  </si>
  <si>
    <t>2019/5520</t>
  </si>
  <si>
    <t>Alterations including erection of roof extension (with french doors and safety railings), erection of rear extensions at first, second and third floor levels, formation of roof terraces at second and third floor and excavation to enlarge basement, in connection with retention of ground and basement floors as restaurant (Class A3) and change of use of upper floors from residential (Class C3) to 13 bedroom house of multiple occupation.</t>
  </si>
  <si>
    <t>2020/0349</t>
  </si>
  <si>
    <t>Erection of single-storey rear ans side extensions. Erection of rear dormer roof extension and hipped roof over two-storey side addition. Erection of single-storey outbuilding. Alterations and extensions in connection with change of use from residential dwellinghouse (Class C3) to 8 bedroom HMO (Class Sui Generis).</t>
  </si>
  <si>
    <t>2020/0444</t>
  </si>
  <si>
    <t>29 Honeywell Road</t>
  </si>
  <si>
    <t>Alterations to include erection of a single-storey rear/side extension to increase HMO from 7 to 8.</t>
  </si>
  <si>
    <t>Conventional Supply Housing Trajectory Assumptions</t>
  </si>
  <si>
    <t>New Build Development</t>
  </si>
  <si>
    <t>Criteria</t>
  </si>
  <si>
    <t>New build sites completed by 31 March 2020</t>
  </si>
  <si>
    <t>Completions between 1 April 2019 and 31 March 2020 are counted in the reporting year.</t>
  </si>
  <si>
    <t>New build sites of less than twenty new residential units under construction at 31 March 2020</t>
  </si>
  <si>
    <t>Sites known to be under construction between 1 April 2019 and 30 September 2019 are phased in the first year of the five-year supply, 2020/21.</t>
  </si>
  <si>
    <t>Sites not known to be under construction in the first six months of 2019/20 are phased over the first two years of the five-year supply, 2020/21 and 2021/22.</t>
  </si>
  <si>
    <t>New build sites of twenty or more new residential units under construction at 31 March 2020</t>
  </si>
  <si>
    <t>Phasing based on responses to the annual survey of applicants and agents.</t>
  </si>
  <si>
    <t>Where it has not been possible to contact the applicant or agent and no alternative source of phasing is available, sites are phased in the five-year supply, over the four years between 2021/22 and 2024/25.</t>
  </si>
  <si>
    <t xml:space="preserve">New build sites with unimplemented planning permission (full, outline or subject to legal agreement) at 31 March 2020 for less than six new residential units </t>
  </si>
  <si>
    <t>Phased in the five-year supply, over the four years between 2021/22 and 2024/25.</t>
  </si>
  <si>
    <t>New build sites with unimplemented planning permission (full, outline or subject to legal agreement) at 31 March 2020 for six or more new residential units</t>
  </si>
  <si>
    <t>Where it has not been possible to contact the applicant or agent and no alternative source of phasing is available, outline permissions for ten or more new residential units or permissions approved subject to legal agreements being made are phased outside the five-year supply, in the three years between 2025/26 and 2027/28.</t>
  </si>
  <si>
    <t>Where it has not been possible to contact the applicant or agent and no alternative source of phasing is available, other permissions are phased within the five-year supply, in the three years between 2023/24 and 2025/26.</t>
  </si>
  <si>
    <t>New build sites with applications or appeals outstanding at 31 March 2020 but granted at the time of reporting</t>
  </si>
  <si>
    <t>Phased later in the trajectory, partly in the five-year supply, in the three years between 2024/25 and 2026/27, where no alternative source of phasing is available.</t>
  </si>
  <si>
    <t>New build sites with applications or appeals outstanding at 31 March 2020 and still pending at the time of reporting</t>
  </si>
  <si>
    <t>Identified sites are phased outside the five-year supply, in the three years between 2025/26 and 2027/28, unless an alternative source of phasing is available. Other sites without applications or appeals outstanding are not included in the trajectory.</t>
  </si>
  <si>
    <t>Conversion, Change of Use, Extension or Mixed Development</t>
  </si>
  <si>
    <t>Conversion, change of use, extension or mixed development sites completed by 31 March 2020</t>
  </si>
  <si>
    <t>Conversion, change of use, extension or mixed development sites under construction at 31 March 2020</t>
  </si>
  <si>
    <t>Sites known to be under construction between 1 April 2019 and 30 September 2019 are phased in the first year of the five-year supply 2020/21.</t>
  </si>
  <si>
    <t>Sites not known to be under construction in the first six months of 2018/19 are phased over the first two years of the five-year supply, 2020/21 and 2021/22.</t>
  </si>
  <si>
    <t>Conversion, change of use, extension or mixed development sites with unimplemented planning permission (full, outline or subject to legal agreement) for less than six new residential units at 31 March 2020</t>
  </si>
  <si>
    <t>Sites are phased in the first four years of the five-year supply, between 2020/21 and 2023/24.</t>
  </si>
  <si>
    <t>Conversion, change of use, extension or mixed development sites with unimplemented planning permission (full, outline or subject to legal agreement) for six or more new residential units at 31 March 2020</t>
  </si>
  <si>
    <t xml:space="preserve">Phasing based on responses to the annual survey of applicants and agents. </t>
  </si>
  <si>
    <t>Where it has not been possible to contact the applicant or agent and no alternative source of phasing is available and sites are outline permissions or subject to legal agreement and are for ten or more units, these are phased outside the five-year supply, in the four years between 2025/26 and 2028/29.</t>
  </si>
  <si>
    <t>Where it has not been possible to contact the applicant or agent and no alternative source of phasing is available, other permissions are phased within the five-year supply, in the four years between 2020/21 and 2023/24.</t>
  </si>
  <si>
    <t>Conversion, change of use, extension or mixed development sites with applications or appeals outstanding at 31 March 2020 and granted at the time of reporting</t>
  </si>
  <si>
    <t>Phased later in the trajectory, partly in the five-year supply, in the three years between 2024/25 and 2026/27.</t>
  </si>
  <si>
    <t>Identified sites outside of VNEB</t>
  </si>
  <si>
    <t>Phasing and capacity figures are based on the broad assumptions used in the London Strategic Housing Land Availability Assessment (SHLAA) 2017. Figures used are estimates and do not necessarily reflect or pre-determine the acceptable housing capacity of a site. The appropriate level of development for any given site would be determined through planning application discussions with the Council and reflect the planning policies in place at the time. SHLAA phasing is adjusted to remove sites from the five-year housing land supply unless alternative evidence is available.</t>
  </si>
  <si>
    <t>Identified sites in VNEB</t>
  </si>
  <si>
    <r>
      <t xml:space="preserve">Based on a VNEB trajectory using delivery information provided by developers, or, where this was not available, the </t>
    </r>
    <r>
      <rPr>
        <i/>
        <sz val="9"/>
        <rFont val="Arial"/>
        <family val="2"/>
      </rPr>
      <t>2016 Update to Phasing of Development and Infrastructure Funding Requirements in the Nine Elms Vauxhall Area</t>
    </r>
    <r>
      <rPr>
        <sz val="9"/>
        <rFont val="Arial"/>
        <family val="2"/>
      </rPr>
      <t>, undertaken by BNP Paribas Real Estate. Site capacity is based on extant planning permissions, or other assumptions about the site.</t>
    </r>
  </si>
  <si>
    <t>SHLAA Sites</t>
  </si>
  <si>
    <t>SHLAA potential sites</t>
  </si>
  <si>
    <t>These are SHLAA 2017 high probability sites. However, due to the probability approach to assessing potential sites, information on individual potential sites is confidential. The release of detailed information on these sites could lead to misunderstanding as to its status and to its misapplication. Therefore the total for all potential sites is shown in the trajectory. Phasing is matched to the SHLAA 2017, with adjustments to remove sites from the five-year housing land supply unless alternative evidence is available.</t>
  </si>
  <si>
    <t>SHLAA small sites trend</t>
  </si>
  <si>
    <t>The 2017 SHLAA includes a trend- and model-based approach for sites less than 0.25ha. Therefore, in the trajectory, all identified sites less than 0.25ha have been removed. The trend rate rather than the model-based approach has been used as this is consistent with previous years' reporting, and data is available to report on this at a ward level. The small sites trend is only applied from 2022/23 onwards to avoid any potential double counting for those small sites which already have planning permission and are therefore included elsewhere.</t>
  </si>
  <si>
    <t>Other</t>
  </si>
  <si>
    <t>Sites requiring correction</t>
  </si>
  <si>
    <t>Completions incorrectly recorded in previous years' reports are identified.</t>
  </si>
  <si>
    <t>Non-Self-Contained Supply Trajectory Assumptions</t>
  </si>
  <si>
    <t>Phasing Assumptions</t>
  </si>
  <si>
    <t>Sites completed by 31 March 2020</t>
  </si>
  <si>
    <t>y</t>
  </si>
  <si>
    <t>Sites of less than fifty new rooms under construction at 31 March 2020</t>
  </si>
  <si>
    <t>Sites not known to be under construction in the first six months of 2019/20 are phased between 2020/21 and 2021/22.</t>
  </si>
  <si>
    <t>Sites of fifty or more new rooms under construction at 31 March 2020</t>
  </si>
  <si>
    <t>Where it has not been possible to contact the applicant or agent and no alternative source of phasing is available sites are phased within the five-year supply, between the four years of 2021/22 and 2024/25.</t>
  </si>
  <si>
    <t>Sites with unimplemented planning permission (full, outline or subject to legal agreement) at 31 March 2020 for less than fifty new rooms</t>
  </si>
  <si>
    <t>Phased within the five-year supply, between the four years of 2021/22 and 2024/25.</t>
  </si>
  <si>
    <t>Sites with unimplemented planning permission (full, outline or subject to legal agreement) at 31 March 2020 for fifty or more new rooms</t>
  </si>
  <si>
    <t>Where it has not been possible to contact the applicant or agent and no alternative source of phasing is available and sites are outline permissions or subject to legal agreement, these are phased outside the five-year supply, between the four years of 2025/26 and 2028/29.</t>
  </si>
  <si>
    <t>Where it has not been possible to contact the applicant or agent and no alternative source of phasing is available, other permissions are phased mostly within the five-year supply, between the three years of 2023/24 and 2025/26.</t>
  </si>
  <si>
    <t>Sites with applications or appeals outstanding at 31 March 2020 and granted at the time of reporting</t>
  </si>
  <si>
    <t>Phased outside the five-year supply, between the four years of 2025/26 and 2028/29.</t>
  </si>
  <si>
    <t>Abbreviations</t>
  </si>
  <si>
    <t>Full application</t>
  </si>
  <si>
    <t>Outline application</t>
  </si>
  <si>
    <t>Details/reserve matters</t>
  </si>
  <si>
    <t>LDC</t>
  </si>
  <si>
    <t>Lawful development certificate</t>
  </si>
  <si>
    <t>Lawful development certificate existing</t>
  </si>
  <si>
    <t>Lawful development certificate proposed</t>
  </si>
  <si>
    <t>No status - identified potential</t>
  </si>
  <si>
    <t>Notification of prior approval</t>
  </si>
  <si>
    <t>Prior approval given</t>
  </si>
  <si>
    <t>Prior approval not required</t>
  </si>
  <si>
    <t>PAR</t>
  </si>
  <si>
    <t>Prior approval refused</t>
  </si>
  <si>
    <t>Full planning permission</t>
  </si>
  <si>
    <t>Full permission with legal agreement signed</t>
  </si>
  <si>
    <t>PIPA</t>
  </si>
  <si>
    <t>Permission in Principle Application</t>
  </si>
  <si>
    <t>PIPD</t>
  </si>
  <si>
    <t>Permission in Principle</t>
  </si>
  <si>
    <t>Outline planning permission</t>
  </si>
  <si>
    <t>Outline planning permission with legal agreement signed</t>
  </si>
  <si>
    <t>Refused permission</t>
  </si>
  <si>
    <t>Minor material amendment</t>
  </si>
  <si>
    <t>Non-material amendment</t>
  </si>
  <si>
    <t>Variation to legal agreement</t>
  </si>
  <si>
    <t>Permission subject to legal agreement</t>
  </si>
  <si>
    <t>TDA</t>
  </si>
  <si>
    <t>Technical details application</t>
  </si>
  <si>
    <t>Technical details consent</t>
  </si>
  <si>
    <t>APD</t>
  </si>
  <si>
    <t>Appeal dismissed</t>
  </si>
  <si>
    <t>Appeal granted</t>
  </si>
  <si>
    <t>APP</t>
  </si>
  <si>
    <t>Appeal submitted</t>
  </si>
  <si>
    <t>APW</t>
  </si>
  <si>
    <t>Appeal withdrawn</t>
  </si>
  <si>
    <t>No appeal</t>
  </si>
  <si>
    <t>Brownfield</t>
  </si>
  <si>
    <t>GF</t>
  </si>
  <si>
    <t>Greenfield</t>
  </si>
  <si>
    <t>Garden land</t>
  </si>
  <si>
    <t>Change of use</t>
  </si>
  <si>
    <t>Combination</t>
  </si>
  <si>
    <t>Extension</t>
  </si>
  <si>
    <t>Residential conversion / change of use (10+ units)</t>
  </si>
  <si>
    <t>Not applicable (minor residential)</t>
  </si>
  <si>
    <t>New build (10+ units)</t>
  </si>
  <si>
    <t>Office conversion / change of use (10+ units)</t>
  </si>
  <si>
    <t>Other non-residential conversion / change of use (10+ units)</t>
  </si>
  <si>
    <t>House&gt;flats</t>
  </si>
  <si>
    <t>Flats&gt;house</t>
  </si>
  <si>
    <t>Subdivision of flats reducing number of units</t>
  </si>
  <si>
    <t>Subdivision of flats creating more units</t>
  </si>
  <si>
    <t>Conversion of ancillary residential (coach houses etc.)</t>
  </si>
  <si>
    <t>Change of use from A1 (shop)</t>
  </si>
  <si>
    <t>Change of use from B1/A2</t>
  </si>
  <si>
    <t>Change of use from other non-residential (workshops etc.)</t>
  </si>
  <si>
    <t>Loss of residential to non-residential</t>
  </si>
  <si>
    <t>Change of use to live/work</t>
  </si>
  <si>
    <t>Subdivision of houses reducing number of houses</t>
  </si>
  <si>
    <t>Subdivision of houses creating more houses</t>
  </si>
  <si>
    <t>New build 1-9 units</t>
  </si>
  <si>
    <t>Not applicable (large res)</t>
  </si>
  <si>
    <t>Affordable or Intermediate</t>
  </si>
  <si>
    <t>Affordable - Affordable Rent</t>
  </si>
  <si>
    <t>Affordable - Council</t>
  </si>
  <si>
    <t>Affordable - London Affordable Rent</t>
  </si>
  <si>
    <t>Affordable - Social Rent</t>
  </si>
  <si>
    <t>Affordable - Unknown</t>
  </si>
  <si>
    <t>Intermediate - Rent</t>
  </si>
  <si>
    <t>Intermediate - Rent - Discount Market Rent</t>
  </si>
  <si>
    <t>IRL</t>
  </si>
  <si>
    <t>Intermediate - Rent - London Living Rent</t>
  </si>
  <si>
    <t>ISD</t>
  </si>
  <si>
    <t>Intermediate - Sale - Discount Market Sale</t>
  </si>
  <si>
    <t>Intermediate - Sale - Shared Equity</t>
  </si>
  <si>
    <t>ISH</t>
  </si>
  <si>
    <t>Intermediate - Sale - Starter Homes</t>
  </si>
  <si>
    <t>Intermediate - Sale - Shared Ownership</t>
  </si>
  <si>
    <t>Intermediate - Unknown</t>
  </si>
  <si>
    <t>Open Market - Rent</t>
  </si>
  <si>
    <t>OK</t>
  </si>
  <si>
    <t>Other - Key Worker</t>
  </si>
  <si>
    <t>Row Labels</t>
  </si>
  <si>
    <t>Sum of Phase Net Units</t>
  </si>
  <si>
    <t>Grand Total</t>
  </si>
  <si>
    <t>Sum of Net Non-Self-Contained Rooms</t>
  </si>
  <si>
    <t>Column Labels</t>
  </si>
  <si>
    <t>(Multiple Items)</t>
  </si>
  <si>
    <t>Sum of Phase Proposed Units</t>
  </si>
  <si>
    <t>(blank)</t>
  </si>
  <si>
    <t>Total Sum of Phase Proposed Units</t>
  </si>
  <si>
    <t>Total Sum of Phase Net Units</t>
  </si>
  <si>
    <t>(blank) Total</t>
  </si>
  <si>
    <t>Y Total</t>
  </si>
  <si>
    <t>03 Planning Total</t>
  </si>
  <si>
    <t>02 Under Construction Total</t>
  </si>
  <si>
    <t>01 Completion Total</t>
  </si>
  <si>
    <t>Sum of Net Studio Units</t>
  </si>
  <si>
    <t>Sum of Net 1 Bed Units</t>
  </si>
  <si>
    <t>Sum of Net 2 Bed Units</t>
  </si>
  <si>
    <t>Sum of Net 3 Bed Units</t>
  </si>
  <si>
    <t>Sum of Net 4 Bed Units</t>
  </si>
  <si>
    <t>Sum of Net 5+ Bed Units</t>
  </si>
  <si>
    <t>Sum of Net Not Known Bed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</si>
</sst>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dd/mm/yyyy;@"/>
    <numFmt numFmtId="165" formatCode="0.000"/>
    <numFmt numFmtId="166" formatCode="#,##0.000"/>
  </numFmts>
  <fonts count="35">
    <font>
      <sz val="10"/>
      <color theme="1"/>
      <name val="Arial"/>
      <family val="2"/>
    </font>
    <font>
      <sz val="10"/>
      <color theme="1"/>
      <name val="Arial"/>
      <family val="2"/>
    </font>
    <font>
      <sz val="10"/>
      <name val="Arial"/>
      <family val="2"/>
    </font>
    <font>
      <sz val="8"/>
      <name val="Arial"/>
      <family val="2"/>
    </font>
    <font>
      <sz val="9"/>
      <name val="Arial"/>
      <family val="2"/>
    </font>
    <font>
      <b/>
      <sz val="9"/>
      <name val="Arial"/>
      <family val="2"/>
    </font>
    <font>
      <b/>
      <sz val="8"/>
      <name val="Arial"/>
      <family val="2"/>
    </font>
    <font>
      <sz val="9"/>
      <color indexed="10"/>
      <name val="Arial"/>
      <family val="2"/>
    </font>
    <font>
      <sz val="10"/>
      <color indexed="8"/>
      <name val="Arial"/>
      <family val="2"/>
    </font>
    <font>
      <sz val="8"/>
      <color indexed="8"/>
      <name val="Arial"/>
      <family val="2"/>
    </font>
    <font>
      <sz val="8"/>
      <color indexed="10"/>
      <name val="Arial"/>
      <family val="2"/>
    </font>
    <font>
      <b/>
      <sz val="8"/>
      <color indexed="17"/>
      <name val="Arial"/>
      <family val="2"/>
    </font>
    <font>
      <b/>
      <sz val="10"/>
      <name val="Arial"/>
      <family val="2"/>
    </font>
    <font>
      <b/>
      <u/>
      <sz val="8"/>
      <name val="Arial"/>
      <family val="2"/>
    </font>
    <font>
      <i/>
      <sz val="9"/>
      <name val="Arial"/>
      <family val="2"/>
    </font>
    <font>
      <b/>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sz val="10"/>
      <color rgb="FFFF0000"/>
      <name val="Arial"/>
      <family val="2"/>
    </font>
    <font>
      <b/>
      <sz val="14"/>
      <name val="Arial"/>
      <family val="2"/>
    </font>
    <font>
      <sz val="14"/>
      <color theme="1"/>
      <name val="Arial"/>
      <family val="2"/>
    </font>
    <font>
      <sz val="9"/>
      <color theme="1"/>
      <name val="Arial"/>
      <family val="2"/>
    </font>
    <font>
      <sz val="8"/>
      <name val="Calibri"/>
      <family val="2"/>
    </font>
    <font>
      <b/>
      <sz val="12"/>
      <name val="Arial"/>
      <family val="2"/>
    </font>
    <font>
      <b/>
      <sz val="12"/>
      <name val="Arial"/>
      <family val="2"/>
      <scheme val="maj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23">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s>
  <cellStyleXfs count="45">
    <xf numFmtId="0" fontId="0" fillId="3"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5"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7" fillId="6" borderId="0" applyNumberFormat="0" applyBorder="0" applyAlignment="0" applyProtection="0"/>
    <xf numFmtId="0" fontId="18" fillId="9" borderId="2" applyNumberFormat="0" applyAlignment="0" applyProtection="0"/>
    <xf numFmtId="0" fontId="19" fillId="10" borderId="5" applyNumberFormat="0" applyAlignment="0" applyProtection="0"/>
    <xf numFmtId="44" fontId="2"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33" fillId="0" borderId="0" applyNumberFormat="0" applyFill="0" applyBorder="0" applyAlignment="0" applyProtection="0"/>
    <xf numFmtId="0" fontId="12" fillId="0" borderId="0" applyNumberFormat="0" applyFill="0" applyAlignment="0" applyProtection="0"/>
    <xf numFmtId="0" fontId="22" fillId="0" borderId="1" applyNumberFormat="0" applyFill="0" applyAlignment="0" applyProtection="0"/>
    <xf numFmtId="0" fontId="22" fillId="0" borderId="0" applyNumberFormat="0" applyFill="0" applyBorder="0" applyAlignment="0" applyProtection="0"/>
    <xf numFmtId="0" fontId="23" fillId="8" borderId="2" applyNumberFormat="0" applyAlignment="0" applyProtection="0"/>
    <xf numFmtId="0" fontId="24" fillId="0" borderId="4" applyNumberFormat="0" applyFill="0" applyAlignment="0" applyProtection="0"/>
    <xf numFmtId="0" fontId="25" fillId="7" borderId="0" applyNumberFormat="0" applyBorder="0" applyAlignment="0" applyProtection="0"/>
    <xf numFmtId="0" fontId="26" fillId="11" borderId="6" applyNumberFormat="0" applyFont="0" applyAlignment="0" applyProtection="0"/>
    <xf numFmtId="0" fontId="27" fillId="9" borderId="3" applyNumberFormat="0" applyAlignment="0" applyProtection="0"/>
    <xf numFmtId="9" fontId="2" fillId="0" borderId="0" applyFont="0" applyFill="0" applyBorder="0" applyAlignment="0" applyProtection="0"/>
    <xf numFmtId="0" fontId="34" fillId="0" borderId="0" applyNumberFormat="0" applyFill="0" applyBorder="0" applyAlignment="0" applyProtection="0"/>
    <xf numFmtId="0" fontId="15" fillId="0" borderId="7" applyNumberFormat="0" applyFill="0" applyAlignment="0" applyProtection="0"/>
    <xf numFmtId="0" fontId="28" fillId="0" borderId="0" applyNumberFormat="0" applyFill="0" applyBorder="0" applyAlignment="0" applyProtection="0"/>
    <xf numFmtId="43" fontId="2" fillId="0" borderId="0" applyFont="0" applyFill="0" applyBorder="0" applyAlignment="0" applyProtection="0"/>
  </cellStyleXfs>
  <cellXfs count="307">
    <xf numFmtId="0" fontId="0" fillId="3" borderId="0" xfId="0"/>
    <xf numFmtId="0" fontId="8" fillId="2" borderId="0" xfId="0" applyFont="1" applyFill="1"/>
    <xf numFmtId="0" fontId="0" fillId="2" borderId="0" xfId="0" applyFill="1"/>
    <xf numFmtId="0" fontId="4" fillId="2" borderId="0" xfId="0" applyFont="1" applyFill="1"/>
    <xf numFmtId="0" fontId="5" fillId="2" borderId="0" xfId="0" applyFont="1" applyFill="1" applyAlignment="1">
      <alignment wrapText="1"/>
    </xf>
    <xf numFmtId="3" fontId="5" fillId="2" borderId="0" xfId="0" applyNumberFormat="1" applyFont="1" applyFill="1" applyAlignment="1">
      <alignment horizontal="center"/>
    </xf>
    <xf numFmtId="3" fontId="4" fillId="2" borderId="0" xfId="0" applyNumberFormat="1" applyFont="1" applyFill="1" applyAlignment="1">
      <alignment horizontal="center"/>
    </xf>
    <xf numFmtId="0" fontId="5" fillId="2" borderId="0" xfId="0" applyFont="1" applyFill="1"/>
    <xf numFmtId="9" fontId="4" fillId="2" borderId="0" xfId="0" applyNumberFormat="1" applyFont="1" applyFill="1" applyAlignment="1">
      <alignment horizontal="center"/>
    </xf>
    <xf numFmtId="0" fontId="4" fillId="2" borderId="0" xfId="0" applyFont="1" applyFill="1" applyAlignment="1">
      <alignment horizontal="center" vertical="center"/>
    </xf>
    <xf numFmtId="0" fontId="0" fillId="2" borderId="0" xfId="0" applyFill="1" applyAlignment="1">
      <alignment horizontal="center" vertical="center"/>
    </xf>
    <xf numFmtId="0" fontId="7" fillId="2" borderId="0" xfId="0" applyFont="1" applyFill="1"/>
    <xf numFmtId="3" fontId="11" fillId="2" borderId="0" xfId="0" applyNumberFormat="1" applyFont="1" applyFill="1" applyAlignment="1">
      <alignment horizontal="center"/>
    </xf>
    <xf numFmtId="0" fontId="5" fillId="2" borderId="0" xfId="0" applyFont="1" applyFill="1" applyAlignment="1">
      <alignment horizontal="left"/>
    </xf>
    <xf numFmtId="9" fontId="6" fillId="4" borderId="8" xfId="40" applyFont="1" applyFill="1" applyBorder="1" applyAlignment="1">
      <alignment horizontal="right"/>
    </xf>
    <xf numFmtId="3" fontId="6" fillId="4" borderId="8" xfId="0" applyNumberFormat="1" applyFont="1" applyFill="1" applyBorder="1" applyAlignment="1">
      <alignment horizontal="right" wrapText="1"/>
    </xf>
    <xf numFmtId="9" fontId="6" fillId="4" borderId="8" xfId="40" applyFont="1" applyFill="1" applyBorder="1" applyAlignment="1">
      <alignment horizontal="right" wrapText="1"/>
    </xf>
    <xf numFmtId="3" fontId="9" fillId="2" borderId="8" xfId="0" applyNumberFormat="1" applyFont="1" applyFill="1" applyBorder="1" applyAlignment="1">
      <alignment horizontal="right" vertical="center"/>
    </xf>
    <xf numFmtId="3" fontId="3" fillId="0" borderId="8" xfId="0" applyNumberFormat="1" applyFont="1" applyFill="1" applyBorder="1" applyAlignment="1">
      <alignment horizontal="right"/>
    </xf>
    <xf numFmtId="9" fontId="3" fillId="0" borderId="8" xfId="0" applyNumberFormat="1" applyFont="1" applyFill="1" applyBorder="1" applyAlignment="1">
      <alignment horizontal="right"/>
    </xf>
    <xf numFmtId="3" fontId="6" fillId="0" borderId="8" xfId="0" applyNumberFormat="1" applyFont="1" applyFill="1" applyBorder="1" applyAlignment="1">
      <alignment horizontal="right"/>
    </xf>
    <xf numFmtId="9" fontId="6" fillId="0" borderId="8" xfId="0" applyNumberFormat="1" applyFont="1" applyFill="1" applyBorder="1" applyAlignment="1">
      <alignment horizontal="right"/>
    </xf>
    <xf numFmtId="9" fontId="6" fillId="4" borderId="8" xfId="0" applyNumberFormat="1" applyFont="1" applyFill="1" applyBorder="1" applyAlignment="1">
      <alignment horizontal="right"/>
    </xf>
    <xf numFmtId="3" fontId="6" fillId="4" borderId="8" xfId="44" applyNumberFormat="1" applyFont="1" applyFill="1" applyBorder="1" applyAlignment="1">
      <alignment horizontal="right"/>
    </xf>
    <xf numFmtId="3" fontId="3" fillId="4" borderId="8" xfId="0" applyNumberFormat="1" applyFont="1" applyFill="1" applyBorder="1" applyAlignment="1">
      <alignment horizontal="right"/>
    </xf>
    <xf numFmtId="3" fontId="6" fillId="4" borderId="9" xfId="0" applyNumberFormat="1" applyFont="1" applyFill="1" applyBorder="1" applyAlignment="1">
      <alignment wrapText="1"/>
    </xf>
    <xf numFmtId="0" fontId="3" fillId="3" borderId="0" xfId="0" applyFont="1" applyAlignment="1">
      <alignment horizontal="left" vertical="center" wrapText="1"/>
    </xf>
    <xf numFmtId="0" fontId="3" fillId="3" borderId="0" xfId="0" applyFont="1" applyAlignment="1">
      <alignment horizontal="center" vertical="center" wrapText="1"/>
    </xf>
    <xf numFmtId="4" fontId="3" fillId="3" borderId="0" xfId="0" applyNumberFormat="1" applyFont="1" applyAlignment="1">
      <alignment horizontal="right" vertical="center" wrapText="1"/>
    </xf>
    <xf numFmtId="0" fontId="4" fillId="3" borderId="0" xfId="0" applyFont="1"/>
    <xf numFmtId="0" fontId="5" fillId="3" borderId="0" xfId="0" applyFont="1" applyAlignment="1">
      <alignment horizontal="left" vertical="center"/>
    </xf>
    <xf numFmtId="0" fontId="3" fillId="3" borderId="8" xfId="0" applyFont="1" applyBorder="1" applyAlignment="1">
      <alignment horizontal="left" vertical="center" wrapText="1"/>
    </xf>
    <xf numFmtId="3" fontId="3" fillId="3" borderId="8" xfId="0" applyNumberFormat="1" applyFont="1" applyBorder="1" applyAlignment="1">
      <alignment horizontal="right"/>
    </xf>
    <xf numFmtId="3" fontId="3" fillId="3" borderId="8" xfId="0" applyNumberFormat="1" applyFont="1" applyBorder="1" applyAlignment="1">
      <alignment horizontal="right" vertical="center" wrapText="1"/>
    </xf>
    <xf numFmtId="9" fontId="3" fillId="3" borderId="8" xfId="40" applyFont="1" applyFill="1" applyBorder="1" applyAlignment="1">
      <alignment horizontal="right" vertical="center" wrapText="1"/>
    </xf>
    <xf numFmtId="3" fontId="6" fillId="4" borderId="8" xfId="0" applyNumberFormat="1" applyFont="1" applyFill="1" applyBorder="1" applyAlignment="1">
      <alignment horizontal="right"/>
    </xf>
    <xf numFmtId="3" fontId="6" fillId="4" borderId="8" xfId="0" applyNumberFormat="1" applyFont="1" applyFill="1" applyBorder="1" applyAlignment="1">
      <alignment horizontal="right" vertical="center" wrapText="1"/>
    </xf>
    <xf numFmtId="9" fontId="6" fillId="4" borderId="8" xfId="40" applyFont="1" applyFill="1" applyBorder="1" applyAlignment="1">
      <alignment horizontal="right" vertical="center" wrapText="1"/>
    </xf>
    <xf numFmtId="0" fontId="6" fillId="3" borderId="0" xfId="0" applyFont="1" applyAlignment="1">
      <alignment wrapText="1"/>
    </xf>
    <xf numFmtId="3" fontId="6" fillId="3" borderId="0" xfId="0" applyNumberFormat="1" applyFont="1" applyAlignment="1">
      <alignment horizontal="right"/>
    </xf>
    <xf numFmtId="9" fontId="6" fillId="3" borderId="0" xfId="40" applyFont="1" applyFill="1" applyBorder="1" applyAlignment="1">
      <alignment horizontal="right"/>
    </xf>
    <xf numFmtId="0" fontId="0" fillId="3" borderId="0" xfId="0" applyAlignment="1">
      <alignment horizontal="left"/>
    </xf>
    <xf numFmtId="0" fontId="5" fillId="0" borderId="0" xfId="0" applyFont="1" applyFill="1" applyAlignment="1">
      <alignment horizontal="center" wrapText="1"/>
    </xf>
    <xf numFmtId="0" fontId="4" fillId="0" borderId="0" xfId="0" applyFont="1" applyFill="1" applyAlignment="1">
      <alignment horizontal="center"/>
    </xf>
    <xf numFmtId="0" fontId="0" fillId="3" borderId="0" xfId="0" pivotButton="1"/>
    <xf numFmtId="0" fontId="3" fillId="3" borderId="9" xfId="0" applyFont="1" applyBorder="1" applyAlignment="1">
      <alignment horizontal="center" vertical="center" wrapText="1"/>
    </xf>
    <xf numFmtId="0" fontId="3" fillId="3" borderId="0" xfId="0" applyFont="1"/>
    <xf numFmtId="0" fontId="3" fillId="3" borderId="0" xfId="0" applyFont="1" applyAlignment="1">
      <alignment vertical="center" wrapText="1"/>
    </xf>
    <xf numFmtId="0" fontId="5" fillId="36" borderId="19" xfId="0" applyFont="1" applyFill="1" applyBorder="1"/>
    <xf numFmtId="0" fontId="5" fillId="3" borderId="14" xfId="0" applyFont="1" applyBorder="1"/>
    <xf numFmtId="0" fontId="5" fillId="3" borderId="0" xfId="0" applyFont="1"/>
    <xf numFmtId="0" fontId="3" fillId="36" borderId="8" xfId="0" applyFont="1" applyFill="1" applyBorder="1" applyAlignment="1">
      <alignment horizontal="center" vertical="center"/>
    </xf>
    <xf numFmtId="0" fontId="3" fillId="36" borderId="8" xfId="0" applyFont="1" applyFill="1" applyBorder="1" applyAlignment="1">
      <alignment horizontal="center"/>
    </xf>
    <xf numFmtId="0" fontId="30" fillId="3" borderId="0" xfId="0" applyFont="1"/>
    <xf numFmtId="0" fontId="6" fillId="36" borderId="8" xfId="0" applyFont="1" applyFill="1" applyBorder="1" applyAlignment="1">
      <alignment horizontal="center"/>
    </xf>
    <xf numFmtId="0" fontId="6" fillId="4" borderId="8" xfId="0" applyFont="1" applyFill="1" applyBorder="1"/>
    <xf numFmtId="0" fontId="3" fillId="2" borderId="11" xfId="0" applyFont="1" applyFill="1" applyBorder="1"/>
    <xf numFmtId="0" fontId="3" fillId="2" borderId="9" xfId="0" applyFont="1" applyFill="1" applyBorder="1"/>
    <xf numFmtId="0" fontId="5" fillId="3" borderId="0" xfId="0" applyFont="1" applyAlignment="1">
      <alignment horizontal="left"/>
    </xf>
    <xf numFmtId="0" fontId="0" fillId="2" borderId="0" xfId="0" applyFill="1" applyAlignment="1">
      <alignment vertical="center"/>
    </xf>
    <xf numFmtId="0" fontId="12" fillId="2" borderId="0" xfId="0" applyFont="1" applyFill="1" applyAlignment="1">
      <alignment wrapText="1"/>
    </xf>
    <xf numFmtId="0" fontId="3" fillId="3" borderId="19" xfId="0" applyFont="1" applyBorder="1"/>
    <xf numFmtId="3" fontId="6" fillId="3" borderId="19" xfId="0" applyNumberFormat="1" applyFont="1" applyBorder="1" applyAlignment="1">
      <alignment horizontal="right"/>
    </xf>
    <xf numFmtId="0" fontId="10" fillId="2" borderId="0" xfId="0" applyFont="1" applyFill="1"/>
    <xf numFmtId="0" fontId="0" fillId="2" borderId="19" xfId="0" applyFill="1" applyBorder="1"/>
    <xf numFmtId="0" fontId="6" fillId="2" borderId="0" xfId="0" applyFont="1" applyFill="1"/>
    <xf numFmtId="0" fontId="13" fillId="2" borderId="0" xfId="0" applyFont="1" applyFill="1" applyAlignment="1">
      <alignment horizontal="left" indent="1"/>
    </xf>
    <xf numFmtId="0" fontId="6" fillId="2" borderId="0" xfId="0" applyFont="1" applyFill="1" applyAlignment="1">
      <alignment horizontal="left"/>
    </xf>
    <xf numFmtId="0" fontId="4" fillId="36" borderId="9" xfId="0" applyFont="1" applyFill="1" applyBorder="1"/>
    <xf numFmtId="0" fontId="4" fillId="36" borderId="11" xfId="0" applyFont="1" applyFill="1" applyBorder="1"/>
    <xf numFmtId="14" fontId="4" fillId="36" borderId="10" xfId="0" applyNumberFormat="1" applyFont="1" applyFill="1" applyBorder="1" applyAlignment="1">
      <alignment horizontal="right"/>
    </xf>
    <xf numFmtId="0" fontId="5" fillId="36" borderId="12" xfId="0" applyFont="1" applyFill="1" applyBorder="1"/>
    <xf numFmtId="0" fontId="5" fillId="36" borderId="13" xfId="0" applyFont="1" applyFill="1" applyBorder="1"/>
    <xf numFmtId="0" fontId="3" fillId="3" borderId="8" xfId="0" applyFont="1" applyBorder="1" applyAlignment="1">
      <alignment horizontal="center" vertical="center" wrapText="1"/>
    </xf>
    <xf numFmtId="0" fontId="3" fillId="3" borderId="8" xfId="0" applyFont="1" applyBorder="1" applyAlignment="1">
      <alignment horizontal="left"/>
    </xf>
    <xf numFmtId="0" fontId="6" fillId="36" borderId="8" xfId="0" applyFont="1" applyFill="1" applyBorder="1" applyAlignment="1">
      <alignment horizontal="left" vertical="center"/>
    </xf>
    <xf numFmtId="0" fontId="3" fillId="2" borderId="8" xfId="0" applyFont="1" applyFill="1" applyBorder="1"/>
    <xf numFmtId="0" fontId="6" fillId="0" borderId="8" xfId="0" applyFont="1" applyFill="1" applyBorder="1"/>
    <xf numFmtId="0" fontId="6" fillId="2" borderId="8" xfId="0" applyFont="1" applyFill="1" applyBorder="1"/>
    <xf numFmtId="0" fontId="6" fillId="3" borderId="0" xfId="0" applyFont="1" applyAlignment="1">
      <alignment horizontal="left"/>
    </xf>
    <xf numFmtId="3" fontId="6" fillId="3" borderId="0" xfId="0" applyNumberFormat="1" applyFont="1" applyAlignment="1">
      <alignment horizontal="right" vertical="center" wrapText="1"/>
    </xf>
    <xf numFmtId="9" fontId="6" fillId="3" borderId="0" xfId="40" applyFont="1" applyFill="1" applyBorder="1" applyAlignment="1">
      <alignment horizontal="right" vertical="center" wrapText="1"/>
    </xf>
    <xf numFmtId="0" fontId="3" fillId="2" borderId="0" xfId="0" applyFont="1" applyFill="1"/>
    <xf numFmtId="0" fontId="29" fillId="3" borderId="0" xfId="0" applyFont="1"/>
    <xf numFmtId="0" fontId="4" fillId="2" borderId="8" xfId="0" applyFont="1" applyFill="1" applyBorder="1" applyAlignment="1">
      <alignment vertical="top"/>
    </xf>
    <xf numFmtId="0" fontId="31" fillId="2" borderId="8" xfId="0" applyFont="1" applyFill="1" applyBorder="1" applyAlignment="1">
      <alignment vertical="top"/>
    </xf>
    <xf numFmtId="0" fontId="31" fillId="2" borderId="0" xfId="0" applyFont="1" applyFill="1" applyAlignment="1">
      <alignment vertical="center"/>
    </xf>
    <xf numFmtId="0" fontId="4" fillId="2" borderId="8" xfId="0" applyFont="1" applyFill="1" applyBorder="1"/>
    <xf numFmtId="0" fontId="4" fillId="2" borderId="18" xfId="0" applyFont="1" applyFill="1" applyBorder="1"/>
    <xf numFmtId="0" fontId="4" fillId="0" borderId="0" xfId="0" applyFont="1" applyFill="1"/>
    <xf numFmtId="3" fontId="4" fillId="0" borderId="0" xfId="0" applyNumberFormat="1" applyFont="1" applyFill="1"/>
    <xf numFmtId="0" fontId="5" fillId="4" borderId="19" xfId="0" applyFont="1" applyFill="1" applyBorder="1" applyAlignment="1">
      <alignment horizontal="right" vertical="center"/>
    </xf>
    <xf numFmtId="0" fontId="5" fillId="4" borderId="12" xfId="0" applyFont="1" applyFill="1" applyBorder="1" applyAlignment="1">
      <alignment horizontal="right" vertical="center"/>
    </xf>
    <xf numFmtId="0" fontId="5" fillId="4" borderId="14" xfId="0" applyFont="1" applyFill="1" applyBorder="1" applyAlignment="1">
      <alignment horizontal="right" vertical="center"/>
    </xf>
    <xf numFmtId="0" fontId="5" fillId="4" borderId="0" xfId="0" applyFont="1" applyFill="1" applyAlignment="1">
      <alignment horizontal="right" vertical="center"/>
    </xf>
    <xf numFmtId="0" fontId="5" fillId="4" borderId="21" xfId="0" applyFont="1" applyFill="1" applyBorder="1" applyAlignment="1">
      <alignment horizontal="right" vertical="center"/>
    </xf>
    <xf numFmtId="3" fontId="5" fillId="4" borderId="15" xfId="0" applyNumberFormat="1" applyFont="1" applyFill="1" applyBorder="1" applyAlignment="1">
      <alignment horizontal="right" vertical="center"/>
    </xf>
    <xf numFmtId="3" fontId="5" fillId="4" borderId="20" xfId="0" applyNumberFormat="1" applyFont="1" applyFill="1" applyBorder="1" applyAlignment="1">
      <alignment horizontal="right" vertical="center"/>
    </xf>
    <xf numFmtId="3" fontId="5" fillId="4" borderId="16" xfId="0" applyNumberFormat="1" applyFont="1" applyFill="1" applyBorder="1" applyAlignment="1">
      <alignment horizontal="right" vertical="center"/>
    </xf>
    <xf numFmtId="0" fontId="4" fillId="4" borderId="13" xfId="0" applyFont="1" applyFill="1" applyBorder="1" applyAlignment="1">
      <alignment vertical="center" wrapText="1"/>
    </xf>
    <xf numFmtId="3" fontId="4" fillId="3" borderId="19" xfId="0" applyNumberFormat="1" applyFont="1" applyBorder="1" applyAlignment="1">
      <alignment horizontal="right" vertical="center"/>
    </xf>
    <xf numFmtId="3" fontId="4" fillId="3" borderId="13" xfId="0" applyNumberFormat="1" applyFont="1" applyBorder="1" applyAlignment="1">
      <alignment horizontal="right" vertical="center"/>
    </xf>
    <xf numFmtId="0" fontId="4" fillId="4" borderId="21" xfId="0" applyFont="1" applyFill="1" applyBorder="1" applyAlignment="1">
      <alignment vertical="center" wrapText="1"/>
    </xf>
    <xf numFmtId="3" fontId="4" fillId="3" borderId="21" xfId="0" applyNumberFormat="1" applyFont="1" applyBorder="1" applyAlignment="1">
      <alignment horizontal="right" vertical="center"/>
    </xf>
    <xf numFmtId="3" fontId="4" fillId="3" borderId="14" xfId="0" applyNumberFormat="1" applyFont="1" applyBorder="1" applyAlignment="1">
      <alignment horizontal="right" vertical="center"/>
    </xf>
    <xf numFmtId="3" fontId="4" fillId="3" borderId="0" xfId="0" applyNumberFormat="1" applyFont="1" applyAlignment="1">
      <alignment horizontal="right" vertical="center"/>
    </xf>
    <xf numFmtId="0" fontId="4" fillId="4" borderId="16" xfId="0" applyFont="1" applyFill="1" applyBorder="1" applyAlignment="1">
      <alignment vertical="center" wrapText="1"/>
    </xf>
    <xf numFmtId="3" fontId="4" fillId="3" borderId="15" xfId="0" applyNumberFormat="1" applyFont="1" applyBorder="1" applyAlignment="1">
      <alignment horizontal="right" vertical="center"/>
    </xf>
    <xf numFmtId="3" fontId="4" fillId="3" borderId="16" xfId="0" applyNumberFormat="1" applyFont="1" applyBorder="1" applyAlignment="1">
      <alignment horizontal="right" vertical="center"/>
    </xf>
    <xf numFmtId="3" fontId="4" fillId="3" borderId="12" xfId="0" applyNumberFormat="1" applyFont="1" applyBorder="1" applyAlignment="1">
      <alignment horizontal="right" vertical="center"/>
    </xf>
    <xf numFmtId="3" fontId="4" fillId="3" borderId="20" xfId="0" applyNumberFormat="1" applyFont="1" applyBorder="1" applyAlignment="1">
      <alignment horizontal="right" vertical="center"/>
    </xf>
    <xf numFmtId="0" fontId="4" fillId="3" borderId="0" xfId="0" applyFont="1" applyAlignment="1">
      <alignment horizontal="right"/>
    </xf>
    <xf numFmtId="0" fontId="0" fillId="3" borderId="16" xfId="0" applyBorder="1"/>
    <xf numFmtId="0" fontId="5" fillId="4" borderId="13" xfId="0" applyFont="1" applyFill="1" applyBorder="1" applyAlignment="1">
      <alignment horizontal="right" vertical="center"/>
    </xf>
    <xf numFmtId="0" fontId="5" fillId="0" borderId="0" xfId="0" applyFont="1" applyFill="1" applyAlignment="1">
      <alignment wrapText="1"/>
    </xf>
    <xf numFmtId="3" fontId="5" fillId="0" borderId="0" xfId="0" applyNumberFormat="1" applyFont="1" applyFill="1" applyAlignment="1">
      <alignment wrapText="1"/>
    </xf>
    <xf numFmtId="164" fontId="5" fillId="0" borderId="0" xfId="0" applyNumberFormat="1" applyFont="1" applyFill="1" applyAlignment="1">
      <alignment horizontal="center" wrapText="1"/>
    </xf>
    <xf numFmtId="164" fontId="4" fillId="0" borderId="0" xfId="0" applyNumberFormat="1" applyFont="1" applyFill="1" applyAlignment="1">
      <alignment horizontal="center"/>
    </xf>
    <xf numFmtId="0" fontId="3" fillId="0" borderId="8" xfId="0" applyFont="1" applyFill="1" applyBorder="1"/>
    <xf numFmtId="3" fontId="3" fillId="2" borderId="8" xfId="0" applyNumberFormat="1" applyFont="1" applyFill="1" applyBorder="1" applyAlignment="1">
      <alignment horizontal="right"/>
    </xf>
    <xf numFmtId="0" fontId="0" fillId="3" borderId="21" xfId="0" applyBorder="1"/>
    <xf numFmtId="0" fontId="0" fillId="3" borderId="19" xfId="0" applyBorder="1"/>
    <xf numFmtId="0" fontId="0" fillId="3" borderId="20" xfId="0" applyBorder="1"/>
    <xf numFmtId="0" fontId="4" fillId="0" borderId="0" xfId="0" applyFont="1" applyFill="1" applyAlignment="1">
      <alignment horizontal="left"/>
    </xf>
    <xf numFmtId="14" fontId="5" fillId="0" borderId="0" xfId="0" applyNumberFormat="1" applyFont="1" applyFill="1" applyAlignment="1">
      <alignment horizontal="center" wrapText="1"/>
    </xf>
    <xf numFmtId="14" fontId="4" fillId="0" borderId="0" xfId="0" applyNumberFormat="1" applyFont="1" applyFill="1" applyAlignment="1">
      <alignment horizontal="center"/>
    </xf>
    <xf numFmtId="165" fontId="4" fillId="0" borderId="0" xfId="0" applyNumberFormat="1" applyFont="1" applyFill="1"/>
    <xf numFmtId="0" fontId="33" fillId="3" borderId="0" xfId="31" applyFill="1" applyBorder="1" applyAlignment="1">
      <alignment horizontal="left"/>
    </xf>
    <xf numFmtId="0" fontId="33" fillId="3" borderId="0" xfId="31" applyFill="1" applyBorder="1" applyAlignment="1">
      <alignment horizontal="center" vertical="center" wrapText="1"/>
    </xf>
    <xf numFmtId="0" fontId="33" fillId="2" borderId="0" xfId="31" applyFill="1" applyBorder="1" applyAlignment="1">
      <alignment horizontal="left"/>
    </xf>
    <xf numFmtId="0" fontId="33" fillId="2" borderId="0" xfId="31" applyFill="1" applyBorder="1"/>
    <xf numFmtId="0" fontId="12" fillId="2" borderId="0" xfId="32" applyFill="1"/>
    <xf numFmtId="0" fontId="12" fillId="2" borderId="0" xfId="32" applyFill="1" applyAlignment="1">
      <alignment horizontal="left"/>
    </xf>
    <xf numFmtId="0" fontId="33" fillId="2" borderId="0" xfId="31" applyFill="1" applyAlignment="1">
      <alignment horizontal="left"/>
    </xf>
    <xf numFmtId="0" fontId="12" fillId="2" borderId="0" xfId="32" applyFill="1" applyAlignment="1"/>
    <xf numFmtId="0" fontId="33" fillId="3" borderId="0" xfId="31" applyFill="1"/>
    <xf numFmtId="0" fontId="3" fillId="4" borderId="8" xfId="0" applyFont="1" applyFill="1" applyBorder="1"/>
    <xf numFmtId="3" fontId="3" fillId="4" borderId="8" xfId="0" applyNumberFormat="1" applyFont="1" applyFill="1" applyBorder="1" applyAlignment="1">
      <alignment horizontal="right" vertical="center"/>
    </xf>
    <xf numFmtId="0" fontId="12" fillId="0" borderId="0" xfId="32" applyFill="1"/>
    <xf numFmtId="3" fontId="5" fillId="0" borderId="0" xfId="0" applyNumberFormat="1" applyFont="1" applyFill="1" applyAlignment="1">
      <alignment horizontal="right" wrapText="1"/>
    </xf>
    <xf numFmtId="3" fontId="4" fillId="0" borderId="0" xfId="0" applyNumberFormat="1" applyFont="1" applyFill="1" applyAlignment="1">
      <alignment horizontal="right"/>
    </xf>
    <xf numFmtId="0" fontId="4" fillId="0" borderId="0" xfId="0" applyFont="1" applyFill="1" applyAlignment="1">
      <alignment horizontal="right"/>
    </xf>
    <xf numFmtId="3" fontId="4" fillId="0" borderId="0" xfId="0" applyNumberFormat="1" applyFont="1" applyFill="1" applyAlignment="1">
      <alignment horizontal="center"/>
    </xf>
    <xf numFmtId="166" fontId="5" fillId="0" borderId="0" xfId="0" applyNumberFormat="1" applyFont="1" applyFill="1" applyAlignment="1">
      <alignment horizontal="right" wrapText="1"/>
    </xf>
    <xf numFmtId="166" fontId="4" fillId="0" borderId="0" xfId="0" applyNumberFormat="1" applyFont="1" applyFill="1" applyAlignment="1">
      <alignment horizontal="right"/>
    </xf>
    <xf numFmtId="0" fontId="0" fillId="4" borderId="16" xfId="0" applyFill="1" applyBorder="1"/>
    <xf numFmtId="0" fontId="0" fillId="2" borderId="0" xfId="0" applyFill="1" applyAlignment="1">
      <alignment vertical="center" wrapText="1"/>
    </xf>
    <xf numFmtId="0" fontId="31" fillId="2" borderId="0" xfId="0" applyFont="1" applyFill="1" applyAlignment="1">
      <alignment vertical="center" wrapText="1"/>
    </xf>
    <xf numFmtId="0" fontId="4" fillId="2" borderId="0" xfId="0" applyFont="1" applyFill="1" applyAlignment="1">
      <alignment horizontal="left" vertical="top" wrapText="1"/>
    </xf>
    <xf numFmtId="0" fontId="31" fillId="2" borderId="0" xfId="0" applyFont="1" applyFill="1" applyAlignment="1">
      <alignment wrapText="1"/>
    </xf>
    <xf numFmtId="0" fontId="5" fillId="36" borderId="8" xfId="0" applyFont="1" applyFill="1" applyBorder="1" applyAlignment="1">
      <alignment vertical="top" wrapText="1"/>
    </xf>
    <xf numFmtId="0" fontId="0" fillId="2" borderId="0" xfId="0" applyFill="1" applyAlignment="1">
      <alignment wrapText="1"/>
    </xf>
    <xf numFmtId="0" fontId="0" fillId="2" borderId="8" xfId="0" applyFill="1" applyBorder="1" applyAlignment="1">
      <alignment horizontal="center" vertical="center" wrapText="1"/>
    </xf>
    <xf numFmtId="0" fontId="4" fillId="0" borderId="8" xfId="0" applyFont="1" applyFill="1" applyBorder="1" applyAlignment="1">
      <alignment vertical="center" wrapText="1"/>
    </xf>
    <xf numFmtId="0" fontId="0" fillId="2" borderId="18" xfId="0" applyFill="1" applyBorder="1" applyAlignment="1">
      <alignment horizontal="center" vertical="center" wrapText="1"/>
    </xf>
    <xf numFmtId="0" fontId="0" fillId="3" borderId="19" xfId="0" applyBorder="1" applyAlignment="1">
      <alignment horizontal="center" vertical="center" wrapText="1"/>
    </xf>
    <xf numFmtId="0" fontId="4" fillId="3" borderId="19" xfId="0" applyFont="1" applyBorder="1" applyAlignment="1">
      <alignment vertical="center" wrapText="1"/>
    </xf>
    <xf numFmtId="0" fontId="0" fillId="3" borderId="20" xfId="0" applyBorder="1" applyAlignment="1">
      <alignment horizontal="center" vertical="center" wrapText="1"/>
    </xf>
    <xf numFmtId="0" fontId="4" fillId="3" borderId="20" xfId="0" applyFont="1" applyBorder="1" applyAlignment="1">
      <alignment vertical="center" wrapText="1"/>
    </xf>
    <xf numFmtId="0" fontId="4" fillId="2" borderId="8" xfId="0" applyFont="1" applyFill="1" applyBorder="1" applyAlignment="1">
      <alignment vertical="center" wrapText="1"/>
    </xf>
    <xf numFmtId="0" fontId="4" fillId="2" borderId="8" xfId="0" applyFont="1" applyFill="1" applyBorder="1" applyAlignment="1">
      <alignment horizontal="left" vertical="center" wrapText="1"/>
    </xf>
    <xf numFmtId="0" fontId="0" fillId="2" borderId="19" xfId="0" applyFill="1" applyBorder="1" applyAlignment="1">
      <alignment horizontal="center" vertical="center" wrapText="1"/>
    </xf>
    <xf numFmtId="0" fontId="4" fillId="2" borderId="19" xfId="0" applyFont="1" applyFill="1" applyBorder="1" applyAlignment="1">
      <alignment vertical="center" wrapText="1"/>
    </xf>
    <xf numFmtId="0" fontId="0" fillId="2" borderId="20" xfId="0" applyFill="1" applyBorder="1" applyAlignment="1">
      <alignment horizontal="center" vertical="center" wrapText="1"/>
    </xf>
    <xf numFmtId="0" fontId="4" fillId="2" borderId="20" xfId="0" applyFont="1" applyFill="1" applyBorder="1" applyAlignment="1">
      <alignment vertical="center" wrapText="1"/>
    </xf>
    <xf numFmtId="0" fontId="0" fillId="2" borderId="0" xfId="0" applyFill="1" applyAlignment="1">
      <alignment horizontal="center" vertical="center" wrapText="1"/>
    </xf>
    <xf numFmtId="0" fontId="4" fillId="2" borderId="0" xfId="0" applyFont="1" applyFill="1" applyAlignment="1">
      <alignment vertical="center" wrapText="1"/>
    </xf>
    <xf numFmtId="0" fontId="5" fillId="0" borderId="0" xfId="0" applyFont="1" applyFill="1" applyAlignment="1">
      <alignment horizontal="right" wrapText="1"/>
    </xf>
    <xf numFmtId="0" fontId="6" fillId="36" borderId="8"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9"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4" borderId="9" xfId="0" applyFont="1" applyFill="1" applyBorder="1" applyAlignment="1">
      <alignment horizontal="left" wrapText="1"/>
    </xf>
    <xf numFmtId="0" fontId="6" fillId="4" borderId="11" xfId="0" applyFont="1" applyFill="1" applyBorder="1" applyAlignment="1">
      <alignment horizontal="left" wrapText="1"/>
    </xf>
    <xf numFmtId="0" fontId="6" fillId="4" borderId="10" xfId="0" applyFont="1" applyFill="1" applyBorder="1" applyAlignment="1">
      <alignment horizontal="left" wrapText="1"/>
    </xf>
    <xf numFmtId="0" fontId="6" fillId="36" borderId="12" xfId="0" applyFont="1" applyFill="1" applyBorder="1" applyAlignment="1">
      <alignment horizontal="center" vertical="center"/>
    </xf>
    <xf numFmtId="0" fontId="6" fillId="36" borderId="13" xfId="0" applyFont="1" applyFill="1" applyBorder="1" applyAlignment="1">
      <alignment horizontal="center" vertical="center"/>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3" fillId="4" borderId="9" xfId="0" applyFont="1" applyFill="1" applyBorder="1" applyAlignment="1">
      <alignment horizontal="left" wrapText="1"/>
    </xf>
    <xf numFmtId="0" fontId="3" fillId="4" borderId="11" xfId="0" applyFont="1" applyFill="1" applyBorder="1" applyAlignment="1">
      <alignment horizontal="left" wrapText="1"/>
    </xf>
    <xf numFmtId="0" fontId="3" fillId="4" borderId="10" xfId="0" applyFont="1" applyFill="1" applyBorder="1" applyAlignment="1">
      <alignment horizontal="left" wrapText="1"/>
    </xf>
    <xf numFmtId="0" fontId="6" fillId="36" borderId="19"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3" fillId="0" borderId="9" xfId="0" applyFont="1" applyFill="1" applyBorder="1" applyAlignment="1">
      <alignment wrapText="1"/>
    </xf>
    <xf numFmtId="0" fontId="3" fillId="2" borderId="8" xfId="0" applyFont="1" applyFill="1" applyBorder="1" applyAlignment="1">
      <alignment horizontal="left"/>
    </xf>
    <xf numFmtId="0" fontId="6" fillId="36" borderId="8" xfId="0" applyFont="1" applyFill="1" applyBorder="1" applyAlignment="1">
      <alignment horizontal="center" vertical="center"/>
    </xf>
    <xf numFmtId="0" fontId="6" fillId="36" borderId="8" xfId="0" applyFont="1" applyFill="1" applyBorder="1" applyAlignment="1">
      <alignment horizontal="center" vertical="center" wrapText="1"/>
    </xf>
    <xf numFmtId="0" fontId="6" fillId="4" borderId="8"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6" fillId="36" borderId="8" xfId="0" applyFont="1" applyFill="1" applyBorder="1" applyAlignment="1">
      <alignment horizontal="left" vertical="center" wrapText="1"/>
    </xf>
    <xf numFmtId="0" fontId="6" fillId="4" borderId="8" xfId="0" applyFont="1" applyFill="1" applyBorder="1" applyAlignment="1">
      <alignment wrapText="1"/>
    </xf>
    <xf numFmtId="3" fontId="6" fillId="4" borderId="8" xfId="44" applyNumberFormat="1" applyFont="1" applyFill="1" applyBorder="1" applyAlignment="1">
      <alignment horizontal="left"/>
    </xf>
    <xf numFmtId="0" fontId="6" fillId="36" borderId="8" xfId="0" applyFont="1" applyFill="1" applyBorder="1" applyAlignment="1">
      <alignment horizontal="center"/>
    </xf>
    <xf numFmtId="0" fontId="3" fillId="2" borderId="8" xfId="0" applyFont="1" applyFill="1" applyBorder="1" applyAlignment="1">
      <alignment vertical="top"/>
    </xf>
    <xf numFmtId="0" fontId="3" fillId="2" borderId="8" xfId="0" applyFont="1" applyFill="1" applyBorder="1" applyAlignment="1">
      <alignment vertical="center"/>
    </xf>
    <xf numFmtId="0" fontId="34" fillId="3" borderId="0" xfId="41" applyFill="1" applyBorder="1" applyAlignment="1">
      <alignment horizontal="center" vertical="center" wrapText="1"/>
    </xf>
    <xf numFmtId="0" fontId="6" fillId="36" borderId="14" xfId="0" applyFont="1" applyFill="1" applyBorder="1" applyAlignment="1">
      <alignment horizontal="center" vertical="center"/>
    </xf>
    <xf numFmtId="0" fontId="6" fillId="36" borderId="21" xfId="0" applyFont="1" applyFill="1" applyBorder="1" applyAlignment="1">
      <alignment horizontal="center" vertical="center"/>
    </xf>
    <xf numFmtId="0" fontId="6" fillId="36" borderId="14"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4" borderId="8" xfId="0" applyFont="1" applyFill="1" applyBorder="1" applyAlignment="1">
      <alignment horizontal="left" vertical="center"/>
    </xf>
    <xf numFmtId="0" fontId="6" fillId="36" borderId="9" xfId="0" applyFont="1" applyFill="1" applyBorder="1" applyAlignment="1">
      <alignment horizontal="left"/>
    </xf>
    <xf numFmtId="0" fontId="6" fillId="36" borderId="10" xfId="0" applyFont="1" applyFill="1" applyBorder="1" applyAlignment="1">
      <alignment horizontal="left"/>
    </xf>
    <xf numFmtId="0" fontId="3" fillId="0" borderId="8" xfId="0" applyFont="1" applyFill="1" applyBorder="1" applyAlignment="1">
      <alignment horizontal="left" vertical="center"/>
    </xf>
    <xf numFmtId="3" fontId="6" fillId="4" borderId="8" xfId="0" applyNumberFormat="1" applyFont="1" applyFill="1" applyBorder="1" applyAlignment="1">
      <alignment horizontal="right"/>
    </xf>
    <xf numFmtId="3" fontId="6" fillId="4" borderId="8" xfId="0" applyNumberFormat="1" applyFont="1" applyFill="1" applyBorder="1" applyAlignment="1">
      <alignment horizontal="left"/>
    </xf>
    <xf numFmtId="3" fontId="6" fillId="4" borderId="9" xfId="0" applyNumberFormat="1" applyFont="1" applyFill="1" applyBorder="1" applyAlignment="1">
      <alignment horizontal="left"/>
    </xf>
    <xf numFmtId="3" fontId="6" fillId="4" borderId="11" xfId="0" applyNumberFormat="1" applyFont="1" applyFill="1" applyBorder="1" applyAlignment="1">
      <alignment horizontal="left"/>
    </xf>
    <xf numFmtId="3" fontId="6" fillId="4" borderId="10" xfId="0" applyNumberFormat="1" applyFont="1" applyFill="1" applyBorder="1" applyAlignment="1">
      <alignment horizontal="left"/>
    </xf>
    <xf numFmtId="3" fontId="6" fillId="36" borderId="8" xfId="0" applyNumberFormat="1" applyFont="1" applyFill="1" applyBorder="1" applyAlignment="1">
      <alignment horizontal="center"/>
    </xf>
    <xf numFmtId="0" fontId="3" fillId="3" borderId="9" xfId="0" applyFont="1" applyBorder="1" applyAlignment="1">
      <alignment horizontal="left"/>
    </xf>
    <xf numFmtId="0" fontId="3" fillId="3" borderId="10" xfId="0" applyFont="1" applyBorder="1" applyAlignment="1">
      <alignment horizontal="left"/>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36" borderId="9" xfId="0" applyFont="1" applyFill="1" applyBorder="1" applyAlignment="1">
      <alignment horizontal="center"/>
    </xf>
    <xf numFmtId="0" fontId="6" fillId="36" borderId="10" xfId="0" applyFont="1" applyFill="1" applyBorder="1" applyAlignment="1">
      <alignment horizontal="center"/>
    </xf>
    <xf numFmtId="44" fontId="6" fillId="36" borderId="8" xfId="28" applyFont="1" applyFill="1" applyBorder="1" applyAlignment="1">
      <alignment horizontal="center"/>
    </xf>
    <xf numFmtId="0" fontId="6" fillId="36" borderId="8" xfId="0" applyFont="1" applyFill="1" applyBorder="1" applyAlignment="1">
      <alignment vertical="center" wrapText="1"/>
    </xf>
    <xf numFmtId="0" fontId="3" fillId="0" borderId="8" xfId="0" applyFont="1" applyFill="1" applyBorder="1" applyAlignment="1">
      <alignment horizontal="left"/>
    </xf>
    <xf numFmtId="0" fontId="3" fillId="0" borderId="11" xfId="0" applyFont="1" applyFill="1" applyBorder="1" applyAlignment="1">
      <alignment wrapText="1"/>
    </xf>
    <xf numFmtId="0" fontId="3" fillId="0" borderId="10" xfId="0" applyFont="1" applyFill="1" applyBorder="1" applyAlignment="1">
      <alignment wrapText="1"/>
    </xf>
    <xf numFmtId="0" fontId="6" fillId="4" borderId="9" xfId="0" applyFont="1" applyFill="1" applyBorder="1" applyAlignment="1">
      <alignment wrapText="1"/>
    </xf>
    <xf numFmtId="0" fontId="6" fillId="4" borderId="11" xfId="0" applyFont="1" applyFill="1" applyBorder="1" applyAlignment="1">
      <alignment wrapText="1"/>
    </xf>
    <xf numFmtId="0" fontId="6" fillId="4" borderId="10" xfId="0" applyFont="1" applyFill="1" applyBorder="1" applyAlignment="1">
      <alignment wrapText="1"/>
    </xf>
    <xf numFmtId="0" fontId="6" fillId="36" borderId="11" xfId="0" applyFont="1" applyFill="1" applyBorder="1" applyAlignment="1">
      <alignment horizontal="left"/>
    </xf>
    <xf numFmtId="3" fontId="5" fillId="36" borderId="9" xfId="0" applyNumberFormat="1" applyFont="1" applyFill="1" applyBorder="1" applyAlignment="1">
      <alignment horizontal="center" vertical="center"/>
    </xf>
    <xf numFmtId="3" fontId="5" fillId="36" borderId="11" xfId="0" applyNumberFormat="1" applyFont="1" applyFill="1" applyBorder="1" applyAlignment="1">
      <alignment horizontal="center" vertical="center"/>
    </xf>
    <xf numFmtId="3" fontId="5" fillId="36" borderId="10" xfId="0" applyNumberFormat="1" applyFont="1" applyFill="1" applyBorder="1" applyAlignment="1">
      <alignment horizontal="center" vertical="center"/>
    </xf>
    <xf numFmtId="0" fontId="5" fillId="36" borderId="15" xfId="0" applyFont="1" applyFill="1" applyBorder="1" applyAlignment="1">
      <alignment horizontal="left" vertical="center" wrapText="1"/>
    </xf>
    <xf numFmtId="0" fontId="5" fillId="36" borderId="16" xfId="0" applyFont="1" applyFill="1" applyBorder="1" applyAlignment="1">
      <alignment horizontal="left" vertical="center" wrapText="1"/>
    </xf>
    <xf numFmtId="0" fontId="5" fillId="36" borderId="17"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9" xfId="0" applyFont="1" applyFill="1" applyBorder="1" applyAlignment="1">
      <alignment horizontal="left" vertical="center"/>
    </xf>
    <xf numFmtId="0" fontId="5" fillId="36" borderId="10" xfId="0" applyFont="1" applyFill="1" applyBorder="1" applyAlignment="1">
      <alignment horizontal="left" vertical="center"/>
    </xf>
    <xf numFmtId="0" fontId="5" fillId="36" borderId="14" xfId="0" applyFont="1" applyFill="1" applyBorder="1" applyAlignment="1">
      <alignment horizontal="left" vertical="center"/>
    </xf>
    <xf numFmtId="0" fontId="5" fillId="36" borderId="21" xfId="0" applyFont="1" applyFill="1" applyBorder="1" applyAlignment="1">
      <alignment horizontal="left" vertical="center"/>
    </xf>
    <xf numFmtId="0" fontId="0" fillId="2" borderId="0" xfId="0" applyFill="1" applyAlignment="1">
      <alignment horizontal="left" vertical="center" wrapText="1"/>
    </xf>
    <xf numFmtId="0" fontId="5" fillId="36" borderId="9" xfId="0" applyFont="1" applyFill="1" applyBorder="1" applyAlignment="1">
      <alignment vertical="top" wrapText="1"/>
    </xf>
    <xf numFmtId="0" fontId="5" fillId="36" borderId="10" xfId="0" applyFont="1" applyFill="1" applyBorder="1" applyAlignment="1">
      <alignment vertical="top" wrapText="1"/>
    </xf>
    <xf numFmtId="0" fontId="15" fillId="2" borderId="0" xfId="0" applyFont="1" applyFill="1" applyAlignment="1">
      <alignment vertical="center" wrapText="1"/>
    </xf>
    <xf numFmtId="0" fontId="12" fillId="3" borderId="0" xfId="32" applyNumberFormat="1" applyFill="1" applyAlignment="1">
      <alignment horizontal="lef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2" borderId="17" xfId="0" applyFont="1" applyFill="1" applyBorder="1" applyAlignment="1">
      <alignment vertical="center" wrapText="1"/>
    </xf>
    <xf numFmtId="0" fontId="4" fillId="2" borderId="22" xfId="0" applyFont="1" applyFill="1" applyBorder="1" applyAlignment="1">
      <alignment vertical="center" wrapText="1"/>
    </xf>
    <xf numFmtId="0" fontId="4" fillId="2" borderId="18" xfId="0" applyFont="1" applyFill="1" applyBorder="1" applyAlignment="1">
      <alignment vertical="center" wrapText="1"/>
    </xf>
    <xf numFmtId="0" fontId="12" fillId="2" borderId="0" xfId="32" applyNumberFormat="1" applyFill="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3" fillId="3" borderId="0" xfId="31" applyFill="1" applyBorder="1" applyAlignment="1">
      <alignment horizontal="left" wrapText="1"/>
    </xf>
    <xf numFmtId="0" fontId="12" fillId="2" borderId="0" xfId="32" applyNumberFormat="1" applyFill="1" applyAlignment="1">
      <alignment vertical="center" wrapText="1"/>
    </xf>
    <xf numFmtId="0" fontId="33" fillId="3" borderId="0" xfId="31" applyFill="1" applyBorder="1" applyAlignment="1"/>
    <xf numFmtId="0" fontId="3" fillId="0" borderId="9" xfId="0" applyFont="1" applyFill="1" applyBorder="1" applyAlignment="1">
      <alignment horizontal="left" wrapText="1"/>
    </xf>
    <xf numFmtId="0" fontId="3" fillId="0" borderId="11" xfId="0" applyFont="1" applyFill="1" applyBorder="1" applyAlignment="1">
      <alignment horizontal="left" wrapText="1"/>
    </xf>
    <xf numFmtId="0" fontId="3" fillId="0" borderId="10" xfId="0" applyFont="1" applyFill="1" applyBorder="1" applyAlignment="1">
      <alignment horizontal="left" wrapText="1"/>
    </xf>
    <xf numFmtId="3" fontId="3" fillId="0" borderId="18" xfId="0" applyNumberFormat="1" applyFont="1" applyFill="1" applyBorder="1" applyAlignment="1">
      <alignment horizontal="right" wrapText="1"/>
    </xf>
    <xf numFmtId="3" fontId="3" fillId="0" borderId="15" xfId="0" applyNumberFormat="1" applyFont="1" applyFill="1" applyBorder="1" applyAlignment="1">
      <alignment wrapText="1"/>
    </xf>
    <xf numFmtId="9" fontId="3" fillId="0" borderId="18" xfId="0" applyNumberFormat="1" applyFont="1" applyFill="1" applyBorder="1" applyAlignment="1">
      <alignment horizontal="right" wrapText="1"/>
    </xf>
    <xf numFmtId="0" fontId="3" fillId="0" borderId="9" xfId="0" applyFont="1" applyFill="1" applyBorder="1" applyAlignment="1"/>
    <xf numFmtId="0" fontId="3" fillId="0" borderId="11" xfId="0" applyFont="1" applyFill="1" applyBorder="1" applyAlignment="1"/>
    <xf numFmtId="0" fontId="3" fillId="0" borderId="10" xfId="0" applyFont="1" applyFill="1" applyBorder="1" applyAlignment="1"/>
    <xf numFmtId="3" fontId="3" fillId="0" borderId="8" xfId="0" applyNumberFormat="1" applyFont="1" applyFill="1" applyBorder="1" applyAlignment="1">
      <alignment horizontal="right" wrapText="1"/>
    </xf>
    <xf numFmtId="3" fontId="3" fillId="0" borderId="9" xfId="0" applyNumberFormat="1" applyFont="1" applyFill="1" applyBorder="1" applyAlignment="1">
      <alignment wrapText="1"/>
    </xf>
    <xf numFmtId="9" fontId="3" fillId="0" borderId="8" xfId="0" applyNumberFormat="1" applyFont="1" applyFill="1" applyBorder="1" applyAlignment="1">
      <alignment horizontal="right" wrapText="1"/>
    </xf>
    <xf numFmtId="0" fontId="3" fillId="2" borderId="9" xfId="0" applyFont="1" applyFill="1" applyBorder="1" applyAlignment="1"/>
    <xf numFmtId="0" fontId="3" fillId="2" borderId="11" xfId="0" applyFont="1" applyFill="1" applyBorder="1" applyAlignment="1"/>
    <xf numFmtId="9" fontId="3" fillId="0" borderId="8" xfId="40" applyFont="1" applyFill="1" applyBorder="1" applyAlignment="1">
      <alignment horizontal="right"/>
    </xf>
    <xf numFmtId="3" fontId="3" fillId="3" borderId="0" xfId="0" applyNumberFormat="1" applyFont="1" applyAlignment="1">
      <alignment horizontal="right"/>
    </xf>
    <xf numFmtId="0" fontId="4" fillId="3" borderId="9" xfId="0" applyFont="1" applyBorder="1" applyAlignment="1"/>
    <xf numFmtId="0" fontId="4" fillId="3" borderId="11" xfId="0" applyFont="1" applyBorder="1" applyAlignment="1"/>
    <xf numFmtId="0" fontId="4" fillId="3" borderId="10" xfId="0" applyFont="1" applyBorder="1" applyAlignment="1"/>
    <xf numFmtId="0" fontId="3" fillId="4" borderId="8" xfId="0" applyFont="1" applyFill="1" applyBorder="1" applyAlignment="1"/>
    <xf numFmtId="9" fontId="3" fillId="4" borderId="8" xfId="0" applyNumberFormat="1" applyFont="1" applyFill="1" applyBorder="1" applyAlignment="1">
      <alignment horizontal="right"/>
    </xf>
    <xf numFmtId="0" fontId="3" fillId="2" borderId="8" xfId="0" applyFont="1" applyFill="1" applyBorder="1" applyAlignment="1"/>
    <xf numFmtId="9" fontId="3" fillId="2" borderId="8" xfId="0" applyNumberFormat="1" applyFont="1" applyFill="1" applyBorder="1" applyAlignment="1">
      <alignment horizontal="right"/>
    </xf>
    <xf numFmtId="0" fontId="3" fillId="0" borderId="8" xfId="0" applyFont="1" applyFill="1" applyBorder="1" applyAlignment="1"/>
    <xf numFmtId="0" fontId="3" fillId="2" borderId="0" xfId="0" applyFont="1" applyFill="1" applyAlignment="1">
      <alignment wrapText="1"/>
    </xf>
    <xf numFmtId="3" fontId="3" fillId="2" borderId="0" xfId="0" applyNumberFormat="1" applyFont="1" applyFill="1" applyAlignment="1">
      <alignment horizontal="center"/>
    </xf>
    <xf numFmtId="3" fontId="3" fillId="2" borderId="8" xfId="0" applyNumberFormat="1" applyFont="1" applyFill="1" applyBorder="1" applyAlignment="1">
      <alignment horizontal="right" vertical="center"/>
    </xf>
    <xf numFmtId="3" fontId="3" fillId="2" borderId="8" xfId="44" applyNumberFormat="1" applyFont="1" applyFill="1" applyBorder="1" applyAlignment="1">
      <alignment horizontal="right"/>
    </xf>
    <xf numFmtId="0" fontId="6" fillId="36" borderId="8" xfId="0" applyFont="1" applyFill="1" applyBorder="1" applyAlignment="1"/>
    <xf numFmtId="0" fontId="6" fillId="4" borderId="8" xfId="0" applyFont="1" applyFill="1" applyBorder="1" applyAlignment="1"/>
    <xf numFmtId="3" fontId="3" fillId="0" borderId="0" xfId="0" applyNumberFormat="1" applyFont="1" applyFill="1" applyAlignment="1">
      <alignment horizontal="center"/>
    </xf>
    <xf numFmtId="0" fontId="6" fillId="36" borderId="9" xfId="0" applyFont="1" applyFill="1" applyBorder="1" applyAlignment="1"/>
    <xf numFmtId="0" fontId="6" fillId="36" borderId="11" xfId="0" applyFont="1" applyFill="1" applyBorder="1" applyAlignment="1"/>
    <xf numFmtId="0" fontId="6" fillId="36" borderId="10" xfId="0" applyFont="1" applyFill="1" applyBorder="1" applyAlignment="1"/>
    <xf numFmtId="0" fontId="3" fillId="2" borderId="10" xfId="0" applyFont="1" applyFill="1" applyBorder="1" applyAlignment="1"/>
    <xf numFmtId="0" fontId="6" fillId="4" borderId="9" xfId="0" applyFont="1" applyFill="1" applyBorder="1" applyAlignment="1"/>
    <xf numFmtId="0" fontId="6" fillId="4" borderId="11" xfId="0" applyFont="1" applyFill="1" applyBorder="1" applyAlignment="1"/>
    <xf numFmtId="0" fontId="6" fillId="4" borderId="10" xfId="0" applyFont="1" applyFill="1" applyBorder="1" applyAlignment="1"/>
    <xf numFmtId="3" fontId="3" fillId="0" borderId="8" xfId="0" applyNumberFormat="1" applyFont="1" applyFill="1" applyBorder="1" applyAlignment="1">
      <alignment horizontal="right"/>
    </xf>
    <xf numFmtId="0" fontId="3" fillId="36" borderId="8" xfId="0" applyFont="1" applyFill="1" applyBorder="1" applyAlignment="1">
      <alignment horizontal="center"/>
    </xf>
    <xf numFmtId="0" fontId="3" fillId="36" borderId="8" xfId="0" applyFont="1" applyFill="1" applyBorder="1" applyAlignment="1"/>
    <xf numFmtId="0" fontId="3" fillId="3" borderId="8" xfId="0" applyFont="1" applyBorder="1" applyAlignment="1"/>
    <xf numFmtId="0" fontId="5" fillId="36" borderId="9" xfId="0" applyFont="1" applyFill="1" applyBorder="1" applyAlignment="1"/>
    <xf numFmtId="0" fontId="5" fillId="36" borderId="10" xfId="0" applyFont="1" applyFill="1" applyBorder="1" applyAlignme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4" builtinId="3"/>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 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FF"/>
      <color rgb="FF66FFFF"/>
      <color rgb="FFFF9900"/>
      <color rgb="FFFFFF66"/>
      <color rgb="FF99CC00"/>
      <color rgb="FFFFFFCC"/>
      <color rgb="FF990033"/>
      <color rgb="FFBEBEBE"/>
      <color rgb="FF669900"/>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1.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GB" sz="900"/>
              <a:t>Breakdown of development pipeline (net dwellings)</a:t>
            </a:r>
          </a:p>
        </c:rich>
      </c:tx>
      <c:layout>
        <c:manualLayout>
          <c:xMode val="edge"/>
          <c:yMode val="edge"/>
          <c:x val="0.21170876367726763"/>
          <c:y val="4.1044590096628985E-3"/>
        </c:manualLayout>
      </c:layout>
      <c:overlay val="0"/>
    </c:title>
    <c:autoTitleDeleted val="0"/>
    <c:plotArea>
      <c:layout>
        <c:manualLayout>
          <c:layoutTarget val="inner"/>
          <c:xMode val="edge"/>
          <c:yMode val="edge"/>
          <c:x val="2.3867654356417294E-2"/>
          <c:y val="0.12198068991376078"/>
          <c:w val="0.82887633922808834"/>
          <c:h val="0.80159955005624295"/>
        </c:manualLayout>
      </c:layout>
      <c:barChart>
        <c:barDir val="col"/>
        <c:grouping val="clustered"/>
        <c:varyColors val="0"/>
        <c:ser>
          <c:idx val="0"/>
          <c:order val="0"/>
          <c:invertIfNegative val="0"/>
          <c:dPt>
            <c:idx val="0"/>
            <c:invertIfNegative val="0"/>
            <c:bubble3D val="0"/>
            <c:extLst>
              <c:ext xmlns:c16="http://schemas.microsoft.com/office/drawing/2014/chart" uri="{C3380CC4-5D6E-409C-BE32-E72D297353CC}">
                <c16:uniqueId val="{00000000-DCDE-4A53-BB5F-2C95ECFE0B4E}"/>
              </c:ext>
            </c:extLst>
          </c:dPt>
          <c:dPt>
            <c:idx val="1"/>
            <c:invertIfNegative val="0"/>
            <c:bubble3D val="0"/>
            <c:extLst>
              <c:ext xmlns:c16="http://schemas.microsoft.com/office/drawing/2014/chart" uri="{C3380CC4-5D6E-409C-BE32-E72D297353CC}">
                <c16:uniqueId val="{00000001-DCDE-4A53-BB5F-2C95ECFE0B4E}"/>
              </c:ext>
            </c:extLst>
          </c:dPt>
          <c:dPt>
            <c:idx val="2"/>
            <c:invertIfNegative val="0"/>
            <c:bubble3D val="0"/>
            <c:extLst>
              <c:ext xmlns:c16="http://schemas.microsoft.com/office/drawing/2014/chart" uri="{C3380CC4-5D6E-409C-BE32-E72D297353CC}">
                <c16:uniqueId val="{00000002-DCDE-4A53-BB5F-2C95ECFE0B4E}"/>
              </c:ext>
            </c:extLst>
          </c:dPt>
          <c:dPt>
            <c:idx val="3"/>
            <c:invertIfNegative val="0"/>
            <c:bubble3D val="0"/>
            <c:extLst>
              <c:ext xmlns:c16="http://schemas.microsoft.com/office/drawing/2014/chart" uri="{C3380CC4-5D6E-409C-BE32-E72D297353CC}">
                <c16:uniqueId val="{00000003-DCDE-4A53-BB5F-2C95ECFE0B4E}"/>
              </c:ext>
            </c:extLst>
          </c:dPt>
          <c:cat>
            <c:multiLvlStrRef>
              <c:f>'Summary Tables'!$A$40:$C$43</c:f>
              <c:multiLvlStrCache>
                <c:ptCount val="4"/>
                <c:lvl/>
                <c:lvl/>
                <c:lvl>
                  <c:pt idx="0">
                    <c:v>Under Construction</c:v>
                  </c:pt>
                  <c:pt idx="1">
                    <c:v>Planning Permissions</c:v>
                  </c:pt>
                  <c:pt idx="2">
                    <c:v>Applications Undecided</c:v>
                  </c:pt>
                  <c:pt idx="3">
                    <c:v>Identified Sites</c:v>
                  </c:pt>
                </c:lvl>
              </c:multiLvlStrCache>
            </c:multiLvlStrRef>
          </c:cat>
          <c:val>
            <c:numRef>
              <c:f>'Summary Tables'!$I$40:$I$43</c:f>
              <c:numCache>
                <c:formatCode>#,##0</c:formatCode>
                <c:ptCount val="4"/>
                <c:pt idx="0">
                  <c:v>7929</c:v>
                </c:pt>
                <c:pt idx="1">
                  <c:v>8069</c:v>
                </c:pt>
                <c:pt idx="2">
                  <c:v>3110</c:v>
                </c:pt>
                <c:pt idx="3">
                  <c:v>4056</c:v>
                </c:pt>
              </c:numCache>
            </c:numRef>
          </c:val>
          <c:extLst>
            <c:ext xmlns:c16="http://schemas.microsoft.com/office/drawing/2014/chart" uri="{C3380CC4-5D6E-409C-BE32-E72D297353CC}">
              <c16:uniqueId val="{00000004-DCDE-4A53-BB5F-2C95ECFE0B4E}"/>
            </c:ext>
          </c:extLst>
        </c:ser>
        <c:dLbls>
          <c:showLegendKey val="0"/>
          <c:showVal val="0"/>
          <c:showCatName val="0"/>
          <c:showSerName val="0"/>
          <c:showPercent val="0"/>
          <c:showBubbleSize val="0"/>
        </c:dLbls>
        <c:gapWidth val="40"/>
        <c:axId val="140401280"/>
        <c:axId val="140399744"/>
      </c:barChart>
      <c:valAx>
        <c:axId val="140399744"/>
        <c:scaling>
          <c:orientation val="minMax"/>
        </c:scaling>
        <c:delete val="0"/>
        <c:axPos val="l"/>
        <c:majorGridlines/>
        <c:numFmt formatCode="#,##0" sourceLinked="1"/>
        <c:majorTickMark val="out"/>
        <c:minorTickMark val="none"/>
        <c:tickLblPos val="nextTo"/>
        <c:crossAx val="140401280"/>
        <c:crosses val="autoZero"/>
        <c:crossBetween val="between"/>
      </c:valAx>
      <c:catAx>
        <c:axId val="140401280"/>
        <c:scaling>
          <c:orientation val="minMax"/>
        </c:scaling>
        <c:delete val="0"/>
        <c:axPos val="b"/>
        <c:numFmt formatCode="General" sourceLinked="0"/>
        <c:majorTickMark val="out"/>
        <c:minorTickMark val="none"/>
        <c:tickLblPos val="nextTo"/>
        <c:crossAx val="140399744"/>
        <c:crossesAt val="0"/>
        <c:auto val="0"/>
        <c:lblAlgn val="ctr"/>
        <c:lblOffset val="100"/>
        <c:noMultiLvlLbl val="0"/>
      </c:catAx>
    </c:plotArea>
    <c:plotVisOnly val="1"/>
    <c:dispBlanksAs val="zero"/>
    <c:showDLblsOverMax val="0"/>
  </c:chart>
  <c:spPr>
    <a:ln>
      <a:noFill/>
    </a:ln>
  </c:spPr>
  <c:txPr>
    <a:bodyPr/>
    <a:lstStyle/>
    <a:p>
      <a:pPr>
        <a:defRPr sz="800"/>
      </a:pPr>
      <a:endParaRPr lang="en-US"/>
    </a:p>
  </c:txPr>
  <c:printSettings>
    <c:headerFooter alignWithMargins="0"/>
    <c:pageMargins b="1" l="0.75" r="0.75" t="1" header="0.5" footer="0.5"/>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GB" sz="900"/>
              <a:t>Conversions with planning permission (gross units)</a:t>
            </a:r>
          </a:p>
        </c:rich>
      </c:tx>
      <c:overlay val="0"/>
    </c:title>
    <c:autoTitleDeleted val="0"/>
    <c:plotArea>
      <c:layout/>
      <c:pieChart>
        <c:varyColors val="1"/>
        <c:ser>
          <c:idx val="0"/>
          <c:order val="0"/>
          <c:tx>
            <c:strRef>
              <c:f>'Summary Tables'!$D$342</c:f>
              <c:strCache>
                <c:ptCount val="1"/>
                <c:pt idx="0">
                  <c:v>2017/18</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multiLvlStrRef>
              <c:f>'Summary Tables'!$A$343:$B$348</c:f>
              <c:multiLvlStrCache>
                <c:ptCount val="6"/>
                <c:lvl/>
                <c:lvl>
                  <c:pt idx="0">
                    <c:v>House &gt; Flats</c:v>
                  </c:pt>
                  <c:pt idx="1">
                    <c:v>Flats &gt; House</c:v>
                  </c:pt>
                  <c:pt idx="2">
                    <c:v>Flats &gt; Flats</c:v>
                  </c:pt>
                  <c:pt idx="3">
                    <c:v>Houses &gt; Houses</c:v>
                  </c:pt>
                  <c:pt idx="4">
                    <c:v>Change of Use</c:v>
                  </c:pt>
                  <c:pt idx="5">
                    <c:v>Vertical Extension</c:v>
                  </c:pt>
                </c:lvl>
              </c:multiLvlStrCache>
            </c:multiLvlStrRef>
          </c:cat>
          <c:val>
            <c:numRef>
              <c:f>'Summary Tables'!$D$343:$D$348</c:f>
              <c:numCache>
                <c:formatCode>#,##0</c:formatCode>
                <c:ptCount val="6"/>
                <c:pt idx="0">
                  <c:v>129</c:v>
                </c:pt>
                <c:pt idx="1">
                  <c:v>26</c:v>
                </c:pt>
                <c:pt idx="2">
                  <c:v>247</c:v>
                </c:pt>
                <c:pt idx="3">
                  <c:v>0</c:v>
                </c:pt>
                <c:pt idx="4">
                  <c:v>1208</c:v>
                </c:pt>
                <c:pt idx="5">
                  <c:v>90</c:v>
                </c:pt>
              </c:numCache>
            </c:numRef>
          </c:val>
          <c:extLst>
            <c:ext xmlns:c16="http://schemas.microsoft.com/office/drawing/2014/chart" uri="{C3380CC4-5D6E-409C-BE32-E72D297353CC}">
              <c16:uniqueId val="{00000000-302E-4BB2-94E9-9B0E6D1878CA}"/>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txPr>
    <a:bodyPr/>
    <a:lstStyle/>
    <a:p>
      <a:pPr>
        <a:defRPr sz="800"/>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Tables'!$B$113:$C$113</c:f>
              <c:strCache>
                <c:ptCount val="2"/>
                <c:pt idx="0">
                  <c:v> Open Market</c:v>
                </c:pt>
              </c:strCache>
            </c:strRef>
          </c:tx>
          <c:invertIfNegative val="0"/>
          <c:cat>
            <c:strRef>
              <c:f>'Summary Tables'!$A$115:$A$129</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Tables'!$B$115:$B$129</c:f>
              <c:numCache>
                <c:formatCode>#,##0</c:formatCode>
                <c:ptCount val="15"/>
                <c:pt idx="0">
                  <c:v>1155</c:v>
                </c:pt>
                <c:pt idx="1">
                  <c:v>1039</c:v>
                </c:pt>
                <c:pt idx="2">
                  <c:v>728</c:v>
                </c:pt>
                <c:pt idx="3">
                  <c:v>1079</c:v>
                </c:pt>
                <c:pt idx="4">
                  <c:v>1061</c:v>
                </c:pt>
                <c:pt idx="5">
                  <c:v>371</c:v>
                </c:pt>
                <c:pt idx="6">
                  <c:v>713</c:v>
                </c:pt>
                <c:pt idx="7">
                  <c:v>633</c:v>
                </c:pt>
                <c:pt idx="8">
                  <c:v>969</c:v>
                </c:pt>
                <c:pt idx="9">
                  <c:v>805</c:v>
                </c:pt>
                <c:pt idx="10">
                  <c:v>2212</c:v>
                </c:pt>
                <c:pt idx="11">
                  <c:v>1968</c:v>
                </c:pt>
                <c:pt idx="12">
                  <c:v>1834</c:v>
                </c:pt>
                <c:pt idx="13">
                  <c:v>1545</c:v>
                </c:pt>
                <c:pt idx="14">
                  <c:v>947</c:v>
                </c:pt>
              </c:numCache>
            </c:numRef>
          </c:val>
          <c:extLst>
            <c:ext xmlns:c16="http://schemas.microsoft.com/office/drawing/2014/chart" uri="{C3380CC4-5D6E-409C-BE32-E72D297353CC}">
              <c16:uniqueId val="{00000000-B3E4-4282-9112-A8EAC7AE9806}"/>
            </c:ext>
          </c:extLst>
        </c:ser>
        <c:ser>
          <c:idx val="1"/>
          <c:order val="1"/>
          <c:tx>
            <c:strRef>
              <c:f>'Summary Tables'!$D$113:$E$113</c:f>
              <c:strCache>
                <c:ptCount val="2"/>
                <c:pt idx="0">
                  <c:v>  Intermediate </c:v>
                </c:pt>
              </c:strCache>
            </c:strRef>
          </c:tx>
          <c:invertIfNegative val="0"/>
          <c:cat>
            <c:strRef>
              <c:f>'Summary Tables'!$A$115:$A$129</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Tables'!$D$115:$D$129</c:f>
              <c:numCache>
                <c:formatCode>#,##0</c:formatCode>
                <c:ptCount val="15"/>
                <c:pt idx="0">
                  <c:v>93</c:v>
                </c:pt>
                <c:pt idx="1">
                  <c:v>206</c:v>
                </c:pt>
                <c:pt idx="2">
                  <c:v>281</c:v>
                </c:pt>
                <c:pt idx="3">
                  <c:v>393</c:v>
                </c:pt>
                <c:pt idx="4">
                  <c:v>453</c:v>
                </c:pt>
                <c:pt idx="5">
                  <c:v>103</c:v>
                </c:pt>
                <c:pt idx="6">
                  <c:v>198</c:v>
                </c:pt>
                <c:pt idx="7">
                  <c:v>118</c:v>
                </c:pt>
                <c:pt idx="8">
                  <c:v>175</c:v>
                </c:pt>
                <c:pt idx="9">
                  <c:v>109</c:v>
                </c:pt>
                <c:pt idx="10">
                  <c:v>325</c:v>
                </c:pt>
                <c:pt idx="11" formatCode="General">
                  <c:v>298</c:v>
                </c:pt>
                <c:pt idx="12">
                  <c:v>142</c:v>
                </c:pt>
                <c:pt idx="13">
                  <c:v>173</c:v>
                </c:pt>
                <c:pt idx="14">
                  <c:v>196</c:v>
                </c:pt>
              </c:numCache>
            </c:numRef>
          </c:val>
          <c:extLst>
            <c:ext xmlns:c16="http://schemas.microsoft.com/office/drawing/2014/chart" uri="{C3380CC4-5D6E-409C-BE32-E72D297353CC}">
              <c16:uniqueId val="{00000001-B3E4-4282-9112-A8EAC7AE9806}"/>
            </c:ext>
          </c:extLst>
        </c:ser>
        <c:ser>
          <c:idx val="2"/>
          <c:order val="2"/>
          <c:tx>
            <c:strRef>
              <c:f>'Summary Tables'!$F$113:$G$113</c:f>
              <c:strCache>
                <c:ptCount val="2"/>
                <c:pt idx="0">
                  <c:v>  Social/Affordable Rent </c:v>
                </c:pt>
              </c:strCache>
            </c:strRef>
          </c:tx>
          <c:invertIfNegative val="0"/>
          <c:cat>
            <c:strRef>
              <c:f>'Summary Tables'!$A$115:$A$129</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Tables'!$F$115:$F$129</c:f>
              <c:numCache>
                <c:formatCode>#,##0</c:formatCode>
                <c:ptCount val="15"/>
                <c:pt idx="0">
                  <c:v>56</c:v>
                </c:pt>
                <c:pt idx="1">
                  <c:v>33</c:v>
                </c:pt>
                <c:pt idx="2">
                  <c:v>22</c:v>
                </c:pt>
                <c:pt idx="3">
                  <c:v>88</c:v>
                </c:pt>
                <c:pt idx="4">
                  <c:v>25</c:v>
                </c:pt>
                <c:pt idx="5">
                  <c:v>7</c:v>
                </c:pt>
                <c:pt idx="6">
                  <c:v>68</c:v>
                </c:pt>
                <c:pt idx="7">
                  <c:v>91</c:v>
                </c:pt>
                <c:pt idx="8">
                  <c:v>53</c:v>
                </c:pt>
                <c:pt idx="9">
                  <c:v>22</c:v>
                </c:pt>
                <c:pt idx="10">
                  <c:v>239</c:v>
                </c:pt>
                <c:pt idx="11" formatCode="General">
                  <c:v>79</c:v>
                </c:pt>
                <c:pt idx="12">
                  <c:v>60</c:v>
                </c:pt>
                <c:pt idx="13">
                  <c:v>133</c:v>
                </c:pt>
                <c:pt idx="14">
                  <c:v>187</c:v>
                </c:pt>
              </c:numCache>
            </c:numRef>
          </c:val>
          <c:extLst>
            <c:ext xmlns:c16="http://schemas.microsoft.com/office/drawing/2014/chart" uri="{C3380CC4-5D6E-409C-BE32-E72D297353CC}">
              <c16:uniqueId val="{00000002-B3E4-4282-9112-A8EAC7AE9806}"/>
            </c:ext>
          </c:extLst>
        </c:ser>
        <c:dLbls>
          <c:showLegendKey val="0"/>
          <c:showVal val="0"/>
          <c:showCatName val="0"/>
          <c:showSerName val="0"/>
          <c:showPercent val="0"/>
          <c:showBubbleSize val="0"/>
        </c:dLbls>
        <c:gapWidth val="150"/>
        <c:axId val="142842880"/>
        <c:axId val="142848768"/>
      </c:barChart>
      <c:catAx>
        <c:axId val="142842880"/>
        <c:scaling>
          <c:orientation val="minMax"/>
        </c:scaling>
        <c:delete val="0"/>
        <c:axPos val="b"/>
        <c:numFmt formatCode="General" sourceLinked="0"/>
        <c:majorTickMark val="out"/>
        <c:minorTickMark val="none"/>
        <c:tickLblPos val="nextTo"/>
        <c:crossAx val="142848768"/>
        <c:crosses val="autoZero"/>
        <c:auto val="1"/>
        <c:lblAlgn val="ctr"/>
        <c:lblOffset val="100"/>
        <c:noMultiLvlLbl val="0"/>
      </c:catAx>
      <c:valAx>
        <c:axId val="142848768"/>
        <c:scaling>
          <c:orientation val="minMax"/>
        </c:scaling>
        <c:delete val="0"/>
        <c:axPos val="l"/>
        <c:majorGridlines/>
        <c:numFmt formatCode="#,##0" sourceLinked="1"/>
        <c:majorTickMark val="out"/>
        <c:minorTickMark val="none"/>
        <c:tickLblPos val="nextTo"/>
        <c:crossAx val="142842880"/>
        <c:crosses val="autoZero"/>
        <c:crossBetween val="between"/>
      </c:valAx>
    </c:plotArea>
    <c:legend>
      <c:legendPos val="l"/>
      <c:layout>
        <c:manualLayout>
          <c:xMode val="edge"/>
          <c:yMode val="edge"/>
          <c:x val="8.1957186544342503E-2"/>
          <c:y val="0.10372739865850102"/>
          <c:w val="0.11891720745482928"/>
          <c:h val="0.20909282466452256"/>
        </c:manualLayout>
      </c:layout>
      <c:overlay val="1"/>
      <c:spPr>
        <a:solidFill>
          <a:sysClr val="window" lastClr="FFFFFF"/>
        </a:solidFill>
      </c:spPr>
    </c:legend>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Completions by ward in 2019/20</a:t>
            </a:r>
          </a:p>
        </c:rich>
      </c:tx>
      <c:overlay val="0"/>
    </c:title>
    <c:autoTitleDeleted val="0"/>
    <c:plotArea>
      <c:layout/>
      <c:barChart>
        <c:barDir val="bar"/>
        <c:grouping val="clustered"/>
        <c:varyColors val="0"/>
        <c:ser>
          <c:idx val="0"/>
          <c:order val="0"/>
          <c:tx>
            <c:strRef>
              <c:f>'Summary Tables'!$G$272</c:f>
              <c:strCache>
                <c:ptCount val="1"/>
                <c:pt idx="0">
                  <c:v>Completions</c:v>
                </c:pt>
              </c:strCache>
            </c:strRef>
          </c:tx>
          <c:invertIfNegative val="0"/>
          <c:cat>
            <c:multiLvlStrRef>
              <c:f>'Summary Tables'!$A$274:$C$293</c:f>
              <c:multiLvlStrCache>
                <c:ptCount val="20"/>
                <c:lvl/>
                <c:lvl/>
                <c:lvl>
                  <c:pt idx="0">
                    <c:v>Balham</c:v>
                  </c:pt>
                  <c:pt idx="1">
                    <c:v>Bedford</c:v>
                  </c:pt>
                  <c:pt idx="2">
                    <c:v>Earlsfield</c:v>
                  </c:pt>
                  <c:pt idx="3">
                    <c:v>East Putney</c:v>
                  </c:pt>
                  <c:pt idx="4">
                    <c:v>Fairfield</c:v>
                  </c:pt>
                  <c:pt idx="5">
                    <c:v>Furzedown</c:v>
                  </c:pt>
                  <c:pt idx="6">
                    <c:v>Graveney</c:v>
                  </c:pt>
                  <c:pt idx="7">
                    <c:v>Latchmere</c:v>
                  </c:pt>
                  <c:pt idx="8">
                    <c:v>Nightingale</c:v>
                  </c:pt>
                  <c:pt idx="9">
                    <c:v>Northcote</c:v>
                  </c:pt>
                  <c:pt idx="10">
                    <c:v>Queenstown</c:v>
                  </c:pt>
                  <c:pt idx="11">
                    <c:v>Roehampton and Putney Heath</c:v>
                  </c:pt>
                  <c:pt idx="12">
                    <c:v>Shaftesbury</c:v>
                  </c:pt>
                  <c:pt idx="13">
                    <c:v>Southfields</c:v>
                  </c:pt>
                  <c:pt idx="14">
                    <c:v>St Mary's Park</c:v>
                  </c:pt>
                  <c:pt idx="15">
                    <c:v>Thamesfield</c:v>
                  </c:pt>
                  <c:pt idx="16">
                    <c:v>Tooting</c:v>
                  </c:pt>
                  <c:pt idx="17">
                    <c:v>Wandsworth Common</c:v>
                  </c:pt>
                  <c:pt idx="18">
                    <c:v>West Hill</c:v>
                  </c:pt>
                  <c:pt idx="19">
                    <c:v>West Putney</c:v>
                  </c:pt>
                </c:lvl>
              </c:multiLvlStrCache>
            </c:multiLvlStrRef>
          </c:cat>
          <c:val>
            <c:numRef>
              <c:f>'Summary Tables'!$G$274:$G$293</c:f>
              <c:numCache>
                <c:formatCode>#,##0</c:formatCode>
                <c:ptCount val="20"/>
                <c:pt idx="0">
                  <c:v>15</c:v>
                </c:pt>
                <c:pt idx="1">
                  <c:v>6</c:v>
                </c:pt>
                <c:pt idx="2">
                  <c:v>45</c:v>
                </c:pt>
                <c:pt idx="3">
                  <c:v>18</c:v>
                </c:pt>
                <c:pt idx="4">
                  <c:v>104</c:v>
                </c:pt>
                <c:pt idx="5">
                  <c:v>7</c:v>
                </c:pt>
                <c:pt idx="6">
                  <c:v>66</c:v>
                </c:pt>
                <c:pt idx="7">
                  <c:v>13</c:v>
                </c:pt>
                <c:pt idx="8">
                  <c:v>78</c:v>
                </c:pt>
                <c:pt idx="9">
                  <c:v>17</c:v>
                </c:pt>
                <c:pt idx="10">
                  <c:v>494</c:v>
                </c:pt>
                <c:pt idx="11">
                  <c:v>10</c:v>
                </c:pt>
                <c:pt idx="12">
                  <c:v>15</c:v>
                </c:pt>
                <c:pt idx="13">
                  <c:v>78</c:v>
                </c:pt>
                <c:pt idx="14">
                  <c:v>27</c:v>
                </c:pt>
                <c:pt idx="15">
                  <c:v>289</c:v>
                </c:pt>
                <c:pt idx="16">
                  <c:v>23</c:v>
                </c:pt>
                <c:pt idx="17">
                  <c:v>19</c:v>
                </c:pt>
                <c:pt idx="18">
                  <c:v>2</c:v>
                </c:pt>
                <c:pt idx="19">
                  <c:v>4</c:v>
                </c:pt>
              </c:numCache>
            </c:numRef>
          </c:val>
          <c:extLst>
            <c:ext xmlns:c16="http://schemas.microsoft.com/office/drawing/2014/chart" uri="{C3380CC4-5D6E-409C-BE32-E72D297353CC}">
              <c16:uniqueId val="{00000000-6D94-4A1E-AA09-62B00EDE4BA6}"/>
            </c:ext>
          </c:extLst>
        </c:ser>
        <c:dLbls>
          <c:showLegendKey val="0"/>
          <c:showVal val="0"/>
          <c:showCatName val="0"/>
          <c:showSerName val="0"/>
          <c:showPercent val="0"/>
          <c:showBubbleSize val="0"/>
        </c:dLbls>
        <c:gapWidth val="150"/>
        <c:axId val="142934400"/>
        <c:axId val="142935936"/>
      </c:barChart>
      <c:catAx>
        <c:axId val="142934400"/>
        <c:scaling>
          <c:orientation val="minMax"/>
        </c:scaling>
        <c:delete val="0"/>
        <c:axPos val="l"/>
        <c:numFmt formatCode="General" sourceLinked="0"/>
        <c:majorTickMark val="out"/>
        <c:minorTickMark val="none"/>
        <c:tickLblPos val="nextTo"/>
        <c:crossAx val="142935936"/>
        <c:crosses val="autoZero"/>
        <c:auto val="1"/>
        <c:lblAlgn val="ctr"/>
        <c:lblOffset val="150"/>
        <c:noMultiLvlLbl val="0"/>
      </c:catAx>
      <c:valAx>
        <c:axId val="142935936"/>
        <c:scaling>
          <c:orientation val="minMax"/>
        </c:scaling>
        <c:delete val="0"/>
        <c:axPos val="b"/>
        <c:majorGridlines/>
        <c:numFmt formatCode="#,##0" sourceLinked="1"/>
        <c:majorTickMark val="out"/>
        <c:minorTickMark val="none"/>
        <c:tickLblPos val="nextTo"/>
        <c:spPr>
          <a:noFill/>
          <a:ln>
            <a:noFill/>
          </a:ln>
        </c:spPr>
        <c:crossAx val="142934400"/>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pPr>
            <a:r>
              <a:rPr lang="en-US" sz="900"/>
              <a:t>Net new build units completed</a:t>
            </a:r>
          </a:p>
        </c:rich>
      </c:tx>
      <c:overlay val="0"/>
    </c:title>
    <c:autoTitleDeleted val="0"/>
    <c:plotArea>
      <c:layout/>
      <c:pieChart>
        <c:varyColors val="1"/>
        <c:ser>
          <c:idx val="1"/>
          <c:order val="0"/>
          <c:tx>
            <c:strRef>
              <c:f>'Summary Tables'!$B$306</c:f>
              <c:strCache>
                <c:ptCount val="1"/>
                <c:pt idx="0">
                  <c:v>Net new build units completed by unit size and tenure</c:v>
                </c:pt>
              </c:strCache>
            </c:strRef>
          </c:tx>
          <c:cat>
            <c:strRef>
              <c:f>'Summary Tables'!$C$307:$I$307</c:f>
              <c:strCache>
                <c:ptCount val="7"/>
                <c:pt idx="0">
                  <c:v>Studio</c:v>
                </c:pt>
                <c:pt idx="1">
                  <c:v>1 bed</c:v>
                </c:pt>
                <c:pt idx="2">
                  <c:v>2 bed</c:v>
                </c:pt>
                <c:pt idx="3">
                  <c:v>3 bed</c:v>
                </c:pt>
                <c:pt idx="4">
                  <c:v>4 bed</c:v>
                </c:pt>
                <c:pt idx="5">
                  <c:v>5+ bed</c:v>
                </c:pt>
                <c:pt idx="6">
                  <c:v>Not Known</c:v>
                </c:pt>
              </c:strCache>
            </c:strRef>
          </c:cat>
          <c:val>
            <c:numRef>
              <c:f>'Summary Tables'!$C$314:$I$314</c:f>
              <c:numCache>
                <c:formatCode>#,##0</c:formatCode>
                <c:ptCount val="7"/>
                <c:pt idx="0">
                  <c:v>4</c:v>
                </c:pt>
                <c:pt idx="1">
                  <c:v>248</c:v>
                </c:pt>
                <c:pt idx="2">
                  <c:v>659</c:v>
                </c:pt>
                <c:pt idx="3">
                  <c:v>128</c:v>
                </c:pt>
                <c:pt idx="4">
                  <c:v>27</c:v>
                </c:pt>
                <c:pt idx="5">
                  <c:v>5</c:v>
                </c:pt>
                <c:pt idx="6">
                  <c:v>0</c:v>
                </c:pt>
              </c:numCache>
            </c:numRef>
          </c:val>
          <c:extLst>
            <c:ext xmlns:c16="http://schemas.microsoft.com/office/drawing/2014/chart" uri="{C3380CC4-5D6E-409C-BE32-E72D297353CC}">
              <c16:uniqueId val="{00000000-4A98-439B-9FB2-8984BFAF562D}"/>
            </c:ext>
          </c:extLst>
        </c:ser>
        <c:dLbls>
          <c:showLegendKey val="0"/>
          <c:showVal val="0"/>
          <c:showCatName val="0"/>
          <c:showSerName val="0"/>
          <c:showPercent val="0"/>
          <c:showBubbleSize val="0"/>
          <c:showLeaderLines val="1"/>
        </c:dLbls>
        <c:firstSliceAng val="0"/>
      </c:pieChart>
    </c:plotArea>
    <c:legend>
      <c:legendPos val="r"/>
      <c:overlay val="1"/>
    </c:legend>
    <c:plotVisOnly val="1"/>
    <c:dispBlanksAs val="gap"/>
    <c:showDLblsOverMax val="0"/>
  </c:chart>
  <c:spPr>
    <a:noFill/>
    <a:ln>
      <a:noFill/>
    </a:ln>
  </c:spPr>
  <c:txPr>
    <a:bodyPr/>
    <a:lstStyle/>
    <a:p>
      <a:pPr>
        <a:defRPr sz="8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pPr>
            <a:r>
              <a:rPr lang="en-US" sz="900"/>
              <a:t>Net new build units with planning permission</a:t>
            </a:r>
          </a:p>
        </c:rich>
      </c:tx>
      <c:overlay val="0"/>
    </c:title>
    <c:autoTitleDeleted val="0"/>
    <c:plotArea>
      <c:layout/>
      <c:pieChart>
        <c:varyColors val="1"/>
        <c:ser>
          <c:idx val="0"/>
          <c:order val="0"/>
          <c:tx>
            <c:strRef>
              <c:f>'Summary Tables'!$B$318</c:f>
              <c:strCache>
                <c:ptCount val="1"/>
                <c:pt idx="0">
                  <c:v>Net new build units with planning permission by unit size and tenure</c:v>
                </c:pt>
              </c:strCache>
            </c:strRef>
          </c:tx>
          <c:cat>
            <c:strRef>
              <c:f>'Summary Tables'!$C$307:$I$307</c:f>
              <c:strCache>
                <c:ptCount val="7"/>
                <c:pt idx="0">
                  <c:v>Studio</c:v>
                </c:pt>
                <c:pt idx="1">
                  <c:v>1 bed</c:v>
                </c:pt>
                <c:pt idx="2">
                  <c:v>2 bed</c:v>
                </c:pt>
                <c:pt idx="3">
                  <c:v>3 bed</c:v>
                </c:pt>
                <c:pt idx="4">
                  <c:v>4 bed</c:v>
                </c:pt>
                <c:pt idx="5">
                  <c:v>5+ bed</c:v>
                </c:pt>
                <c:pt idx="6">
                  <c:v>Not Known</c:v>
                </c:pt>
              </c:strCache>
            </c:strRef>
          </c:cat>
          <c:val>
            <c:numRef>
              <c:f>'Summary Tables'!$C$314:$I$314</c:f>
              <c:numCache>
                <c:formatCode>#,##0</c:formatCode>
                <c:ptCount val="7"/>
                <c:pt idx="0">
                  <c:v>4</c:v>
                </c:pt>
                <c:pt idx="1">
                  <c:v>248</c:v>
                </c:pt>
                <c:pt idx="2">
                  <c:v>659</c:v>
                </c:pt>
                <c:pt idx="3">
                  <c:v>128</c:v>
                </c:pt>
                <c:pt idx="4">
                  <c:v>27</c:v>
                </c:pt>
                <c:pt idx="5">
                  <c:v>5</c:v>
                </c:pt>
                <c:pt idx="6">
                  <c:v>0</c:v>
                </c:pt>
              </c:numCache>
            </c:numRef>
          </c:val>
          <c:extLst>
            <c:ext xmlns:c16="http://schemas.microsoft.com/office/drawing/2014/chart" uri="{C3380CC4-5D6E-409C-BE32-E72D297353CC}">
              <c16:uniqueId val="{00000000-4B72-4B47-8122-D9AE3530D72D}"/>
            </c:ext>
          </c:extLst>
        </c:ser>
        <c:dLbls>
          <c:showLegendKey val="0"/>
          <c:showVal val="0"/>
          <c:showCatName val="0"/>
          <c:showSerName val="0"/>
          <c:showPercent val="0"/>
          <c:showBubbleSize val="0"/>
          <c:showLeaderLines val="1"/>
        </c:dLbls>
        <c:firstSliceAng val="0"/>
      </c:pieChart>
    </c:plotArea>
    <c:legend>
      <c:legendPos val="r"/>
      <c:overlay val="1"/>
    </c:legend>
    <c:plotVisOnly val="1"/>
    <c:dispBlanksAs val="gap"/>
    <c:showDLblsOverMax val="0"/>
  </c:chart>
  <c:spPr>
    <a:noFill/>
    <a:ln>
      <a:noFill/>
    </a:ln>
  </c:spPr>
  <c:txPr>
    <a:bodyPr/>
    <a:lstStyle/>
    <a:p>
      <a:pPr>
        <a:defRPr sz="8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Housing Delivery</a:t>
            </a:r>
            <a:r>
              <a:rPr lang="en-GB" baseline="0"/>
              <a:t> Trajectory and Managed Target</a:t>
            </a:r>
            <a:endParaRPr lang="en-GB"/>
          </a:p>
        </c:rich>
      </c:tx>
      <c:overlay val="0"/>
    </c:title>
    <c:autoTitleDeleted val="0"/>
    <c:plotArea>
      <c:layout/>
      <c:barChart>
        <c:barDir val="col"/>
        <c:grouping val="clustered"/>
        <c:varyColors val="0"/>
        <c:ser>
          <c:idx val="0"/>
          <c:order val="0"/>
          <c:tx>
            <c:strRef>
              <c:f>'Housing Trajectory'!$B$6</c:f>
              <c:strCache>
                <c:ptCount val="1"/>
                <c:pt idx="0">
                  <c:v>Past Completions</c:v>
                </c:pt>
              </c:strCache>
            </c:strRef>
          </c:tx>
          <c:spPr>
            <a:solidFill>
              <a:schemeClr val="tx2"/>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'Housing Trajectory'!$C$4:$U$4</c:f>
              <c:strCache>
                <c:ptCount val="19"/>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strCache>
            </c:strRef>
          </c:cat>
          <c:val>
            <c:numRef>
              <c:f>'Housing Trajectory'!$C$6:$U$6</c:f>
              <c:numCache>
                <c:formatCode>#,##0</c:formatCode>
                <c:ptCount val="19"/>
                <c:pt idx="0">
                  <c:v>2735</c:v>
                </c:pt>
                <c:pt idx="1">
                  <c:v>2710</c:v>
                </c:pt>
                <c:pt idx="2">
                  <c:v>2025</c:v>
                </c:pt>
                <c:pt idx="3">
                  <c:v>1877</c:v>
                </c:pt>
                <c:pt idx="4">
                  <c:v>1359</c:v>
                </c:pt>
              </c:numCache>
            </c:numRef>
          </c:val>
          <c:extLst>
            <c:ext xmlns:c16="http://schemas.microsoft.com/office/drawing/2014/chart" uri="{C3380CC4-5D6E-409C-BE32-E72D297353CC}">
              <c16:uniqueId val="{00000000-A337-458F-AA58-DC058BEC71FC}"/>
            </c:ext>
          </c:extLst>
        </c:ser>
        <c:ser>
          <c:idx val="1"/>
          <c:order val="1"/>
          <c:tx>
            <c:strRef>
              <c:f>'Housing Trajectory'!$B$7</c:f>
              <c:strCache>
                <c:ptCount val="1"/>
                <c:pt idx="0">
                  <c:v>Projected Completions</c:v>
                </c:pt>
              </c:strCache>
            </c:strRef>
          </c:tx>
          <c:spPr>
            <a:solidFill>
              <a:schemeClr val="accent1"/>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'Housing Trajectory'!$C$4:$U$4</c:f>
              <c:strCache>
                <c:ptCount val="19"/>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strCache>
            </c:strRef>
          </c:cat>
          <c:val>
            <c:numRef>
              <c:f>'Housing Trajectory'!$C$7:$U$7</c:f>
              <c:numCache>
                <c:formatCode>#,##0</c:formatCode>
                <c:ptCount val="19"/>
                <c:pt idx="5">
                  <c:v>2641.1666666666824</c:v>
                </c:pt>
                <c:pt idx="6">
                  <c:v>2889.8541009463884</c:v>
                </c:pt>
                <c:pt idx="7">
                  <c:v>2865.3541009463866</c:v>
                </c:pt>
                <c:pt idx="8">
                  <c:v>3385.3541009463725</c:v>
                </c:pt>
                <c:pt idx="9">
                  <c:v>3157.2500000000036</c:v>
                </c:pt>
                <c:pt idx="10">
                  <c:v>2775.5376971608812</c:v>
                </c:pt>
                <c:pt idx="11">
                  <c:v>1277.1833333333338</c:v>
                </c:pt>
                <c:pt idx="12">
                  <c:v>1848.8499999999997</c:v>
                </c:pt>
                <c:pt idx="13">
                  <c:v>1103.5166666666667</c:v>
                </c:pt>
                <c:pt idx="14">
                  <c:v>1024.1500000000001</c:v>
                </c:pt>
                <c:pt idx="15">
                  <c:v>1149.75</c:v>
                </c:pt>
                <c:pt idx="16">
                  <c:v>827.25</c:v>
                </c:pt>
                <c:pt idx="17">
                  <c:v>827.25</c:v>
                </c:pt>
                <c:pt idx="18">
                  <c:v>827.25</c:v>
                </c:pt>
              </c:numCache>
            </c:numRef>
          </c:val>
          <c:extLst>
            <c:ext xmlns:c16="http://schemas.microsoft.com/office/drawing/2014/chart" uri="{C3380CC4-5D6E-409C-BE32-E72D297353CC}">
              <c16:uniqueId val="{00000001-A337-458F-AA58-DC058BEC71FC}"/>
            </c:ext>
          </c:extLst>
        </c:ser>
        <c:dLbls>
          <c:showLegendKey val="0"/>
          <c:showVal val="0"/>
          <c:showCatName val="0"/>
          <c:showSerName val="0"/>
          <c:showPercent val="0"/>
          <c:showBubbleSize val="0"/>
        </c:dLbls>
        <c:gapWidth val="100"/>
        <c:overlap val="100"/>
        <c:axId val="143106048"/>
        <c:axId val="143107968"/>
      </c:barChart>
      <c:lineChart>
        <c:grouping val="standard"/>
        <c:varyColors val="0"/>
        <c:ser>
          <c:idx val="2"/>
          <c:order val="2"/>
          <c:tx>
            <c:strRef>
              <c:f>'Housing Trajectory'!$B$9</c:f>
              <c:strCache>
                <c:ptCount val="1"/>
                <c:pt idx="0">
                  <c:v>Annual Target</c:v>
                </c:pt>
              </c:strCache>
            </c:strRef>
          </c:tx>
          <c:spPr>
            <a:ln>
              <a:solidFill>
                <a:schemeClr val="accent6">
                  <a:lumMod val="50000"/>
                </a:schemeClr>
              </a:solidFill>
            </a:ln>
          </c:spPr>
          <c:marker>
            <c:symbol val="none"/>
          </c:marker>
          <c:val>
            <c:numRef>
              <c:f>'Housing Trajectory'!$C$9:$U$9</c:f>
              <c:numCache>
                <c:formatCode>#,##0</c:formatCode>
                <c:ptCount val="19"/>
                <c:pt idx="0">
                  <c:v>1812</c:v>
                </c:pt>
                <c:pt idx="1">
                  <c:v>1812</c:v>
                </c:pt>
                <c:pt idx="2">
                  <c:v>1812</c:v>
                </c:pt>
                <c:pt idx="3">
                  <c:v>1812</c:v>
                </c:pt>
                <c:pt idx="4">
                  <c:v>1812</c:v>
                </c:pt>
                <c:pt idx="5">
                  <c:v>1812</c:v>
                </c:pt>
                <c:pt idx="6">
                  <c:v>1812</c:v>
                </c:pt>
                <c:pt idx="7">
                  <c:v>1812</c:v>
                </c:pt>
                <c:pt idx="8">
                  <c:v>1812</c:v>
                </c:pt>
                <c:pt idx="9">
                  <c:v>1812</c:v>
                </c:pt>
                <c:pt idx="10">
                  <c:v>1812</c:v>
                </c:pt>
                <c:pt idx="11">
                  <c:v>1812</c:v>
                </c:pt>
                <c:pt idx="12">
                  <c:v>1812</c:v>
                </c:pt>
                <c:pt idx="13">
                  <c:v>1812</c:v>
                </c:pt>
                <c:pt idx="14">
                  <c:v>1812</c:v>
                </c:pt>
                <c:pt idx="15">
                  <c:v>1812</c:v>
                </c:pt>
                <c:pt idx="16">
                  <c:v>1812</c:v>
                </c:pt>
                <c:pt idx="17">
                  <c:v>1812</c:v>
                </c:pt>
                <c:pt idx="18">
                  <c:v>1812</c:v>
                </c:pt>
              </c:numCache>
            </c:numRef>
          </c:val>
          <c:smooth val="0"/>
          <c:extLst>
            <c:ext xmlns:c16="http://schemas.microsoft.com/office/drawing/2014/chart" uri="{C3380CC4-5D6E-409C-BE32-E72D297353CC}">
              <c16:uniqueId val="{00000002-A337-458F-AA58-DC058BEC71FC}"/>
            </c:ext>
          </c:extLst>
        </c:ser>
        <c:ser>
          <c:idx val="3"/>
          <c:order val="3"/>
          <c:tx>
            <c:strRef>
              <c:f>'Housing Trajectory'!$B$12</c:f>
              <c:strCache>
                <c:ptCount val="1"/>
                <c:pt idx="0">
                  <c:v>Managed Annual Target Taking Account of Past and Projected Completions</c:v>
                </c:pt>
              </c:strCache>
            </c:strRef>
          </c:tx>
          <c:spPr>
            <a:ln>
              <a:solidFill>
                <a:schemeClr val="accent6"/>
              </a:solidFill>
              <a:prstDash val="solid"/>
            </a:ln>
          </c:spPr>
          <c:marker>
            <c:symbol val="none"/>
          </c:marker>
          <c:val>
            <c:numRef>
              <c:f>'Housing Trajectory'!$C$12:$U$12</c:f>
              <c:numCache>
                <c:formatCode>#,##0</c:formatCode>
                <c:ptCount val="19"/>
                <c:pt idx="0">
                  <c:v>1812</c:v>
                </c:pt>
                <c:pt idx="1">
                  <c:v>1709.4444444444443</c:v>
                </c:pt>
                <c:pt idx="2">
                  <c:v>1584.375</c:v>
                </c:pt>
                <c:pt idx="3">
                  <c:v>1521.4285714285713</c:v>
                </c:pt>
                <c:pt idx="4">
                  <c:v>1462.1666666666667</c:v>
                </c:pt>
                <c:pt idx="5">
                  <c:v>1754.6</c:v>
                </c:pt>
                <c:pt idx="6">
                  <c:v>1532.9583333333294</c:v>
                </c:pt>
                <c:pt idx="7">
                  <c:v>1080.6597441289766</c:v>
                </c:pt>
                <c:pt idx="8">
                  <c:v>188.31256572027087</c:v>
                </c:pt>
                <c:pt idx="9">
                  <c:v>0</c:v>
                </c:pt>
              </c:numCache>
            </c:numRef>
          </c:val>
          <c:smooth val="0"/>
          <c:extLst>
            <c:ext xmlns:c16="http://schemas.microsoft.com/office/drawing/2014/chart" uri="{C3380CC4-5D6E-409C-BE32-E72D297353CC}">
              <c16:uniqueId val="{00000003-A337-458F-AA58-DC058BEC71FC}"/>
            </c:ext>
          </c:extLst>
        </c:ser>
        <c:dLbls>
          <c:showLegendKey val="0"/>
          <c:showVal val="0"/>
          <c:showCatName val="0"/>
          <c:showSerName val="0"/>
          <c:showPercent val="0"/>
          <c:showBubbleSize val="0"/>
        </c:dLbls>
        <c:marker val="1"/>
        <c:smooth val="0"/>
        <c:axId val="143106048"/>
        <c:axId val="143107968"/>
      </c:lineChart>
      <c:catAx>
        <c:axId val="143106048"/>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crossAx val="143107968"/>
        <c:crosses val="autoZero"/>
        <c:auto val="1"/>
        <c:lblAlgn val="ctr"/>
        <c:lblOffset val="100"/>
        <c:noMultiLvlLbl val="0"/>
      </c:catAx>
      <c:valAx>
        <c:axId val="143107968"/>
        <c:scaling>
          <c:orientation val="minMax"/>
        </c:scaling>
        <c:delete val="0"/>
        <c:axPos val="l"/>
        <c:majorGridlines>
          <c:spPr>
            <a:ln>
              <a:noFill/>
            </a:ln>
          </c:spPr>
        </c:majorGridlines>
        <c:title>
          <c:tx>
            <c:rich>
              <a:bodyPr rot="-5400000" vert="horz"/>
              <a:lstStyle/>
              <a:p>
                <a:pPr>
                  <a:defRPr/>
                </a:pPr>
                <a:r>
                  <a:rPr lang="en-US"/>
                  <a:t>Net Completions</a:t>
                </a:r>
              </a:p>
            </c:rich>
          </c:tx>
          <c:overlay val="0"/>
        </c:title>
        <c:numFmt formatCode="#,##0" sourceLinked="1"/>
        <c:majorTickMark val="out"/>
        <c:minorTickMark val="none"/>
        <c:tickLblPos val="nextTo"/>
        <c:crossAx val="143106048"/>
        <c:crosses val="autoZero"/>
        <c:crossBetween val="between"/>
      </c:valAx>
    </c:plotArea>
    <c:legend>
      <c:legendPos val="b"/>
      <c:overlay val="0"/>
    </c:legend>
    <c:plotVisOnly val="1"/>
    <c:dispBlanksAs val="gap"/>
    <c:showDLblsOverMax val="0"/>
  </c:chart>
  <c:spPr>
    <a:ln w="6350">
      <a:solidFill>
        <a:schemeClr val="bg1">
          <a:lumMod val="50000"/>
        </a:schemeClr>
      </a:solidFill>
    </a:ln>
  </c:spPr>
  <c:txPr>
    <a:bodyPr/>
    <a:lstStyle/>
    <a:p>
      <a:pPr>
        <a:defRPr sz="900"/>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Housing Delivery above or below</a:t>
            </a:r>
            <a:r>
              <a:rPr lang="en-US" baseline="0"/>
              <a:t> the Target over Time</a:t>
            </a:r>
            <a:endParaRPr lang="en-US"/>
          </a:p>
        </c:rich>
      </c:tx>
      <c:overlay val="0"/>
    </c:title>
    <c:autoTitleDeleted val="0"/>
    <c:plotArea>
      <c:layout/>
      <c:lineChart>
        <c:grouping val="standard"/>
        <c:varyColors val="0"/>
        <c:ser>
          <c:idx val="0"/>
          <c:order val="0"/>
          <c:tx>
            <c:strRef>
              <c:f>'Housing Trajectory'!$B$11</c:f>
              <c:strCache>
                <c:ptCount val="1"/>
                <c:pt idx="0">
                  <c:v>Cumulative Completions above Cumulative Target</c:v>
                </c:pt>
              </c:strCache>
            </c:strRef>
          </c:tx>
          <c:spPr>
            <a:ln>
              <a:solidFill>
                <a:schemeClr val="accent6">
                  <a:lumMod val="50000"/>
                </a:schemeClr>
              </a:solidFill>
            </a:ln>
          </c:spPr>
          <c:marker>
            <c:symbol val="none"/>
          </c:marker>
          <c:cat>
            <c:strRef>
              <c:f>'Housing Trajectory'!$C$4:$U$4</c:f>
              <c:strCache>
                <c:ptCount val="19"/>
                <c:pt idx="0">
                  <c:v>2015/16</c:v>
                </c:pt>
                <c:pt idx="1">
                  <c:v>2016/17</c:v>
                </c:pt>
                <c:pt idx="2">
                  <c:v>2017/18</c:v>
                </c:pt>
                <c:pt idx="3">
                  <c:v>2018/19</c:v>
                </c:pt>
                <c:pt idx="4">
                  <c:v>2019/20</c:v>
                </c:pt>
                <c:pt idx="5">
                  <c:v>2020/21</c:v>
                </c:pt>
                <c:pt idx="6">
                  <c:v>2021/22</c:v>
                </c:pt>
                <c:pt idx="7">
                  <c:v>2022/23</c:v>
                </c:pt>
                <c:pt idx="8">
                  <c:v>2023/24</c:v>
                </c:pt>
                <c:pt idx="9">
                  <c:v>2024/25</c:v>
                </c:pt>
                <c:pt idx="10">
                  <c:v>2025/26</c:v>
                </c:pt>
                <c:pt idx="11">
                  <c:v>2026/27</c:v>
                </c:pt>
                <c:pt idx="12">
                  <c:v>2027/28</c:v>
                </c:pt>
                <c:pt idx="13">
                  <c:v>2028/29</c:v>
                </c:pt>
                <c:pt idx="14">
                  <c:v>2029/30</c:v>
                </c:pt>
                <c:pt idx="15">
                  <c:v>2030/31</c:v>
                </c:pt>
                <c:pt idx="16">
                  <c:v>2031/32</c:v>
                </c:pt>
                <c:pt idx="17">
                  <c:v>2032/33</c:v>
                </c:pt>
                <c:pt idx="18">
                  <c:v>2033/34</c:v>
                </c:pt>
              </c:strCache>
            </c:strRef>
          </c:cat>
          <c:val>
            <c:numRef>
              <c:f>'Housing Trajectory'!$C$11:$U$11</c:f>
              <c:numCache>
                <c:formatCode>#,##0</c:formatCode>
                <c:ptCount val="19"/>
                <c:pt idx="0">
                  <c:v>923</c:v>
                </c:pt>
                <c:pt idx="1">
                  <c:v>1821</c:v>
                </c:pt>
                <c:pt idx="2">
                  <c:v>2034</c:v>
                </c:pt>
                <c:pt idx="3">
                  <c:v>2099</c:v>
                </c:pt>
                <c:pt idx="4">
                  <c:v>287</c:v>
                </c:pt>
                <c:pt idx="5">
                  <c:v>1116.1666666666824</c:v>
                </c:pt>
                <c:pt idx="6">
                  <c:v>2194.0207676130703</c:v>
                </c:pt>
                <c:pt idx="7">
                  <c:v>3247.3748685594583</c:v>
                </c:pt>
                <c:pt idx="8">
                  <c:v>4820.7289695058316</c:v>
                </c:pt>
                <c:pt idx="9">
                  <c:v>6165.9789695058353</c:v>
                </c:pt>
                <c:pt idx="10">
                  <c:v>7129.5166666667174</c:v>
                </c:pt>
                <c:pt idx="11">
                  <c:v>6594.7000000000517</c:v>
                </c:pt>
                <c:pt idx="12">
                  <c:v>6631.5500000000502</c:v>
                </c:pt>
                <c:pt idx="13">
                  <c:v>5923.0666666667166</c:v>
                </c:pt>
                <c:pt idx="14">
                  <c:v>5135.2166666667181</c:v>
                </c:pt>
                <c:pt idx="15">
                  <c:v>4472.9666666667181</c:v>
                </c:pt>
                <c:pt idx="16">
                  <c:v>3488.2166666667181</c:v>
                </c:pt>
                <c:pt idx="17">
                  <c:v>2503.4666666667181</c:v>
                </c:pt>
                <c:pt idx="18">
                  <c:v>1518.7166666667181</c:v>
                </c:pt>
              </c:numCache>
            </c:numRef>
          </c:val>
          <c:smooth val="0"/>
          <c:extLst>
            <c:ext xmlns:c16="http://schemas.microsoft.com/office/drawing/2014/chart" uri="{C3380CC4-5D6E-409C-BE32-E72D297353CC}">
              <c16:uniqueId val="{00000000-2C77-49E0-8C01-4F3899661AED}"/>
            </c:ext>
          </c:extLst>
        </c:ser>
        <c:dLbls>
          <c:showLegendKey val="0"/>
          <c:showVal val="0"/>
          <c:showCatName val="0"/>
          <c:showSerName val="0"/>
          <c:showPercent val="0"/>
          <c:showBubbleSize val="0"/>
        </c:dLbls>
        <c:smooth val="0"/>
        <c:axId val="143144064"/>
        <c:axId val="143145984"/>
      </c:lineChart>
      <c:catAx>
        <c:axId val="143144064"/>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crossAx val="143145984"/>
        <c:crosses val="autoZero"/>
        <c:auto val="1"/>
        <c:lblAlgn val="ctr"/>
        <c:lblOffset val="100"/>
        <c:noMultiLvlLbl val="0"/>
      </c:catAx>
      <c:valAx>
        <c:axId val="143145984"/>
        <c:scaling>
          <c:orientation val="minMax"/>
        </c:scaling>
        <c:delete val="0"/>
        <c:axPos val="l"/>
        <c:majorGridlines>
          <c:spPr>
            <a:ln>
              <a:noFill/>
            </a:ln>
          </c:spPr>
        </c:majorGridlines>
        <c:title>
          <c:tx>
            <c:rich>
              <a:bodyPr rot="-5400000" vert="horz"/>
              <a:lstStyle/>
              <a:p>
                <a:pPr>
                  <a:defRPr/>
                </a:pPr>
                <a:r>
                  <a:rPr lang="en-GB"/>
                  <a:t>Net Completions</a:t>
                </a:r>
              </a:p>
            </c:rich>
          </c:tx>
          <c:overlay val="0"/>
        </c:title>
        <c:numFmt formatCode="#,##0" sourceLinked="1"/>
        <c:majorTickMark val="out"/>
        <c:minorTickMark val="none"/>
        <c:tickLblPos val="nextTo"/>
        <c:crossAx val="143144064"/>
        <c:crosses val="autoZero"/>
        <c:crossBetween val="between"/>
      </c:valAx>
    </c:plotArea>
    <c:legend>
      <c:legendPos val="b"/>
      <c:overlay val="0"/>
    </c:legend>
    <c:plotVisOnly val="1"/>
    <c:dispBlanksAs val="gap"/>
    <c:showDLblsOverMax val="0"/>
  </c:chart>
  <c:spPr>
    <a:ln w="6350">
      <a:solidFill>
        <a:schemeClr val="bg1">
          <a:lumMod val="50000"/>
        </a:schemeClr>
      </a:solidFill>
    </a:ln>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3362720710506"/>
          <c:y val="6.9767441860465115E-2"/>
          <c:w val="0.86111344703083503"/>
          <c:h val="0.78604651162790695"/>
        </c:manualLayout>
      </c:layout>
      <c:barChart>
        <c:barDir val="col"/>
        <c:grouping val="stacked"/>
        <c:varyColors val="0"/>
        <c:ser>
          <c:idx val="0"/>
          <c:order val="0"/>
          <c:tx>
            <c:strRef>
              <c:f>'Summary Tables'!$A$97</c:f>
              <c:strCache>
                <c:ptCount val="1"/>
                <c:pt idx="0">
                  <c:v>New Build</c:v>
                </c:pt>
              </c:strCache>
            </c:strRef>
          </c:tx>
          <c:invertIfNegative val="0"/>
          <c:cat>
            <c:strRef>
              <c:f>'Summary Tables'!$C$96:$E$96</c:f>
              <c:strCache>
                <c:ptCount val="3"/>
                <c:pt idx="0">
                  <c:v>Permissions</c:v>
                </c:pt>
                <c:pt idx="1">
                  <c:v>Starts</c:v>
                </c:pt>
                <c:pt idx="2">
                  <c:v>Completions</c:v>
                </c:pt>
              </c:strCache>
            </c:strRef>
          </c:cat>
          <c:val>
            <c:numRef>
              <c:f>'Summary Tables'!$C$97:$E$97</c:f>
              <c:numCache>
                <c:formatCode>#,##0</c:formatCode>
                <c:ptCount val="3"/>
                <c:pt idx="0">
                  <c:v>2888</c:v>
                </c:pt>
                <c:pt idx="1">
                  <c:v>3736</c:v>
                </c:pt>
                <c:pt idx="2">
                  <c:v>1071</c:v>
                </c:pt>
              </c:numCache>
            </c:numRef>
          </c:val>
          <c:extLst>
            <c:ext xmlns:c16="http://schemas.microsoft.com/office/drawing/2014/chart" uri="{C3380CC4-5D6E-409C-BE32-E72D297353CC}">
              <c16:uniqueId val="{00000000-AA58-44DE-BF79-54EFAC11D956}"/>
            </c:ext>
          </c:extLst>
        </c:ser>
        <c:ser>
          <c:idx val="1"/>
          <c:order val="1"/>
          <c:tx>
            <c:strRef>
              <c:f>'Summary Tables'!$A$98</c:f>
              <c:strCache>
                <c:ptCount val="1"/>
                <c:pt idx="0">
                  <c:v>Conversions</c:v>
                </c:pt>
              </c:strCache>
            </c:strRef>
          </c:tx>
          <c:invertIfNegative val="0"/>
          <c:cat>
            <c:strRef>
              <c:f>'Summary Tables'!$C$96:$E$96</c:f>
              <c:strCache>
                <c:ptCount val="3"/>
                <c:pt idx="0">
                  <c:v>Permissions</c:v>
                </c:pt>
                <c:pt idx="1">
                  <c:v>Starts</c:v>
                </c:pt>
                <c:pt idx="2">
                  <c:v>Completions</c:v>
                </c:pt>
              </c:strCache>
            </c:strRef>
          </c:cat>
          <c:val>
            <c:numRef>
              <c:f>'Summary Tables'!$C$98:$E$98</c:f>
              <c:numCache>
                <c:formatCode>#,##0</c:formatCode>
                <c:ptCount val="3"/>
                <c:pt idx="0">
                  <c:v>242</c:v>
                </c:pt>
                <c:pt idx="1">
                  <c:v>152</c:v>
                </c:pt>
                <c:pt idx="2">
                  <c:v>259</c:v>
                </c:pt>
              </c:numCache>
            </c:numRef>
          </c:val>
          <c:extLst>
            <c:ext xmlns:c16="http://schemas.microsoft.com/office/drawing/2014/chart" uri="{C3380CC4-5D6E-409C-BE32-E72D297353CC}">
              <c16:uniqueId val="{00000001-AA58-44DE-BF79-54EFAC11D956}"/>
            </c:ext>
          </c:extLst>
        </c:ser>
        <c:dLbls>
          <c:showLegendKey val="0"/>
          <c:showVal val="0"/>
          <c:showCatName val="0"/>
          <c:showSerName val="0"/>
          <c:showPercent val="0"/>
          <c:showBubbleSize val="0"/>
        </c:dLbls>
        <c:gapWidth val="56"/>
        <c:overlap val="100"/>
        <c:axId val="141655040"/>
        <c:axId val="141656832"/>
      </c:barChart>
      <c:catAx>
        <c:axId val="141655040"/>
        <c:scaling>
          <c:orientation val="minMax"/>
        </c:scaling>
        <c:delete val="0"/>
        <c:axPos val="b"/>
        <c:numFmt formatCode="General" sourceLinked="1"/>
        <c:majorTickMark val="out"/>
        <c:minorTickMark val="none"/>
        <c:tickLblPos val="nextTo"/>
        <c:txPr>
          <a:bodyPr rot="0" vert="horz"/>
          <a:lstStyle/>
          <a:p>
            <a:pPr>
              <a:defRPr/>
            </a:pPr>
            <a:endParaRPr lang="en-US"/>
          </a:p>
        </c:txPr>
        <c:crossAx val="141656832"/>
        <c:crosses val="autoZero"/>
        <c:auto val="1"/>
        <c:lblAlgn val="ctr"/>
        <c:lblOffset val="100"/>
        <c:tickLblSkip val="1"/>
        <c:tickMarkSkip val="1"/>
        <c:noMultiLvlLbl val="0"/>
      </c:catAx>
      <c:valAx>
        <c:axId val="141656832"/>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141655040"/>
        <c:crosses val="autoZero"/>
        <c:crossBetween val="between"/>
      </c:valAx>
    </c:plotArea>
    <c:legend>
      <c:legendPos val="r"/>
      <c:layout>
        <c:manualLayout>
          <c:xMode val="edge"/>
          <c:yMode val="edge"/>
          <c:x val="0.73357206607720016"/>
          <c:y val="0.13943108213348474"/>
          <c:w val="0.2048997772828508"/>
          <c:h val="0.17154811715481172"/>
        </c:manualLayout>
      </c:layout>
      <c:overlay val="0"/>
      <c:spPr>
        <a:solidFill>
          <a:sysClr val="window" lastClr="FFFFFF"/>
        </a:solidFill>
      </c:spPr>
    </c:legend>
    <c:plotVisOnly val="1"/>
    <c:dispBlanksAs val="gap"/>
    <c:showDLblsOverMax val="0"/>
  </c:chart>
  <c:spPr>
    <a:ln>
      <a:noFill/>
    </a:ln>
  </c:spPr>
  <c:txPr>
    <a:bodyPr/>
    <a:lstStyle/>
    <a:p>
      <a:pPr>
        <a:defRPr sz="800"/>
      </a:pPr>
      <a:endParaRPr lang="en-US"/>
    </a:p>
  </c:txPr>
  <c:printSettings>
    <c:headerFooter alignWithMargins="0"/>
    <c:pageMargins b="1" l="0.75" r="0.75" t="1" header="0.5" footer="0.5"/>
    <c:pageSetup paperSize="9" orientation="landscape"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4840027565073"/>
          <c:y val="5.1903201880139423E-2"/>
          <c:w val="0.84618486063704224"/>
          <c:h val="0.76470717436738744"/>
        </c:manualLayout>
      </c:layout>
      <c:barChart>
        <c:barDir val="col"/>
        <c:grouping val="stacked"/>
        <c:varyColors val="0"/>
        <c:ser>
          <c:idx val="0"/>
          <c:order val="0"/>
          <c:tx>
            <c:strRef>
              <c:f>'Summary Tables'!$B$195:$C$195</c:f>
              <c:strCache>
                <c:ptCount val="2"/>
                <c:pt idx="0">
                  <c:v>Open Market</c:v>
                </c:pt>
              </c:strCache>
            </c:strRef>
          </c:tx>
          <c:invertIfNegative val="0"/>
          <c:cat>
            <c:strRef>
              <c:f>'Summary Tables'!$A$197:$A$211</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Tables'!$B$197:$B$211</c:f>
              <c:numCache>
                <c:formatCode>#,##0</c:formatCode>
                <c:ptCount val="15"/>
                <c:pt idx="0">
                  <c:v>809</c:v>
                </c:pt>
                <c:pt idx="1">
                  <c:v>1300</c:v>
                </c:pt>
                <c:pt idx="2">
                  <c:v>974</c:v>
                </c:pt>
                <c:pt idx="3">
                  <c:v>482</c:v>
                </c:pt>
                <c:pt idx="4">
                  <c:v>358</c:v>
                </c:pt>
                <c:pt idx="5">
                  <c:v>1127</c:v>
                </c:pt>
                <c:pt idx="6">
                  <c:v>1728</c:v>
                </c:pt>
                <c:pt idx="7">
                  <c:v>1075</c:v>
                </c:pt>
                <c:pt idx="8">
                  <c:v>2053</c:v>
                </c:pt>
                <c:pt idx="9">
                  <c:v>914</c:v>
                </c:pt>
                <c:pt idx="10">
                  <c:v>1686</c:v>
                </c:pt>
                <c:pt idx="11">
                  <c:v>2776</c:v>
                </c:pt>
                <c:pt idx="12">
                  <c:v>1669</c:v>
                </c:pt>
                <c:pt idx="13">
                  <c:v>1276</c:v>
                </c:pt>
                <c:pt idx="14">
                  <c:v>2884</c:v>
                </c:pt>
              </c:numCache>
            </c:numRef>
          </c:val>
          <c:extLst>
            <c:ext xmlns:c16="http://schemas.microsoft.com/office/drawing/2014/chart" uri="{C3380CC4-5D6E-409C-BE32-E72D297353CC}">
              <c16:uniqueId val="{00000000-F492-46E1-B835-A12F26DDF8C1}"/>
            </c:ext>
          </c:extLst>
        </c:ser>
        <c:ser>
          <c:idx val="1"/>
          <c:order val="1"/>
          <c:tx>
            <c:strRef>
              <c:f>'Summary Tables'!$H$195</c:f>
              <c:strCache>
                <c:ptCount val="1"/>
                <c:pt idx="0">
                  <c:v>Total Affordable</c:v>
                </c:pt>
              </c:strCache>
            </c:strRef>
          </c:tx>
          <c:invertIfNegative val="0"/>
          <c:cat>
            <c:strRef>
              <c:f>'Summary Tables'!$A$197:$A$211</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Tables'!$H$197:$H$211</c:f>
              <c:numCache>
                <c:formatCode>#,##0</c:formatCode>
                <c:ptCount val="15"/>
                <c:pt idx="0">
                  <c:v>201</c:v>
                </c:pt>
                <c:pt idx="1">
                  <c:v>624</c:v>
                </c:pt>
                <c:pt idx="2">
                  <c:v>662</c:v>
                </c:pt>
                <c:pt idx="3">
                  <c:v>119</c:v>
                </c:pt>
                <c:pt idx="4">
                  <c:v>104</c:v>
                </c:pt>
                <c:pt idx="5">
                  <c:v>402</c:v>
                </c:pt>
                <c:pt idx="6">
                  <c:v>432</c:v>
                </c:pt>
                <c:pt idx="7">
                  <c:v>122</c:v>
                </c:pt>
                <c:pt idx="8">
                  <c:v>339</c:v>
                </c:pt>
                <c:pt idx="9">
                  <c:v>220</c:v>
                </c:pt>
                <c:pt idx="10">
                  <c:v>237</c:v>
                </c:pt>
                <c:pt idx="11">
                  <c:v>465</c:v>
                </c:pt>
                <c:pt idx="12">
                  <c:v>431</c:v>
                </c:pt>
                <c:pt idx="13">
                  <c:v>582</c:v>
                </c:pt>
                <c:pt idx="14">
                  <c:v>1004</c:v>
                </c:pt>
              </c:numCache>
            </c:numRef>
          </c:val>
          <c:extLst>
            <c:ext xmlns:c16="http://schemas.microsoft.com/office/drawing/2014/chart" uri="{C3380CC4-5D6E-409C-BE32-E72D297353CC}">
              <c16:uniqueId val="{00000001-F492-46E1-B835-A12F26DDF8C1}"/>
            </c:ext>
          </c:extLst>
        </c:ser>
        <c:dLbls>
          <c:showLegendKey val="0"/>
          <c:showVal val="0"/>
          <c:showCatName val="0"/>
          <c:showSerName val="0"/>
          <c:showPercent val="0"/>
          <c:showBubbleSize val="0"/>
        </c:dLbls>
        <c:gapWidth val="40"/>
        <c:overlap val="100"/>
        <c:axId val="160195712"/>
        <c:axId val="160197248"/>
      </c:barChart>
      <c:catAx>
        <c:axId val="160195712"/>
        <c:scaling>
          <c:orientation val="minMax"/>
        </c:scaling>
        <c:delete val="0"/>
        <c:axPos val="b"/>
        <c:numFmt formatCode="General" sourceLinked="1"/>
        <c:majorTickMark val="out"/>
        <c:minorTickMark val="none"/>
        <c:tickLblPos val="nextTo"/>
        <c:txPr>
          <a:bodyPr rot="3000000" vert="horz"/>
          <a:lstStyle/>
          <a:p>
            <a:pPr>
              <a:defRPr/>
            </a:pPr>
            <a:endParaRPr lang="en-US"/>
          </a:p>
        </c:txPr>
        <c:crossAx val="160197248"/>
        <c:crosses val="autoZero"/>
        <c:auto val="1"/>
        <c:lblAlgn val="ctr"/>
        <c:lblOffset val="100"/>
        <c:tickLblSkip val="1"/>
        <c:tickMarkSkip val="1"/>
        <c:noMultiLvlLbl val="0"/>
      </c:catAx>
      <c:valAx>
        <c:axId val="160197248"/>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160195712"/>
        <c:crosses val="autoZero"/>
        <c:crossBetween val="between"/>
      </c:valAx>
    </c:plotArea>
    <c:legend>
      <c:legendPos val="r"/>
      <c:layout>
        <c:manualLayout>
          <c:xMode val="edge"/>
          <c:yMode val="edge"/>
          <c:x val="0.10295748850063978"/>
          <c:y val="6.4846894138232719E-2"/>
          <c:w val="0.24597060922057706"/>
          <c:h val="0.14186851211072665"/>
        </c:manualLayout>
      </c:layout>
      <c:overlay val="0"/>
      <c:spPr>
        <a:solidFill>
          <a:sysClr val="window" lastClr="FFFFFF"/>
        </a:solidFill>
      </c:spPr>
    </c:legend>
    <c:plotVisOnly val="1"/>
    <c:dispBlanksAs val="gap"/>
    <c:showDLblsOverMax val="0"/>
  </c:chart>
  <c:spPr>
    <a:ln>
      <a:noFill/>
    </a:ln>
  </c:spPr>
  <c:txPr>
    <a:bodyPr/>
    <a:lstStyle/>
    <a:p>
      <a:pPr>
        <a:defRPr sz="800"/>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4345009199429E-2"/>
          <c:y val="4.3553869790666409E-2"/>
          <c:w val="0.91696096127518945"/>
          <c:h val="0.78192429893631721"/>
        </c:manualLayout>
      </c:layout>
      <c:barChart>
        <c:barDir val="col"/>
        <c:grouping val="stacked"/>
        <c:varyColors val="0"/>
        <c:ser>
          <c:idx val="0"/>
          <c:order val="0"/>
          <c:tx>
            <c:strRef>
              <c:f>'Summary Tables'!$B$173:$C$173</c:f>
              <c:strCache>
                <c:ptCount val="2"/>
                <c:pt idx="0">
                  <c:v>New Build</c:v>
                </c:pt>
              </c:strCache>
            </c:strRef>
          </c:tx>
          <c:invertIfNegative val="0"/>
          <c:dPt>
            <c:idx val="8"/>
            <c:invertIfNegative val="0"/>
            <c:bubble3D val="0"/>
            <c:extLst>
              <c:ext xmlns:c16="http://schemas.microsoft.com/office/drawing/2014/chart" uri="{C3380CC4-5D6E-409C-BE32-E72D297353CC}">
                <c16:uniqueId val="{00000000-C577-487E-A539-63264F86A722}"/>
              </c:ext>
            </c:extLst>
          </c:dPt>
          <c:cat>
            <c:strRef>
              <c:f>'Summary Tables'!$A$175:$A$189</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Tables'!$C$175:$C$189</c:f>
              <c:numCache>
                <c:formatCode>#,##0</c:formatCode>
                <c:ptCount val="15"/>
                <c:pt idx="0">
                  <c:v>1100</c:v>
                </c:pt>
                <c:pt idx="1">
                  <c:v>1080</c:v>
                </c:pt>
                <c:pt idx="2">
                  <c:v>840</c:v>
                </c:pt>
                <c:pt idx="3">
                  <c:v>1385</c:v>
                </c:pt>
                <c:pt idx="4">
                  <c:v>1413</c:v>
                </c:pt>
                <c:pt idx="5">
                  <c:v>340</c:v>
                </c:pt>
                <c:pt idx="6">
                  <c:v>851</c:v>
                </c:pt>
                <c:pt idx="7">
                  <c:v>721</c:v>
                </c:pt>
                <c:pt idx="8">
                  <c:v>1079</c:v>
                </c:pt>
                <c:pt idx="9">
                  <c:v>812</c:v>
                </c:pt>
                <c:pt idx="10">
                  <c:v>2639</c:v>
                </c:pt>
                <c:pt idx="11">
                  <c:v>1968</c:v>
                </c:pt>
                <c:pt idx="12">
                  <c:v>1912</c:v>
                </c:pt>
                <c:pt idx="13">
                  <c:v>1623</c:v>
                </c:pt>
                <c:pt idx="14">
                  <c:v>1071</c:v>
                </c:pt>
              </c:numCache>
            </c:numRef>
          </c:val>
          <c:extLst>
            <c:ext xmlns:c16="http://schemas.microsoft.com/office/drawing/2014/chart" uri="{C3380CC4-5D6E-409C-BE32-E72D297353CC}">
              <c16:uniqueId val="{00000001-C577-487E-A539-63264F86A722}"/>
            </c:ext>
          </c:extLst>
        </c:ser>
        <c:ser>
          <c:idx val="1"/>
          <c:order val="1"/>
          <c:tx>
            <c:strRef>
              <c:f>'Summary Tables'!$D$173:$E$173</c:f>
              <c:strCache>
                <c:ptCount val="2"/>
                <c:pt idx="0">
                  <c:v>Conversions</c:v>
                </c:pt>
              </c:strCache>
            </c:strRef>
          </c:tx>
          <c:invertIfNegative val="0"/>
          <c:cat>
            <c:strRef>
              <c:f>'Summary Tables'!$A$175:$A$189</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Tables'!$E$175:$E$189</c:f>
              <c:numCache>
                <c:formatCode>#,##0</c:formatCode>
                <c:ptCount val="15"/>
                <c:pt idx="0">
                  <c:v>204</c:v>
                </c:pt>
                <c:pt idx="1">
                  <c:v>198</c:v>
                </c:pt>
                <c:pt idx="2">
                  <c:v>191</c:v>
                </c:pt>
                <c:pt idx="3">
                  <c:v>175</c:v>
                </c:pt>
                <c:pt idx="4">
                  <c:v>126</c:v>
                </c:pt>
                <c:pt idx="5">
                  <c:v>141</c:v>
                </c:pt>
                <c:pt idx="6">
                  <c:v>128</c:v>
                </c:pt>
                <c:pt idx="7">
                  <c:v>121</c:v>
                </c:pt>
                <c:pt idx="8">
                  <c:v>118</c:v>
                </c:pt>
                <c:pt idx="9">
                  <c:v>124</c:v>
                </c:pt>
                <c:pt idx="10">
                  <c:v>137</c:v>
                </c:pt>
                <c:pt idx="11">
                  <c:v>377</c:v>
                </c:pt>
                <c:pt idx="12">
                  <c:v>124</c:v>
                </c:pt>
                <c:pt idx="13">
                  <c:v>228</c:v>
                </c:pt>
                <c:pt idx="14">
                  <c:v>259</c:v>
                </c:pt>
              </c:numCache>
            </c:numRef>
          </c:val>
          <c:extLst>
            <c:ext xmlns:c16="http://schemas.microsoft.com/office/drawing/2014/chart" uri="{C3380CC4-5D6E-409C-BE32-E72D297353CC}">
              <c16:uniqueId val="{00000002-C577-487E-A539-63264F86A722}"/>
            </c:ext>
          </c:extLst>
        </c:ser>
        <c:dLbls>
          <c:showLegendKey val="0"/>
          <c:showVal val="0"/>
          <c:showCatName val="0"/>
          <c:showSerName val="0"/>
          <c:showPercent val="0"/>
          <c:showBubbleSize val="0"/>
        </c:dLbls>
        <c:gapWidth val="40"/>
        <c:overlap val="100"/>
        <c:axId val="160238592"/>
        <c:axId val="160240384"/>
      </c:barChart>
      <c:catAx>
        <c:axId val="160238592"/>
        <c:scaling>
          <c:orientation val="minMax"/>
        </c:scaling>
        <c:delete val="0"/>
        <c:axPos val="b"/>
        <c:numFmt formatCode="General" sourceLinked="1"/>
        <c:majorTickMark val="out"/>
        <c:minorTickMark val="none"/>
        <c:tickLblPos val="nextTo"/>
        <c:txPr>
          <a:bodyPr rot="2280000" vert="horz"/>
          <a:lstStyle/>
          <a:p>
            <a:pPr>
              <a:defRPr/>
            </a:pPr>
            <a:endParaRPr lang="en-US"/>
          </a:p>
        </c:txPr>
        <c:crossAx val="160240384"/>
        <c:crosses val="autoZero"/>
        <c:auto val="1"/>
        <c:lblAlgn val="ctr"/>
        <c:lblOffset val="100"/>
        <c:tickLblSkip val="1"/>
        <c:noMultiLvlLbl val="0"/>
      </c:catAx>
      <c:valAx>
        <c:axId val="160240384"/>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160238592"/>
        <c:crosses val="autoZero"/>
        <c:crossBetween val="between"/>
      </c:valAx>
    </c:plotArea>
    <c:legend>
      <c:legendPos val="r"/>
      <c:layout>
        <c:manualLayout>
          <c:xMode val="edge"/>
          <c:yMode val="edge"/>
          <c:x val="7.641198696316806E-2"/>
          <c:y val="9.6359085549088966E-2"/>
          <c:w val="0.15644486746848948"/>
          <c:h val="0.11474852599946746"/>
        </c:manualLayout>
      </c:layout>
      <c:overlay val="0"/>
      <c:spPr>
        <a:solidFill>
          <a:sysClr val="window" lastClr="FFFFFF"/>
        </a:solidFill>
      </c:spPr>
    </c:legend>
    <c:plotVisOnly val="1"/>
    <c:dispBlanksAs val="gap"/>
    <c:showDLblsOverMax val="0"/>
  </c:chart>
  <c:spPr>
    <a:ln>
      <a:noFill/>
    </a:ln>
  </c:spPr>
  <c:txPr>
    <a:bodyPr/>
    <a:lstStyle/>
    <a:p>
      <a:pPr>
        <a:defRPr sz="800"/>
      </a:pPr>
      <a:endParaRPr lang="en-US"/>
    </a:p>
  </c:txPr>
  <c:printSettings>
    <c:headerFooter alignWithMargins="0"/>
    <c:pageMargins b="1" l="0.75" r="0.75" t="1" header="0.5" footer="0.5"/>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GB" sz="900"/>
              <a:t>Total net completions by tenure 2005/06 to 2019/20</a:t>
            </a:r>
          </a:p>
        </c:rich>
      </c:tx>
      <c:layout>
        <c:manualLayout>
          <c:xMode val="edge"/>
          <c:yMode val="edge"/>
          <c:x val="2.5613632466795922E-3"/>
          <c:y val="0.12239741771409007"/>
        </c:manualLayout>
      </c:layout>
      <c:overlay val="0"/>
    </c:title>
    <c:autoTitleDeleted val="0"/>
    <c:plotArea>
      <c:layout>
        <c:manualLayout>
          <c:layoutTarget val="inner"/>
          <c:xMode val="edge"/>
          <c:yMode val="edge"/>
          <c:x val="6.9681500486596465E-2"/>
          <c:y val="0.21365157480314961"/>
          <c:w val="0.56325370845498257"/>
          <c:h val="0.69624416739574224"/>
        </c:manualLayout>
      </c:layout>
      <c:pieChart>
        <c:varyColors val="1"/>
        <c:ser>
          <c:idx val="0"/>
          <c:order val="0"/>
          <c:dPt>
            <c:idx val="0"/>
            <c:bubble3D val="0"/>
            <c:extLst>
              <c:ext xmlns:c16="http://schemas.microsoft.com/office/drawing/2014/chart" uri="{C3380CC4-5D6E-409C-BE32-E72D297353CC}">
                <c16:uniqueId val="{00000000-E5D0-419B-A63C-9E095E3EEC4D}"/>
              </c:ext>
            </c:extLst>
          </c:dPt>
          <c:dPt>
            <c:idx val="1"/>
            <c:bubble3D val="0"/>
            <c:extLst>
              <c:ext xmlns:c16="http://schemas.microsoft.com/office/drawing/2014/chart" uri="{C3380CC4-5D6E-409C-BE32-E72D297353CC}">
                <c16:uniqueId val="{00000001-E5D0-419B-A63C-9E095E3EEC4D}"/>
              </c:ext>
            </c:extLst>
          </c:dPt>
          <c:dPt>
            <c:idx val="2"/>
            <c:bubble3D val="0"/>
            <c:extLst>
              <c:ext xmlns:c16="http://schemas.microsoft.com/office/drawing/2014/chart" uri="{C3380CC4-5D6E-409C-BE32-E72D297353CC}">
                <c16:uniqueId val="{00000002-E5D0-419B-A63C-9E095E3EEC4D}"/>
              </c:ext>
            </c:extLst>
          </c:dPt>
          <c:dLbls>
            <c:numFmt formatCode="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('Summary Tables'!$B$113,'Summary Tables'!$D$113,'Summary Tables'!$F$113)</c:f>
              <c:strCache>
                <c:ptCount val="3"/>
                <c:pt idx="0">
                  <c:v> Open Market</c:v>
                </c:pt>
                <c:pt idx="1">
                  <c:v>  Intermediate </c:v>
                </c:pt>
                <c:pt idx="2">
                  <c:v>  Social/Affordable Rent </c:v>
                </c:pt>
              </c:strCache>
            </c:strRef>
          </c:cat>
          <c:val>
            <c:numRef>
              <c:f>('Summary Tables'!$B$130,'Summary Tables'!$D$130,'Summary Tables'!$F$130)</c:f>
              <c:numCache>
                <c:formatCode>#,##0</c:formatCode>
                <c:ptCount val="3"/>
                <c:pt idx="0">
                  <c:v>17059</c:v>
                </c:pt>
                <c:pt idx="1">
                  <c:v>3263</c:v>
                </c:pt>
                <c:pt idx="2">
                  <c:v>1163</c:v>
                </c:pt>
              </c:numCache>
            </c:numRef>
          </c:val>
          <c:extLst>
            <c:ext xmlns:c16="http://schemas.microsoft.com/office/drawing/2014/chart" uri="{C3380CC4-5D6E-409C-BE32-E72D297353CC}">
              <c16:uniqueId val="{00000003-E5D0-419B-A63C-9E095E3EEC4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513478151914428"/>
          <c:y val="0.49175037902870838"/>
          <c:w val="0.34503092892282938"/>
          <c:h val="0.14752808072903933"/>
        </c:manualLayout>
      </c:layout>
      <c:overlay val="0"/>
    </c:legend>
    <c:plotVisOnly val="1"/>
    <c:dispBlanksAs val="zero"/>
    <c:showDLblsOverMax val="0"/>
  </c:chart>
  <c:spPr>
    <a:ln>
      <a:noFill/>
    </a:ln>
  </c:spPr>
  <c:txPr>
    <a:bodyPr/>
    <a:lstStyle/>
    <a:p>
      <a:pPr>
        <a:defRPr sz="800"/>
      </a:pPr>
      <a:endParaRPr lang="en-US"/>
    </a:p>
  </c:txPr>
  <c:printSettings>
    <c:headerFooter alignWithMargins="0"/>
    <c:pageMargins b="1" l="0.75" r="0.75" t="1" header="0.5" footer="0.5"/>
    <c:pageSetup paperSize="9"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31011068010791E-2"/>
          <c:y val="5.1724137931034482E-2"/>
          <c:w val="0.90647561621411332"/>
          <c:h val="0.78620689655172415"/>
        </c:manualLayout>
      </c:layout>
      <c:barChart>
        <c:barDir val="col"/>
        <c:grouping val="stacked"/>
        <c:varyColors val="0"/>
        <c:ser>
          <c:idx val="0"/>
          <c:order val="0"/>
          <c:tx>
            <c:strRef>
              <c:f>'Summary Tables'!$B$217:$C$217</c:f>
              <c:strCache>
                <c:ptCount val="2"/>
                <c:pt idx="0">
                  <c:v> New Build</c:v>
                </c:pt>
              </c:strCache>
            </c:strRef>
          </c:tx>
          <c:invertIfNegative val="0"/>
          <c:cat>
            <c:strRef>
              <c:f>'Summary Tables'!$A$219:$A$233</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Tables'!$B$219:$B$233</c:f>
              <c:numCache>
                <c:formatCode>#,##0</c:formatCode>
                <c:ptCount val="15"/>
                <c:pt idx="0">
                  <c:v>1682</c:v>
                </c:pt>
                <c:pt idx="1">
                  <c:v>2464</c:v>
                </c:pt>
                <c:pt idx="2">
                  <c:v>1920</c:v>
                </c:pt>
                <c:pt idx="3">
                  <c:v>1547</c:v>
                </c:pt>
                <c:pt idx="4">
                  <c:v>1162</c:v>
                </c:pt>
                <c:pt idx="5">
                  <c:v>2807</c:v>
                </c:pt>
                <c:pt idx="6">
                  <c:v>10369</c:v>
                </c:pt>
                <c:pt idx="7">
                  <c:v>5033</c:v>
                </c:pt>
                <c:pt idx="8">
                  <c:v>1690</c:v>
                </c:pt>
                <c:pt idx="9">
                  <c:v>4598</c:v>
                </c:pt>
                <c:pt idx="10">
                  <c:v>3250</c:v>
                </c:pt>
                <c:pt idx="11">
                  <c:v>3068</c:v>
                </c:pt>
                <c:pt idx="12">
                  <c:v>5485</c:v>
                </c:pt>
                <c:pt idx="13">
                  <c:v>5966</c:v>
                </c:pt>
                <c:pt idx="14">
                  <c:v>2909</c:v>
                </c:pt>
              </c:numCache>
            </c:numRef>
          </c:val>
          <c:extLst>
            <c:ext xmlns:c16="http://schemas.microsoft.com/office/drawing/2014/chart" uri="{C3380CC4-5D6E-409C-BE32-E72D297353CC}">
              <c16:uniqueId val="{00000000-12CE-4C48-9CDD-7BECE07775DD}"/>
            </c:ext>
          </c:extLst>
        </c:ser>
        <c:ser>
          <c:idx val="1"/>
          <c:order val="1"/>
          <c:tx>
            <c:strRef>
              <c:f>'Summary Tables'!$D$217:$E$217</c:f>
              <c:strCache>
                <c:ptCount val="2"/>
                <c:pt idx="0">
                  <c:v> Conversions</c:v>
                </c:pt>
              </c:strCache>
            </c:strRef>
          </c:tx>
          <c:invertIfNegative val="0"/>
          <c:cat>
            <c:strRef>
              <c:f>'Summary Tables'!$A$219:$A$233</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Tables'!$E$219:$E$233</c:f>
              <c:numCache>
                <c:formatCode>#,##0</c:formatCode>
                <c:ptCount val="15"/>
                <c:pt idx="0">
                  <c:v>294</c:v>
                </c:pt>
                <c:pt idx="1">
                  <c:v>229</c:v>
                </c:pt>
                <c:pt idx="2">
                  <c:v>239</c:v>
                </c:pt>
                <c:pt idx="3">
                  <c:v>219</c:v>
                </c:pt>
                <c:pt idx="4">
                  <c:v>139</c:v>
                </c:pt>
                <c:pt idx="5">
                  <c:v>178</c:v>
                </c:pt>
                <c:pt idx="6">
                  <c:v>196</c:v>
                </c:pt>
                <c:pt idx="7">
                  <c:v>143</c:v>
                </c:pt>
                <c:pt idx="8">
                  <c:v>416</c:v>
                </c:pt>
                <c:pt idx="9">
                  <c:v>460</c:v>
                </c:pt>
                <c:pt idx="10">
                  <c:v>232</c:v>
                </c:pt>
                <c:pt idx="11">
                  <c:v>343</c:v>
                </c:pt>
                <c:pt idx="12">
                  <c:v>626</c:v>
                </c:pt>
                <c:pt idx="13">
                  <c:v>366</c:v>
                </c:pt>
                <c:pt idx="14">
                  <c:v>242</c:v>
                </c:pt>
              </c:numCache>
            </c:numRef>
          </c:val>
          <c:extLst>
            <c:ext xmlns:c16="http://schemas.microsoft.com/office/drawing/2014/chart" uri="{C3380CC4-5D6E-409C-BE32-E72D297353CC}">
              <c16:uniqueId val="{00000001-12CE-4C48-9CDD-7BECE07775DD}"/>
            </c:ext>
          </c:extLst>
        </c:ser>
        <c:dLbls>
          <c:showLegendKey val="0"/>
          <c:showVal val="0"/>
          <c:showCatName val="0"/>
          <c:showSerName val="0"/>
          <c:showPercent val="0"/>
          <c:showBubbleSize val="0"/>
        </c:dLbls>
        <c:gapWidth val="50"/>
        <c:overlap val="100"/>
        <c:axId val="160290688"/>
        <c:axId val="160292224"/>
      </c:barChart>
      <c:catAx>
        <c:axId val="160290688"/>
        <c:scaling>
          <c:orientation val="minMax"/>
        </c:scaling>
        <c:delete val="0"/>
        <c:axPos val="b"/>
        <c:numFmt formatCode="General" sourceLinked="1"/>
        <c:majorTickMark val="out"/>
        <c:minorTickMark val="none"/>
        <c:tickLblPos val="nextTo"/>
        <c:txPr>
          <a:bodyPr rot="2280000" vert="horz"/>
          <a:lstStyle/>
          <a:p>
            <a:pPr>
              <a:defRPr/>
            </a:pPr>
            <a:endParaRPr lang="en-US"/>
          </a:p>
        </c:txPr>
        <c:crossAx val="160292224"/>
        <c:crosses val="autoZero"/>
        <c:auto val="1"/>
        <c:lblAlgn val="ctr"/>
        <c:lblOffset val="100"/>
        <c:noMultiLvlLbl val="0"/>
      </c:catAx>
      <c:valAx>
        <c:axId val="160292224"/>
        <c:scaling>
          <c:orientation val="minMax"/>
          <c:max val="11000"/>
          <c:min val="0"/>
        </c:scaling>
        <c:delete val="0"/>
        <c:axPos val="l"/>
        <c:majorGridlines/>
        <c:numFmt formatCode="#,##0" sourceLinked="1"/>
        <c:majorTickMark val="out"/>
        <c:minorTickMark val="none"/>
        <c:tickLblPos val="nextTo"/>
        <c:txPr>
          <a:bodyPr rot="0" vert="horz"/>
          <a:lstStyle/>
          <a:p>
            <a:pPr>
              <a:defRPr/>
            </a:pPr>
            <a:endParaRPr lang="en-US"/>
          </a:p>
        </c:txPr>
        <c:crossAx val="160290688"/>
        <c:crosses val="autoZero"/>
        <c:crossBetween val="between"/>
      </c:valAx>
    </c:plotArea>
    <c:legend>
      <c:legendPos val="r"/>
      <c:layout>
        <c:manualLayout>
          <c:xMode val="edge"/>
          <c:yMode val="edge"/>
          <c:x val="8.7931034482758616E-2"/>
          <c:y val="6.2068965517241378E-2"/>
          <c:w val="0.15532247262195673"/>
          <c:h val="0.13899370421834525"/>
        </c:manualLayout>
      </c:layout>
      <c:overlay val="0"/>
      <c:spPr>
        <a:solidFill>
          <a:sysClr val="window" lastClr="FFFFFF"/>
        </a:solidFill>
      </c:spPr>
    </c:legend>
    <c:plotVisOnly val="1"/>
    <c:dispBlanksAs val="gap"/>
    <c:showDLblsOverMax val="0"/>
  </c:chart>
  <c:spPr>
    <a:ln>
      <a:noFill/>
    </a:ln>
  </c:spPr>
  <c:txPr>
    <a:bodyPr/>
    <a:lstStyle/>
    <a:p>
      <a:pPr>
        <a:defRPr sz="800"/>
      </a:pPr>
      <a:endParaRPr lang="en-US"/>
    </a:p>
  </c:txPr>
  <c:printSettings>
    <c:headerFooter alignWithMargins="0"/>
    <c:pageMargins b="1" l="0.75" r="0.75" t="1" header="0.5" footer="0.5"/>
    <c:pageSetup paperSize="9" orientation="landscape" horizontalDpi="-3"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 Tables'!$B$78</c:f>
              <c:strCache>
                <c:ptCount val="1"/>
                <c:pt idx="0">
                  <c:v> Permissions</c:v>
                </c:pt>
              </c:strCache>
            </c:strRef>
          </c:tx>
          <c:invertIfNegative val="0"/>
          <c:cat>
            <c:strRef>
              <c:f>'Summary Tables'!$A$79:$A$93</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Tables'!$B$79:$B$93</c:f>
              <c:numCache>
                <c:formatCode>#,##0</c:formatCode>
                <c:ptCount val="15"/>
                <c:pt idx="0">
                  <c:v>1885</c:v>
                </c:pt>
                <c:pt idx="1">
                  <c:v>2652</c:v>
                </c:pt>
                <c:pt idx="2">
                  <c:v>2037</c:v>
                </c:pt>
                <c:pt idx="3">
                  <c:v>1705</c:v>
                </c:pt>
                <c:pt idx="4">
                  <c:v>1270</c:v>
                </c:pt>
                <c:pt idx="5">
                  <c:v>2934</c:v>
                </c:pt>
                <c:pt idx="6">
                  <c:v>10498</c:v>
                </c:pt>
                <c:pt idx="7">
                  <c:v>4775</c:v>
                </c:pt>
                <c:pt idx="8">
                  <c:v>2006</c:v>
                </c:pt>
                <c:pt idx="9">
                  <c:v>4972</c:v>
                </c:pt>
                <c:pt idx="10">
                  <c:v>3339</c:v>
                </c:pt>
                <c:pt idx="11">
                  <c:v>3128</c:v>
                </c:pt>
                <c:pt idx="12">
                  <c:v>6083</c:v>
                </c:pt>
                <c:pt idx="13">
                  <c:v>5991</c:v>
                </c:pt>
                <c:pt idx="14">
                  <c:v>3130</c:v>
                </c:pt>
              </c:numCache>
            </c:numRef>
          </c:val>
          <c:extLst>
            <c:ext xmlns:c16="http://schemas.microsoft.com/office/drawing/2014/chart" uri="{C3380CC4-5D6E-409C-BE32-E72D297353CC}">
              <c16:uniqueId val="{00000000-CB61-4C4D-91C4-D64C6C0229CA}"/>
            </c:ext>
          </c:extLst>
        </c:ser>
        <c:ser>
          <c:idx val="1"/>
          <c:order val="1"/>
          <c:tx>
            <c:strRef>
              <c:f>'Summary Tables'!$C$78</c:f>
              <c:strCache>
                <c:ptCount val="1"/>
                <c:pt idx="0">
                  <c:v> Starts</c:v>
                </c:pt>
              </c:strCache>
            </c:strRef>
          </c:tx>
          <c:invertIfNegative val="0"/>
          <c:cat>
            <c:strRef>
              <c:f>'Summary Tables'!$A$79:$A$93</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Tables'!$C$79:$C$93</c:f>
              <c:numCache>
                <c:formatCode>#,##0</c:formatCode>
                <c:ptCount val="15"/>
                <c:pt idx="0">
                  <c:v>1010</c:v>
                </c:pt>
                <c:pt idx="1">
                  <c:v>1924</c:v>
                </c:pt>
                <c:pt idx="2">
                  <c:v>1636</c:v>
                </c:pt>
                <c:pt idx="3">
                  <c:v>601</c:v>
                </c:pt>
                <c:pt idx="4">
                  <c:v>462</c:v>
                </c:pt>
                <c:pt idx="5">
                  <c:v>1529</c:v>
                </c:pt>
                <c:pt idx="6">
                  <c:v>2160</c:v>
                </c:pt>
                <c:pt idx="7">
                  <c:v>1197</c:v>
                </c:pt>
                <c:pt idx="8">
                  <c:v>2392</c:v>
                </c:pt>
                <c:pt idx="9">
                  <c:v>1134</c:v>
                </c:pt>
                <c:pt idx="10">
                  <c:v>1923</c:v>
                </c:pt>
                <c:pt idx="11">
                  <c:v>3241</c:v>
                </c:pt>
                <c:pt idx="12">
                  <c:v>2100</c:v>
                </c:pt>
                <c:pt idx="13">
                  <c:v>1858</c:v>
                </c:pt>
                <c:pt idx="14">
                  <c:v>3888</c:v>
                </c:pt>
              </c:numCache>
            </c:numRef>
          </c:val>
          <c:extLst>
            <c:ext xmlns:c16="http://schemas.microsoft.com/office/drawing/2014/chart" uri="{C3380CC4-5D6E-409C-BE32-E72D297353CC}">
              <c16:uniqueId val="{00000001-CB61-4C4D-91C4-D64C6C0229CA}"/>
            </c:ext>
          </c:extLst>
        </c:ser>
        <c:ser>
          <c:idx val="2"/>
          <c:order val="2"/>
          <c:tx>
            <c:strRef>
              <c:f>'Summary Tables'!$D$78</c:f>
              <c:strCache>
                <c:ptCount val="1"/>
                <c:pt idx="0">
                  <c:v> Completions</c:v>
                </c:pt>
              </c:strCache>
            </c:strRef>
          </c:tx>
          <c:invertIfNegative val="0"/>
          <c:cat>
            <c:strRef>
              <c:f>'Summary Tables'!$A$79:$A$93</c:f>
              <c:strCache>
                <c:ptCount val="15"/>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strCache>
            </c:strRef>
          </c:cat>
          <c:val>
            <c:numRef>
              <c:f>'Summary Tables'!$D$79:$D$93</c:f>
              <c:numCache>
                <c:formatCode>#,##0</c:formatCode>
                <c:ptCount val="15"/>
                <c:pt idx="0">
                  <c:v>1304</c:v>
                </c:pt>
                <c:pt idx="1">
                  <c:v>1278</c:v>
                </c:pt>
                <c:pt idx="2">
                  <c:v>1031</c:v>
                </c:pt>
                <c:pt idx="3">
                  <c:v>1560</c:v>
                </c:pt>
                <c:pt idx="4">
                  <c:v>1539</c:v>
                </c:pt>
                <c:pt idx="5">
                  <c:v>481</c:v>
                </c:pt>
                <c:pt idx="6">
                  <c:v>979</c:v>
                </c:pt>
                <c:pt idx="7">
                  <c:v>774</c:v>
                </c:pt>
                <c:pt idx="8">
                  <c:v>1197</c:v>
                </c:pt>
                <c:pt idx="9">
                  <c:v>936</c:v>
                </c:pt>
                <c:pt idx="10">
                  <c:v>2776</c:v>
                </c:pt>
                <c:pt idx="11">
                  <c:v>2345</c:v>
                </c:pt>
                <c:pt idx="12">
                  <c:v>2036</c:v>
                </c:pt>
                <c:pt idx="13">
                  <c:v>1851</c:v>
                </c:pt>
                <c:pt idx="14">
                  <c:v>1330</c:v>
                </c:pt>
              </c:numCache>
            </c:numRef>
          </c:val>
          <c:extLst>
            <c:ext xmlns:c16="http://schemas.microsoft.com/office/drawing/2014/chart" uri="{C3380CC4-5D6E-409C-BE32-E72D297353CC}">
              <c16:uniqueId val="{00000002-CB61-4C4D-91C4-D64C6C0229CA}"/>
            </c:ext>
          </c:extLst>
        </c:ser>
        <c:dLbls>
          <c:showLegendKey val="0"/>
          <c:showVal val="0"/>
          <c:showCatName val="0"/>
          <c:showSerName val="0"/>
          <c:showPercent val="0"/>
          <c:showBubbleSize val="0"/>
        </c:dLbls>
        <c:gapWidth val="150"/>
        <c:axId val="160396032"/>
        <c:axId val="160397568"/>
      </c:barChart>
      <c:catAx>
        <c:axId val="160396032"/>
        <c:scaling>
          <c:orientation val="minMax"/>
        </c:scaling>
        <c:delete val="0"/>
        <c:axPos val="b"/>
        <c:numFmt formatCode="General" sourceLinked="0"/>
        <c:majorTickMark val="out"/>
        <c:minorTickMark val="none"/>
        <c:tickLblPos val="nextTo"/>
        <c:txPr>
          <a:bodyPr rot="1800000"/>
          <a:lstStyle/>
          <a:p>
            <a:pPr>
              <a:defRPr/>
            </a:pPr>
            <a:endParaRPr lang="en-US"/>
          </a:p>
        </c:txPr>
        <c:crossAx val="160397568"/>
        <c:crosses val="autoZero"/>
        <c:auto val="1"/>
        <c:lblAlgn val="ctr"/>
        <c:lblOffset val="100"/>
        <c:noMultiLvlLbl val="0"/>
      </c:catAx>
      <c:valAx>
        <c:axId val="160397568"/>
        <c:scaling>
          <c:orientation val="minMax"/>
        </c:scaling>
        <c:delete val="0"/>
        <c:axPos val="l"/>
        <c:majorGridlines/>
        <c:numFmt formatCode="#,##0" sourceLinked="1"/>
        <c:majorTickMark val="out"/>
        <c:minorTickMark val="none"/>
        <c:tickLblPos val="nextTo"/>
        <c:crossAx val="160396032"/>
        <c:crosses val="autoZero"/>
        <c:crossBetween val="between"/>
      </c:valAx>
      <c:spPr>
        <a:ln>
          <a:noFill/>
        </a:ln>
      </c:spPr>
    </c:plotArea>
    <c:legend>
      <c:legendPos val="r"/>
      <c:layout>
        <c:manualLayout>
          <c:xMode val="edge"/>
          <c:yMode val="edge"/>
          <c:x val="0.83898274960518793"/>
          <c:y val="0.10975564793713601"/>
          <c:w val="9.8510514652821679E-2"/>
          <c:h val="0.1946962695236866"/>
        </c:manualLayout>
      </c:layout>
      <c:overlay val="1"/>
      <c:spPr>
        <a:solidFill>
          <a:schemeClr val="bg1"/>
        </a:solidFill>
      </c:spPr>
    </c:legend>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GB" sz="900"/>
              <a:t>2017/18 conversions – net completions</a:t>
            </a:r>
          </a:p>
        </c:rich>
      </c:tx>
      <c:overlay val="0"/>
    </c:title>
    <c:autoTitleDeleted val="0"/>
    <c:plotArea>
      <c:layout/>
      <c:pieChart>
        <c:varyColors val="1"/>
        <c:ser>
          <c:idx val="1"/>
          <c:order val="1"/>
          <c:tx>
            <c:strRef>
              <c:f>'Summary Tables'!$D$332</c:f>
              <c:strCache>
                <c:ptCount val="1"/>
                <c:pt idx="0">
                  <c:v>2017/18</c:v>
                </c:pt>
              </c:strCache>
            </c:strRef>
          </c:tx>
          <c:dLbls>
            <c:delete val="1"/>
          </c:dLbls>
          <c:cat>
            <c:multiLvlStrRef>
              <c:f>'Summary Tables'!$A$333:$B$338</c:f>
              <c:multiLvlStrCache>
                <c:ptCount val="6"/>
                <c:lvl/>
                <c:lvl>
                  <c:pt idx="0">
                    <c:v>House &gt; Flats</c:v>
                  </c:pt>
                  <c:pt idx="1">
                    <c:v>Flats &gt; House</c:v>
                  </c:pt>
                  <c:pt idx="2">
                    <c:v>Flats &gt; Flats</c:v>
                  </c:pt>
                  <c:pt idx="3">
                    <c:v>Houses &gt; Houses</c:v>
                  </c:pt>
                  <c:pt idx="4">
                    <c:v>Change of Use</c:v>
                  </c:pt>
                  <c:pt idx="5">
                    <c:v>Vertical Extension</c:v>
                  </c:pt>
                </c:lvl>
              </c:multiLvlStrCache>
            </c:multiLvlStrRef>
          </c:cat>
          <c:val>
            <c:numRef>
              <c:f>'Summary Tables'!$D$333:$D$338</c:f>
              <c:numCache>
                <c:formatCode>#,##0</c:formatCode>
                <c:ptCount val="6"/>
                <c:pt idx="0">
                  <c:v>69</c:v>
                </c:pt>
                <c:pt idx="1">
                  <c:v>29</c:v>
                </c:pt>
                <c:pt idx="2">
                  <c:v>95</c:v>
                </c:pt>
                <c:pt idx="3">
                  <c:v>2</c:v>
                </c:pt>
                <c:pt idx="4">
                  <c:v>148</c:v>
                </c:pt>
                <c:pt idx="5">
                  <c:v>13</c:v>
                </c:pt>
              </c:numCache>
            </c:numRef>
          </c:val>
          <c:extLst>
            <c:ext xmlns:c16="http://schemas.microsoft.com/office/drawing/2014/chart" uri="{C3380CC4-5D6E-409C-BE32-E72D297353CC}">
              <c16:uniqueId val="{00000000-E340-47B6-AFCE-CC94A516A8EF}"/>
            </c:ext>
          </c:extLst>
        </c:ser>
        <c:ser>
          <c:idx val="0"/>
          <c:order val="0"/>
          <c:tx>
            <c:strRef>
              <c:f>'Summary Tables'!$D$332</c:f>
              <c:strCache>
                <c:ptCount val="1"/>
                <c:pt idx="0">
                  <c:v>2017/18</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multiLvlStrRef>
              <c:f>'Summary Tables'!$A$333:$B$338</c:f>
              <c:multiLvlStrCache>
                <c:ptCount val="6"/>
                <c:lvl/>
                <c:lvl>
                  <c:pt idx="0">
                    <c:v>House &gt; Flats</c:v>
                  </c:pt>
                  <c:pt idx="1">
                    <c:v>Flats &gt; House</c:v>
                  </c:pt>
                  <c:pt idx="2">
                    <c:v>Flats &gt; Flats</c:v>
                  </c:pt>
                  <c:pt idx="3">
                    <c:v>Houses &gt; Houses</c:v>
                  </c:pt>
                  <c:pt idx="4">
                    <c:v>Change of Use</c:v>
                  </c:pt>
                  <c:pt idx="5">
                    <c:v>Vertical Extension</c:v>
                  </c:pt>
                </c:lvl>
              </c:multiLvlStrCache>
            </c:multiLvlStrRef>
          </c:cat>
          <c:val>
            <c:numRef>
              <c:f>'Summary Tables'!$D$333:$D$338</c:f>
              <c:numCache>
                <c:formatCode>#,##0</c:formatCode>
                <c:ptCount val="6"/>
                <c:pt idx="0">
                  <c:v>69</c:v>
                </c:pt>
                <c:pt idx="1">
                  <c:v>29</c:v>
                </c:pt>
                <c:pt idx="2">
                  <c:v>95</c:v>
                </c:pt>
                <c:pt idx="3">
                  <c:v>2</c:v>
                </c:pt>
                <c:pt idx="4">
                  <c:v>148</c:v>
                </c:pt>
                <c:pt idx="5">
                  <c:v>13</c:v>
                </c:pt>
              </c:numCache>
            </c:numRef>
          </c:val>
          <c:extLst>
            <c:ext xmlns:c16="http://schemas.microsoft.com/office/drawing/2014/chart" uri="{C3380CC4-5D6E-409C-BE32-E72D297353CC}">
              <c16:uniqueId val="{00000001-E340-47B6-AFCE-CC94A516A8EF}"/>
            </c:ext>
          </c:extLst>
        </c:ser>
        <c:dLbls>
          <c:showLegendKey val="0"/>
          <c:showVal val="0"/>
          <c:showCatName val="0"/>
          <c:showSerName val="0"/>
          <c:showPercent val="1"/>
          <c:showBubbleSize val="0"/>
          <c:showLeaderLines val="1"/>
        </c:dLbls>
        <c:firstSliceAng val="0"/>
      </c:pieChart>
    </c:plotArea>
    <c:legend>
      <c:legendPos val="b"/>
      <c:layout>
        <c:manualLayout>
          <c:xMode val="edge"/>
          <c:yMode val="edge"/>
          <c:x val="0.11018518518518519"/>
          <c:y val="0.68303495805355618"/>
          <c:w val="0.77731481481481479"/>
          <c:h val="0.21208637263900296"/>
        </c:manualLayout>
      </c:layout>
      <c:overlay val="0"/>
      <c:spPr>
        <a:solidFill>
          <a:sysClr val="window" lastClr="FFFFFF"/>
        </a:solidFill>
      </c:spPr>
    </c:legend>
    <c:plotVisOnly val="1"/>
    <c:dispBlanksAs val="zero"/>
    <c:showDLblsOverMax val="0"/>
  </c:chart>
  <c:spPr>
    <a:ln>
      <a:noFill/>
    </a:ln>
  </c:spPr>
  <c:txPr>
    <a:bodyPr/>
    <a:lstStyle/>
    <a:p>
      <a:pPr>
        <a:defRPr sz="800"/>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GB" sz="900"/>
              <a:t>Completed conversions</a:t>
            </a:r>
            <a:r>
              <a:rPr lang="en-GB" sz="900" baseline="0"/>
              <a:t> </a:t>
            </a:r>
            <a:r>
              <a:rPr lang="en-GB" sz="900"/>
              <a:t>(gross</a:t>
            </a:r>
            <a:r>
              <a:rPr lang="en-GB" sz="900" baseline="0"/>
              <a:t> units)</a:t>
            </a:r>
            <a:endParaRPr lang="en-GB" sz="900"/>
          </a:p>
        </c:rich>
      </c:tx>
      <c:overlay val="0"/>
    </c:title>
    <c:autoTitleDeleted val="0"/>
    <c:plotArea>
      <c:layout/>
      <c:pieChart>
        <c:varyColors val="1"/>
        <c:ser>
          <c:idx val="1"/>
          <c:order val="1"/>
          <c:tx>
            <c:strRef>
              <c:f>'Summary Tables'!$D$332</c:f>
              <c:strCache>
                <c:ptCount val="1"/>
                <c:pt idx="0">
                  <c:v>2017/18</c:v>
                </c:pt>
              </c:strCache>
            </c:strRef>
          </c:tx>
          <c:dLbls>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multiLvlStrRef>
              <c:f>'Summary Tables'!$A$333:$B$338</c:f>
              <c:multiLvlStrCache>
                <c:ptCount val="6"/>
                <c:lvl/>
                <c:lvl>
                  <c:pt idx="0">
                    <c:v>House &gt; Flats</c:v>
                  </c:pt>
                  <c:pt idx="1">
                    <c:v>Flats &gt; House</c:v>
                  </c:pt>
                  <c:pt idx="2">
                    <c:v>Flats &gt; Flats</c:v>
                  </c:pt>
                  <c:pt idx="3">
                    <c:v>Houses &gt; Houses</c:v>
                  </c:pt>
                  <c:pt idx="4">
                    <c:v>Change of Use</c:v>
                  </c:pt>
                  <c:pt idx="5">
                    <c:v>Vertical Extension</c:v>
                  </c:pt>
                </c:lvl>
              </c:multiLvlStrCache>
            </c:multiLvlStrRef>
          </c:cat>
          <c:val>
            <c:numRef>
              <c:f>'Summary Tables'!$D$333:$D$338</c:f>
              <c:numCache>
                <c:formatCode>#,##0</c:formatCode>
                <c:ptCount val="6"/>
                <c:pt idx="0">
                  <c:v>69</c:v>
                </c:pt>
                <c:pt idx="1">
                  <c:v>29</c:v>
                </c:pt>
                <c:pt idx="2">
                  <c:v>95</c:v>
                </c:pt>
                <c:pt idx="3">
                  <c:v>2</c:v>
                </c:pt>
                <c:pt idx="4">
                  <c:v>148</c:v>
                </c:pt>
                <c:pt idx="5">
                  <c:v>13</c:v>
                </c:pt>
              </c:numCache>
            </c:numRef>
          </c:val>
          <c:extLst>
            <c:ext xmlns:c16="http://schemas.microsoft.com/office/drawing/2014/chart" uri="{C3380CC4-5D6E-409C-BE32-E72D297353CC}">
              <c16:uniqueId val="{00000000-25D9-4A10-84C6-75189B976FFB}"/>
            </c:ext>
          </c:extLst>
        </c:ser>
        <c:ser>
          <c:idx val="0"/>
          <c:order val="0"/>
          <c:tx>
            <c:strRef>
              <c:f>'Summary Tables'!$D$332</c:f>
              <c:strCache>
                <c:ptCount val="1"/>
                <c:pt idx="0">
                  <c:v>2017/18</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multiLvlStrRef>
              <c:f>'Summary Tables'!$A$333:$B$338</c:f>
              <c:multiLvlStrCache>
                <c:ptCount val="6"/>
                <c:lvl/>
                <c:lvl>
                  <c:pt idx="0">
                    <c:v>House &gt; Flats</c:v>
                  </c:pt>
                  <c:pt idx="1">
                    <c:v>Flats &gt; House</c:v>
                  </c:pt>
                  <c:pt idx="2">
                    <c:v>Flats &gt; Flats</c:v>
                  </c:pt>
                  <c:pt idx="3">
                    <c:v>Houses &gt; Houses</c:v>
                  </c:pt>
                  <c:pt idx="4">
                    <c:v>Change of Use</c:v>
                  </c:pt>
                  <c:pt idx="5">
                    <c:v>Vertical Extension</c:v>
                  </c:pt>
                </c:lvl>
              </c:multiLvlStrCache>
            </c:multiLvlStrRef>
          </c:cat>
          <c:val>
            <c:numRef>
              <c:f>'Summary Tables'!$D$333:$D$338</c:f>
              <c:numCache>
                <c:formatCode>#,##0</c:formatCode>
                <c:ptCount val="6"/>
                <c:pt idx="0">
                  <c:v>69</c:v>
                </c:pt>
                <c:pt idx="1">
                  <c:v>29</c:v>
                </c:pt>
                <c:pt idx="2">
                  <c:v>95</c:v>
                </c:pt>
                <c:pt idx="3">
                  <c:v>2</c:v>
                </c:pt>
                <c:pt idx="4">
                  <c:v>148</c:v>
                </c:pt>
                <c:pt idx="5">
                  <c:v>13</c:v>
                </c:pt>
              </c:numCache>
            </c:numRef>
          </c:val>
          <c:extLst>
            <c:ext xmlns:c16="http://schemas.microsoft.com/office/drawing/2014/chart" uri="{C3380CC4-5D6E-409C-BE32-E72D297353CC}">
              <c16:uniqueId val="{00000001-25D9-4A10-84C6-75189B976FFB}"/>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txPr>
    <a:bodyPr/>
    <a:lstStyle/>
    <a:p>
      <a:pPr>
        <a:defRPr sz="800"/>
      </a:pPr>
      <a:endParaRPr lang="en-US"/>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9</xdr:col>
      <xdr:colOff>381001</xdr:colOff>
      <xdr:row>35</xdr:row>
      <xdr:rowOff>19050</xdr:rowOff>
    </xdr:from>
    <xdr:to>
      <xdr:col>16</xdr:col>
      <xdr:colOff>457201</xdr:colOff>
      <xdr:row>48</xdr:row>
      <xdr:rowOff>104775</xdr:rowOff>
    </xdr:to>
    <xdr:graphicFrame macro="">
      <xdr:nvGraphicFramePr>
        <xdr:cNvPr id="62356" name="Chart 1">
          <a:extLst>
            <a:ext uri="{FF2B5EF4-FFF2-40B4-BE49-F238E27FC236}">
              <a16:creationId xmlns:a16="http://schemas.microsoft.com/office/drawing/2014/main" id="{00000000-0008-0000-0000-000094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92</xdr:row>
      <xdr:rowOff>111474</xdr:rowOff>
    </xdr:from>
    <xdr:to>
      <xdr:col>16</xdr:col>
      <xdr:colOff>500635</xdr:colOff>
      <xdr:row>107</xdr:row>
      <xdr:rowOff>67235</xdr:rowOff>
    </xdr:to>
    <xdr:graphicFrame macro="">
      <xdr:nvGraphicFramePr>
        <xdr:cNvPr id="62358" name="Chart 20">
          <a:extLst>
            <a:ext uri="{FF2B5EF4-FFF2-40B4-BE49-F238E27FC236}">
              <a16:creationId xmlns:a16="http://schemas.microsoft.com/office/drawing/2014/main" id="{00000000-0008-0000-0000-000096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28575</xdr:colOff>
      <xdr:row>194</xdr:row>
      <xdr:rowOff>0</xdr:rowOff>
    </xdr:from>
    <xdr:to>
      <xdr:col>17</xdr:col>
      <xdr:colOff>0</xdr:colOff>
      <xdr:row>212</xdr:row>
      <xdr:rowOff>0</xdr:rowOff>
    </xdr:to>
    <xdr:graphicFrame macro="">
      <xdr:nvGraphicFramePr>
        <xdr:cNvPr id="62359" name="Chart 23">
          <a:extLst>
            <a:ext uri="{FF2B5EF4-FFF2-40B4-BE49-F238E27FC236}">
              <a16:creationId xmlns:a16="http://schemas.microsoft.com/office/drawing/2014/main" id="{00000000-0008-0000-0000-000097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219075</xdr:colOff>
      <xdr:row>172</xdr:row>
      <xdr:rowOff>0</xdr:rowOff>
    </xdr:from>
    <xdr:to>
      <xdr:col>16</xdr:col>
      <xdr:colOff>466725</xdr:colOff>
      <xdr:row>190</xdr:row>
      <xdr:rowOff>47625</xdr:rowOff>
    </xdr:to>
    <xdr:graphicFrame macro="">
      <xdr:nvGraphicFramePr>
        <xdr:cNvPr id="62360" name="Chart 26">
          <a:extLst>
            <a:ext uri="{FF2B5EF4-FFF2-40B4-BE49-F238E27FC236}">
              <a16:creationId xmlns:a16="http://schemas.microsoft.com/office/drawing/2014/main" id="{00000000-0008-0000-0000-000098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409575</xdr:colOff>
      <xdr:row>112</xdr:row>
      <xdr:rowOff>9526</xdr:rowOff>
    </xdr:from>
    <xdr:to>
      <xdr:col>16</xdr:col>
      <xdr:colOff>485775</xdr:colOff>
      <xdr:row>130</xdr:row>
      <xdr:rowOff>19050</xdr:rowOff>
    </xdr:to>
    <xdr:graphicFrame macro="">
      <xdr:nvGraphicFramePr>
        <xdr:cNvPr id="62361" name="Chart 34">
          <a:extLst>
            <a:ext uri="{FF2B5EF4-FFF2-40B4-BE49-F238E27FC236}">
              <a16:creationId xmlns:a16="http://schemas.microsoft.com/office/drawing/2014/main" id="{00000000-0008-0000-0000-000099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66674</xdr:colOff>
      <xdr:row>216</xdr:row>
      <xdr:rowOff>9525</xdr:rowOff>
    </xdr:from>
    <xdr:to>
      <xdr:col>16</xdr:col>
      <xdr:colOff>552449</xdr:colOff>
      <xdr:row>234</xdr:row>
      <xdr:rowOff>0</xdr:rowOff>
    </xdr:to>
    <xdr:graphicFrame macro="">
      <xdr:nvGraphicFramePr>
        <xdr:cNvPr id="62362" name="Chart 35">
          <a:extLst>
            <a:ext uri="{FF2B5EF4-FFF2-40B4-BE49-F238E27FC236}">
              <a16:creationId xmlns:a16="http://schemas.microsoft.com/office/drawing/2014/main" id="{00000000-0008-0000-0000-00009A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114300</xdr:colOff>
      <xdr:row>77</xdr:row>
      <xdr:rowOff>9524</xdr:rowOff>
    </xdr:from>
    <xdr:to>
      <xdr:col>17</xdr:col>
      <xdr:colOff>0</xdr:colOff>
      <xdr:row>93</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47625</xdr:colOff>
      <xdr:row>340</xdr:row>
      <xdr:rowOff>57149</xdr:rowOff>
    </xdr:from>
    <xdr:to>
      <xdr:col>16</xdr:col>
      <xdr:colOff>561975</xdr:colOff>
      <xdr:row>349</xdr:row>
      <xdr:rowOff>152399</xdr:rowOff>
    </xdr:to>
    <xdr:graphicFrame macro="">
      <xdr:nvGraphicFramePr>
        <xdr:cNvPr id="17" name="Chart 59">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57151</xdr:colOff>
      <xdr:row>328</xdr:row>
      <xdr:rowOff>9525</xdr:rowOff>
    </xdr:from>
    <xdr:to>
      <xdr:col>12</xdr:col>
      <xdr:colOff>57151</xdr:colOff>
      <xdr:row>347</xdr:row>
      <xdr:rowOff>9525</xdr:rowOff>
    </xdr:to>
    <xdr:graphicFrame macro="">
      <xdr:nvGraphicFramePr>
        <xdr:cNvPr id="62366" name="Chart 59">
          <a:extLst>
            <a:ext uri="{FF2B5EF4-FFF2-40B4-BE49-F238E27FC236}">
              <a16:creationId xmlns:a16="http://schemas.microsoft.com/office/drawing/2014/main" id="{00000000-0008-0000-0000-00009E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328</xdr:row>
      <xdr:rowOff>9526</xdr:rowOff>
    </xdr:from>
    <xdr:to>
      <xdr:col>17</xdr:col>
      <xdr:colOff>0</xdr:colOff>
      <xdr:row>347</xdr:row>
      <xdr:rowOff>9525</xdr:rowOff>
    </xdr:to>
    <xdr:graphicFrame macro="">
      <xdr:nvGraphicFramePr>
        <xdr:cNvPr id="62367" name="Chart 60">
          <a:extLst>
            <a:ext uri="{FF2B5EF4-FFF2-40B4-BE49-F238E27FC236}">
              <a16:creationId xmlns:a16="http://schemas.microsoft.com/office/drawing/2014/main" id="{00000000-0008-0000-0000-00009FF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85725</xdr:colOff>
      <xdr:row>130</xdr:row>
      <xdr:rowOff>38100</xdr:rowOff>
    </xdr:from>
    <xdr:to>
      <xdr:col>16</xdr:col>
      <xdr:colOff>552451</xdr:colOff>
      <xdr:row>146</xdr:row>
      <xdr:rowOff>152400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66675</xdr:colOff>
      <xdr:row>270</xdr:row>
      <xdr:rowOff>161924</xdr:rowOff>
    </xdr:from>
    <xdr:to>
      <xdr:col>16</xdr:col>
      <xdr:colOff>552449</xdr:colOff>
      <xdr:row>294</xdr:row>
      <xdr:rowOff>9524</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0</xdr:colOff>
      <xdr:row>304</xdr:row>
      <xdr:rowOff>1</xdr:rowOff>
    </xdr:from>
    <xdr:to>
      <xdr:col>17</xdr:col>
      <xdr:colOff>0</xdr:colOff>
      <xdr:row>316</xdr:row>
      <xdr:rowOff>1</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316</xdr:row>
      <xdr:rowOff>1</xdr:rowOff>
    </xdr:from>
    <xdr:to>
      <xdr:col>17</xdr:col>
      <xdr:colOff>0</xdr:colOff>
      <xdr:row>328</xdr:row>
      <xdr:rowOff>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22</xdr:col>
      <xdr:colOff>0</xdr:colOff>
      <xdr:row>48</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22</xdr:col>
      <xdr:colOff>0</xdr:colOff>
      <xdr:row>70</xdr:row>
      <xdr:rowOff>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40.685828935188" createdVersion="6" refreshedVersion="6" minRefreshableVersion="3" recordCount="1206" xr:uid="{BF4D34DC-ACE6-41BD-B45D-0D830D7D2577}">
  <cacheSource type="worksheet">
    <worksheetSource ref="A1:CU1048576" sheet="Conventional Supply"/>
  </cacheSource>
  <cacheFields count="99">
    <cacheField name="Site" numFmtId="0">
      <sharedItems containsString="0" containsBlank="1" containsNumber="1" containsInteger="1" minValue="35" maxValue="7387"/>
    </cacheField>
    <cacheField name="Status" numFmtId="0">
      <sharedItems containsBlank="1" count="9">
        <s v="01 Completion"/>
        <s v="02 Under Construction"/>
        <s v="03 Planning"/>
        <s v="04 Subject to Legal Agreement"/>
        <s v="05 Pending or at Appeal"/>
        <s v="06 Identified Site"/>
        <s v="07 SHLAA Potential Sites"/>
        <s v="08 SHLAA Small Sites"/>
        <m/>
      </sharedItems>
    </cacheField>
    <cacheField name="Application" numFmtId="0">
      <sharedItems containsBlank="1"/>
    </cacheField>
    <cacheField name="Address" numFmtId="0">
      <sharedItems containsBlank="1"/>
    </cacheField>
    <cacheField name="Phase" numFmtId="0">
      <sharedItems containsBlank="1"/>
    </cacheField>
    <cacheField name="Easting" numFmtId="0">
      <sharedItems containsString="0" containsBlank="1" containsNumber="1" containsInteger="1" minValue="521143" maxValue="530104"/>
    </cacheField>
    <cacheField name="Northing" numFmtId="0">
      <sharedItems containsString="0" containsBlank="1" containsNumber="1" containsInteger="1" minValue="170526" maxValue="177808"/>
    </cacheField>
    <cacheField name="Ward" numFmtId="0">
      <sharedItems containsBlank="1" count="21">
        <s v="Thamesfield"/>
        <s v="Tooting"/>
        <s v="Fairfield"/>
        <s v="Nightingale"/>
        <s v="Northcote"/>
        <s v="East Putney"/>
        <s v="Balham"/>
        <s v="Furzedown"/>
        <s v="Earlsfield"/>
        <s v="Shaftesbury"/>
        <s v="Graveney"/>
        <s v="St Mary's Park"/>
        <s v="Queenstown"/>
        <s v="Roehampton and Putney Heath"/>
        <s v="Southfields"/>
        <s v="West Putney"/>
        <s v="Latchmere"/>
        <s v="Wandsworth Common"/>
        <s v="West Hill"/>
        <s v="Bedford"/>
        <m/>
      </sharedItems>
    </cacheField>
    <cacheField name="Site Construction Date" numFmtId="0">
      <sharedItems containsNonDate="0" containsDate="1" containsString="0" containsBlank="1" minDate="1985-01-01T00:00:00" maxDate="2020-04-01T00:00:00"/>
    </cacheField>
    <cacheField name="Site Completion Date" numFmtId="0">
      <sharedItems containsNonDate="0" containsDate="1" containsString="0" containsBlank="1" minDate="2019-04-01T00:00:00" maxDate="2020-04-01T00:00:00"/>
    </cacheField>
    <cacheField name="Phase Existing Units" numFmtId="0">
      <sharedItems containsString="0" containsBlank="1" containsNumber="1" containsInteger="1" minValue="0" maxValue="527"/>
    </cacheField>
    <cacheField name="Phase Proposed Units" numFmtId="3">
      <sharedItems containsString="0" containsBlank="1" containsNumber="1" containsInteger="1" minValue="0" maxValue="7452"/>
    </cacheField>
    <cacheField name="Phase Net Units" numFmtId="3">
      <sharedItems containsString="0" containsBlank="1" containsNumber="1" containsInteger="1" minValue="-527" maxValue="7452"/>
    </cacheField>
    <cacheField name="Application Proposed Units" numFmtId="3">
      <sharedItems containsString="0" containsBlank="1" containsNumber="1" containsInteger="1" minValue="0" maxValue="2971"/>
    </cacheField>
    <cacheField name="Application Net Units" numFmtId="3">
      <sharedItems containsString="0" containsBlank="1" containsNumber="1" containsInteger="1" minValue="-11" maxValue="2966"/>
    </cacheField>
    <cacheField name="Scheme of 10 or More Proposed Units" numFmtId="0">
      <sharedItems containsBlank="1" count="2">
        <m/>
        <s v="Y"/>
      </sharedItems>
    </cacheField>
    <cacheField name="Proposal" numFmtId="0">
      <sharedItems containsBlank="1" longText="1"/>
    </cacheField>
    <cacheField name="Application Status" numFmtId="0">
      <sharedItems containsBlank="1"/>
    </cacheField>
    <cacheField name="Application Received Date" numFmtId="0">
      <sharedItems containsNonDate="0" containsDate="1" containsString="0" containsBlank="1" minDate="2010-06-24T00:00:00" maxDate="2020-03-25T00:00:00"/>
    </cacheField>
    <cacheField name="Application Decision Date" numFmtId="0">
      <sharedItems containsNonDate="0" containsDate="1" containsString="0" containsBlank="1" minDate="2010-08-24T00:00:00" maxDate="2020-03-31T00:00:00"/>
    </cacheField>
    <cacheField name="Reporting Year Decision" numFmtId="0">
      <sharedItems containsBlank="1" count="2">
        <m/>
        <s v="Y"/>
      </sharedItems>
    </cacheField>
    <cacheField name="Appeal Status" numFmtId="0">
      <sharedItems containsBlank="1"/>
    </cacheField>
    <cacheField name="Appeal Decision Date" numFmtId="0">
      <sharedItems containsNonDate="0" containsDate="1" containsString="0" containsBlank="1" minDate="2012-06-22T00:00:00" maxDate="2019-08-13T00:00:00"/>
    </cacheField>
    <cacheField name="Land Type" numFmtId="0">
      <sharedItems containsBlank="1"/>
    </cacheField>
    <cacheField name="Development Type" numFmtId="0">
      <sharedItems containsBlank="1"/>
    </cacheField>
    <cacheField name="Large Residential Development Type" numFmtId="0">
      <sharedItems containsBlank="1" count="8">
        <s v="n/a"/>
        <s v="NB"/>
        <s v="OFC"/>
        <s v="OTC"/>
        <s v="EXT"/>
        <s v="LRC"/>
        <s v="O"/>
        <m/>
      </sharedItems>
    </cacheField>
    <cacheField name="Minor Residential Development Type" numFmtId="0">
      <sharedItems containsBlank="1" count="16">
        <s v="c+"/>
        <s v="g"/>
        <s v="a"/>
        <s v="k"/>
        <s v="e"/>
        <s v="n"/>
        <s v="f"/>
        <s v="n/a"/>
        <s v="b"/>
        <s v="d"/>
        <s v="c-"/>
        <s v="h"/>
        <s v="n/a/"/>
        <s v="j+"/>
        <s v="j-"/>
        <m/>
      </sharedItems>
    </cacheField>
    <cacheField name="Phase Residential Site Area (ha)" numFmtId="166">
      <sharedItems containsString="0" containsBlank="1" containsNumber="1" minValue="0" maxValue="5.72300004959106"/>
    </cacheField>
    <cacheField name="Phase Construction Date" numFmtId="0">
      <sharedItems containsNonDate="0" containsDate="1" containsString="0" containsBlank="1" minDate="1985-01-01T00:00:00" maxDate="2020-04-01T00:00:00"/>
    </cacheField>
    <cacheField name="Reporting Year Start" numFmtId="0">
      <sharedItems containsBlank="1" count="2">
        <m/>
        <s v="Y"/>
      </sharedItems>
    </cacheField>
    <cacheField name="Phase Completion Date" numFmtId="0">
      <sharedItems containsNonDate="0" containsDate="1" containsString="0" containsBlank="1" minDate="2019-04-01T00:00:00" maxDate="2020-04-01T00:00:00"/>
    </cacheField>
    <cacheField name="Tenure" numFmtId="0">
      <sharedItems containsBlank="1" count="5">
        <s v="Open Market"/>
        <s v="Intermediate"/>
        <s v="Social/Affordable Rent"/>
        <s v="Unknown"/>
        <m/>
      </sharedItems>
    </cacheField>
    <cacheField name="Tenure Code" numFmtId="0">
      <sharedItems containsBlank="1"/>
    </cacheField>
    <cacheField name="Site Specific Allocations Document Reference" numFmtId="0">
      <sharedItems containsBlank="1"/>
    </cacheField>
    <cacheField name="London SHLAA 2017 Reference" numFmtId="0">
      <sharedItems containsString="0" containsBlank="1" containsNumber="1" containsInteger="1" minValue="17320018" maxValue="17320350"/>
    </cacheField>
    <cacheField name="Lifetime Homes" numFmtId="3">
      <sharedItems containsString="0" containsBlank="1" containsNumber="1" containsInteger="1" minValue="0" maxValue="827"/>
    </cacheField>
    <cacheField name="M4(2) Dwellings" numFmtId="3">
      <sharedItems containsString="0" containsBlank="1" containsNumber="1" containsInteger="1" minValue="0" maxValue="660"/>
    </cacheField>
    <cacheField name="Wheelchair Accessible Homes" numFmtId="3">
      <sharedItems containsString="0" containsBlank="1" containsNumber="1" containsInteger="1" minValue="0" maxValue="94"/>
    </cacheField>
    <cacheField name="M4(3) Dwellings" numFmtId="3">
      <sharedItems containsString="0" containsBlank="1" containsNumber="1" containsInteger="1" minValue="0" maxValue="395"/>
    </cacheField>
    <cacheField name="Net Studio Units" numFmtId="3">
      <sharedItems containsString="0" containsBlank="1" containsNumber="1" containsInteger="1" minValue="-79" maxValue="176"/>
    </cacheField>
    <cacheField name="Net 1 Bed Units" numFmtId="3">
      <sharedItems containsString="0" containsBlank="1" containsNumber="1" containsInteger="1" minValue="-120" maxValue="275"/>
    </cacheField>
    <cacheField name="Net 2 Bed Units" numFmtId="3">
      <sharedItems containsString="0" containsBlank="1" containsNumber="1" containsInteger="1" minValue="-256" maxValue="362"/>
    </cacheField>
    <cacheField name="Net 3 Bed Units" numFmtId="3">
      <sharedItems containsString="0" containsBlank="1" containsNumber="1" containsInteger="1" minValue="-118" maxValue="160"/>
    </cacheField>
    <cacheField name="Net 4 Bed Units" numFmtId="3">
      <sharedItems containsString="0" containsBlank="1" containsNumber="1" containsInteger="1" minValue="-30" maxValue="35"/>
    </cacheField>
    <cacheField name="Net 5+ Bed Units" numFmtId="3">
      <sharedItems containsString="0" containsBlank="1" containsNumber="1" containsInteger="1" minValue="-1" maxValue="66"/>
    </cacheField>
    <cacheField name="Net Not Known Bed Units" numFmtId="3">
      <sharedItems containsString="0" containsBlank="1" containsNumber="1" containsInteger="1" minValue="-5" maxValue="7452"/>
    </cacheField>
    <cacheField name="Net Studio Flats" numFmtId="3">
      <sharedItems containsString="0" containsBlank="1" containsNumber="1" containsInteger="1" minValue="-79" maxValue="176"/>
    </cacheField>
    <cacheField name="Net 1 Bed Flats" numFmtId="3">
      <sharedItems containsString="0" containsBlank="1" containsNumber="1" containsInteger="1" minValue="-120" maxValue="275"/>
    </cacheField>
    <cacheField name="Net 2 Bed Flats" numFmtId="3">
      <sharedItems containsString="0" containsBlank="1" containsNumber="1" containsInteger="1" minValue="-256" maxValue="362"/>
    </cacheField>
    <cacheField name="Net 3 Bed Flats" numFmtId="3">
      <sharedItems containsString="0" containsBlank="1" containsNumber="1" containsInteger="1" minValue="-118" maxValue="160"/>
    </cacheField>
    <cacheField name="Net 4 Bed Flats" numFmtId="3">
      <sharedItems containsString="0" containsBlank="1" containsNumber="1" containsInteger="1" minValue="-30" maxValue="35"/>
    </cacheField>
    <cacheField name="Net 5+ Bed Flats" numFmtId="3">
      <sharedItems containsString="0" containsBlank="1" containsNumber="1" containsInteger="1" minValue="-1" maxValue="66"/>
    </cacheField>
    <cacheField name="Net Not Known Bed Flats" numFmtId="3">
      <sharedItems containsString="0" containsBlank="1" containsNumber="1" containsInteger="1" minValue="-5" maxValue="1355"/>
    </cacheField>
    <cacheField name="Net Studio Houses" numFmtId="3">
      <sharedItems containsString="0" containsBlank="1" containsNumber="1" containsInteger="1" minValue="0" maxValue="0"/>
    </cacheField>
    <cacheField name="Net 1 Bed Houses" numFmtId="3">
      <sharedItems containsString="0" containsBlank="1" containsNumber="1" containsInteger="1" minValue="-1" maxValue="1"/>
    </cacheField>
    <cacheField name="Net 2 Bed Houses" numFmtId="3">
      <sharedItems containsString="0" containsBlank="1" containsNumber="1" containsInteger="1" minValue="-1" maxValue="38"/>
    </cacheField>
    <cacheField name="Net 3 Bed Houses" numFmtId="3">
      <sharedItems containsString="0" containsBlank="1" containsNumber="1" containsInteger="1" minValue="-4" maxValue="71"/>
    </cacheField>
    <cacheField name="Net 4 Bed Houses" numFmtId="3">
      <sharedItems containsString="0" containsBlank="1" containsNumber="1" containsInteger="1" minValue="-1" maxValue="24"/>
    </cacheField>
    <cacheField name="Net 5+ Bed Houses" numFmtId="3">
      <sharedItems containsString="0" containsBlank="1" containsNumber="1" containsInteger="1" minValue="-1" maxValue="60"/>
    </cacheField>
    <cacheField name="Net Not Known Bed Houses" numFmtId="3">
      <sharedItems containsString="0" containsBlank="1" containsNumber="1" containsInteger="1" minValue="0" maxValue="0"/>
    </cacheField>
    <cacheField name="Net Studio Live Work" numFmtId="3">
      <sharedItems containsString="0" containsBlank="1" containsNumber="1" containsInteger="1" minValue="0" maxValue="2"/>
    </cacheField>
    <cacheField name="Net 1 Bed Live Work" numFmtId="3">
      <sharedItems containsString="0" containsBlank="1" containsNumber="1" containsInteger="1" minValue="0" maxValue="1"/>
    </cacheField>
    <cacheField name="Net 2 Bed Live Work" numFmtId="3">
      <sharedItems containsString="0" containsBlank="1" containsNumber="1" containsInteger="1" minValue="0" maxValue="0"/>
    </cacheField>
    <cacheField name="Net 3 Bed Live Work" numFmtId="3">
      <sharedItems containsString="0" containsBlank="1" containsNumber="1" containsInteger="1" minValue="-1" maxValue="1"/>
    </cacheField>
    <cacheField name="Net 4 Bed Live Work" numFmtId="3">
      <sharedItems containsString="0" containsBlank="1" containsNumber="1" containsInteger="1" minValue="0" maxValue="0"/>
    </cacheField>
    <cacheField name="Net 5+ Bed Live Work" numFmtId="3">
      <sharedItems containsString="0" containsBlank="1" containsNumber="1" containsInteger="1" minValue="0" maxValue="0"/>
    </cacheField>
    <cacheField name="Net Not Known Live Work" numFmtId="3">
      <sharedItems containsString="0" containsBlank="1" containsNumber="1" containsInteger="1" minValue="0" maxValue="0"/>
    </cacheField>
    <cacheField name="Town Centre" numFmtId="0">
      <sharedItems containsBlank="1" count="7">
        <m/>
        <s v="Clapham Junction"/>
        <s v="Putney"/>
        <s v="Wandsworth"/>
        <s v="Tooting"/>
        <s v="Balham"/>
        <s v="-" u="1"/>
      </sharedItems>
    </cacheField>
    <cacheField name="VNEB" numFmtId="0">
      <sharedItems containsBlank="1" count="2">
        <m/>
        <s v="Y"/>
      </sharedItems>
    </cacheField>
    <cacheField name="Central Wandsworth and the Wandle Delta" numFmtId="0">
      <sharedItems containsBlank="1" count="2">
        <m/>
        <s v="Y"/>
      </sharedItems>
    </cacheField>
    <cacheField name="Clapham Junction and the Adjoining Area" numFmtId="0">
      <sharedItems containsBlank="1" count="2">
        <m/>
        <s v="Y"/>
      </sharedItems>
    </cacheField>
    <cacheField name="East Putney and Upper Richmond Road" numFmtId="0">
      <sharedItems containsBlank="1" count="2">
        <m/>
        <s v="Y"/>
      </sharedItems>
    </cacheField>
    <cacheField name="Heart of Roehampton" numFmtId="0">
      <sharedItems containsNonDate="0" containsString="0" containsBlank="1"/>
    </cacheField>
    <cacheField name="Thames Policy Area Excluding Nine Elms, North-East Battersea, Central Wandsworth and the Wandle Delta" numFmtId="0">
      <sharedItems containsBlank="1" count="2">
        <m/>
        <s v="Y"/>
      </sharedItems>
    </cacheField>
    <cacheField name="Wandle Valley" numFmtId="0">
      <sharedItems containsBlank="1" count="2">
        <m/>
        <s v="Y"/>
      </sharedItems>
    </cacheField>
    <cacheField name="Phasing Assumption" numFmtId="0">
      <sharedItems containsString="0" containsBlank="1" containsNumber="1" containsInteger="1" minValue="1" maxValue="23"/>
    </cacheField>
    <cacheField name="2019/20" numFmtId="3">
      <sharedItems containsString="0" containsBlank="1" containsNumber="1" containsInteger="1" minValue="-1" maxValue="93"/>
    </cacheField>
    <cacheField name="2020/21" numFmtId="0">
      <sharedItems containsString="0" containsBlank="1" containsNumber="1" minValue="-3.6666666666666665" maxValue="536"/>
    </cacheField>
    <cacheField name="2021/22" numFmtId="0">
      <sharedItems containsString="0" containsBlank="1" containsNumber="1" minValue="-23" maxValue="827"/>
    </cacheField>
    <cacheField name="2022/23" numFmtId="0">
      <sharedItems containsString="0" containsBlank="1" containsNumber="1" minValue="-97" maxValue="664"/>
    </cacheField>
    <cacheField name="2023/24" numFmtId="3">
      <sharedItems containsString="0" containsBlank="1" containsNumber="1" minValue="-3.75" maxValue="733"/>
    </cacheField>
    <cacheField name="2024/25" numFmtId="3">
      <sharedItems containsString="0" containsBlank="1" containsNumber="1" minValue="-3.75" maxValue="414"/>
    </cacheField>
    <cacheField name="2025/26" numFmtId="3">
      <sharedItems containsString="0" containsBlank="1" containsNumber="1" minValue="-87.833333333333329" maxValue="414"/>
    </cacheField>
    <cacheField name="2026/27" numFmtId="3">
      <sharedItems containsString="0" containsBlank="1" containsNumber="1" minValue="-87.833333333333329" maxValue="414"/>
    </cacheField>
    <cacheField name="2027/28" numFmtId="3">
      <sharedItems containsString="0" containsBlank="1" containsNumber="1" minValue="-158" maxValue="414"/>
    </cacheField>
    <cacheField name="2028/29" numFmtId="3">
      <sharedItems containsString="0" containsBlank="1" containsNumber="1" minValue="-87.833333333333329" maxValue="414"/>
    </cacheField>
    <cacheField name="2029/30" numFmtId="3">
      <sharedItems containsString="0" containsBlank="1" containsNumber="1" minValue="-87.833333333333329" maxValue="414"/>
    </cacheField>
    <cacheField name="2030/31" numFmtId="3">
      <sharedItems containsString="0" containsBlank="1" containsNumber="1" minValue="-87.833333333333329" maxValue="414"/>
    </cacheField>
    <cacheField name="2031/32" numFmtId="3">
      <sharedItems containsString="0" containsBlank="1" containsNumber="1" minValue="0.1" maxValue="414"/>
    </cacheField>
    <cacheField name="2032/33" numFmtId="3">
      <sharedItems containsString="0" containsBlank="1" containsNumber="1" minValue="0.1" maxValue="414"/>
    </cacheField>
    <cacheField name="2033/34" numFmtId="3">
      <sharedItems containsString="0" containsBlank="1" containsNumber="1" minValue="0.1" maxValue="414"/>
    </cacheField>
    <cacheField name="2034/35" numFmtId="3">
      <sharedItems containsString="0" containsBlank="1" containsNumber="1" minValue="0.1" maxValue="414"/>
    </cacheField>
    <cacheField name="2035/36" numFmtId="3">
      <sharedItems containsString="0" containsBlank="1" containsNumber="1" minValue="0.16666666666666666" maxValue="414"/>
    </cacheField>
    <cacheField name="2036/37" numFmtId="3">
      <sharedItems containsString="0" containsBlank="1" containsNumber="1" minValue="0.16666666666666666" maxValue="414"/>
    </cacheField>
    <cacheField name="2037/38" numFmtId="3">
      <sharedItems containsString="0" containsBlank="1" containsNumber="1" minValue="0.16666666666666666" maxValue="414"/>
    </cacheField>
    <cacheField name="2038/39" numFmtId="3">
      <sharedItems containsString="0" containsBlank="1" containsNumber="1" minValue="0.16666666666666666" maxValue="414"/>
    </cacheField>
    <cacheField name="2039/40" numFmtId="3">
      <sharedItems containsString="0" containsBlank="1" containsNumber="1" minValue="0.16666666666666666" maxValue="414"/>
    </cacheField>
    <cacheField name="Delivery in 5 Years" numFmtId="3">
      <sharedItems containsString="0" containsBlank="1" containsNumber="1" minValue="-97" maxValue="1242"/>
    </cacheField>
    <cacheField name="Delivery in 10 Years" numFmtId="3">
      <sharedItems containsString="0" containsBlank="1" containsNumber="1" minValue="-439.16666666666663" maxValue="331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40.685829861111" createdVersion="6" refreshedVersion="6" minRefreshableVersion="3" recordCount="38" xr:uid="{4D77FF9F-50CD-4E52-9D9B-11EA0A110EBA}">
  <cacheSource type="worksheet">
    <worksheetSource ref="A1:BL1048576" sheet="Non-Self-Contained Supply"/>
  </cacheSource>
  <cacheFields count="64">
    <cacheField name="Site" numFmtId="0">
      <sharedItems containsString="0" containsBlank="1" containsNumber="1" containsInteger="1" minValue="13" maxValue="7348"/>
    </cacheField>
    <cacheField name="Status" numFmtId="0">
      <sharedItems containsBlank="1" count="6">
        <s v="01 Completion"/>
        <s v="02 Under Construction"/>
        <s v="03 Planning"/>
        <s v="04 Subject to Legal Agreement"/>
        <s v="05 Pending or at Appeal"/>
        <m/>
      </sharedItems>
    </cacheField>
    <cacheField name="Application" numFmtId="0">
      <sharedItems containsBlank="1"/>
    </cacheField>
    <cacheField name="Address" numFmtId="0">
      <sharedItems containsBlank="1"/>
    </cacheField>
    <cacheField name="Easting" numFmtId="0">
      <sharedItems containsString="0" containsBlank="1" containsNumber="1" containsInteger="1" minValue="521657" maxValue="528730"/>
    </cacheField>
    <cacheField name="Northing" numFmtId="0">
      <sharedItems containsString="0" containsBlank="1" containsNumber="1" containsInteger="1" minValue="170963" maxValue="176714"/>
    </cacheField>
    <cacheField name="Ward" numFmtId="0">
      <sharedItems containsBlank="1"/>
    </cacheField>
    <cacheField name="Site Construction Date" numFmtId="14">
      <sharedItems containsNonDate="0" containsDate="1" containsString="0" containsBlank="1" minDate="2015-08-28T00:00:00" maxDate="2020-04-01T00:00:00"/>
    </cacheField>
    <cacheField name="Site Completion Date" numFmtId="14">
      <sharedItems containsNonDate="0" containsDate="1" containsString="0" containsBlank="1" minDate="2019-04-01T00:00:00" maxDate="2020-03-05T00:00:00"/>
    </cacheField>
    <cacheField name="Existing Hostel Rooms" numFmtId="0">
      <sharedItems containsString="0" containsBlank="1" containsNumber="1" containsInteger="1" minValue="0" maxValue="23"/>
    </cacheField>
    <cacheField name="Proposed Hostel Rooms" numFmtId="0">
      <sharedItems containsString="0" containsBlank="1" containsNumber="1" containsInteger="1" minValue="0" maxValue="292"/>
    </cacheField>
    <cacheField name="Net Hostel Rooms" numFmtId="0">
      <sharedItems containsString="0" containsBlank="1" containsNumber="1" containsInteger="1" minValue="-7" maxValue="292"/>
    </cacheField>
    <cacheField name="Existing Home Rooms" numFmtId="0">
      <sharedItems containsString="0" containsBlank="1" containsNumber="1" containsInteger="1" minValue="0" maxValue="87"/>
    </cacheField>
    <cacheField name="Proposed Home Rooms" numFmtId="0">
      <sharedItems containsString="0" containsBlank="1" containsNumber="1" containsInteger="1" minValue="0" maxValue="108"/>
    </cacheField>
    <cacheField name="Net Home Rooms" numFmtId="0">
      <sharedItems containsString="0" containsBlank="1" containsNumber="1" containsInteger="1" minValue="-87" maxValue="98"/>
    </cacheField>
    <cacheField name="Existing Staff Rooms" numFmtId="0">
      <sharedItems containsString="0" containsBlank="1" containsNumber="1" containsInteger="1" minValue="0" maxValue="10"/>
    </cacheField>
    <cacheField name="Proposed Staff Rooms" numFmtId="0">
      <sharedItems containsString="0" containsBlank="1" containsNumber="1" containsInteger="1" minValue="0" maxValue="0"/>
    </cacheField>
    <cacheField name="Net Staff Rooms" numFmtId="0">
      <sharedItems containsString="0" containsBlank="1" containsNumber="1" containsInteger="1" minValue="-10" maxValue="0"/>
    </cacheField>
    <cacheField name="Existing Student Rooms" numFmtId="0">
      <sharedItems containsString="0" containsBlank="1" containsNumber="1" containsInteger="1" minValue="0" maxValue="0"/>
    </cacheField>
    <cacheField name="Proposed Student Rooms" numFmtId="0">
      <sharedItems containsString="0" containsBlank="1" containsNumber="1" containsInteger="1" minValue="0" maxValue="40"/>
    </cacheField>
    <cacheField name="Net Student Rooms" numFmtId="0">
      <sharedItems containsString="0" containsBlank="1" containsNumber="1" containsInteger="1" minValue="0" maxValue="40"/>
    </cacheField>
    <cacheField name="Existing House in Multiple Occupation Rooms" numFmtId="0">
      <sharedItems containsString="0" containsBlank="1" containsNumber="1" containsInteger="1" minValue="0" maxValue="12"/>
    </cacheField>
    <cacheField name="Proposed House in Multiple Occupation Rooms" numFmtId="0">
      <sharedItems containsString="0" containsBlank="1" containsNumber="1" containsInteger="1" minValue="0" maxValue="18"/>
    </cacheField>
    <cacheField name="Net House in Multiple Occupation Rooms" numFmtId="0">
      <sharedItems containsString="0" containsBlank="1" containsNumber="1" containsInteger="1" minValue="-12" maxValue="16"/>
    </cacheField>
    <cacheField name="Existing Non-Self-Contained Rooms" numFmtId="0">
      <sharedItems containsString="0" containsBlank="1" containsNumber="1" containsInteger="1" minValue="0" maxValue="87"/>
    </cacheField>
    <cacheField name="Proposed Non-Self-Contained Rooms" numFmtId="0">
      <sharedItems containsString="0" containsBlank="1" containsNumber="1" containsInteger="1" minValue="0" maxValue="292"/>
    </cacheField>
    <cacheField name="Net Non-Self-Contained Rooms" numFmtId="0">
      <sharedItems containsString="0" containsBlank="1" containsNumber="1" containsInteger="1" minValue="-87" maxValue="292"/>
    </cacheField>
    <cacheField name="Proposal" numFmtId="0">
      <sharedItems containsBlank="1" longText="1"/>
    </cacheField>
    <cacheField name="Application Status" numFmtId="0">
      <sharedItems containsBlank="1"/>
    </cacheField>
    <cacheField name="Application Received Date" numFmtId="14">
      <sharedItems containsNonDate="0" containsDate="1" containsString="0" containsBlank="1" minDate="2010-09-10T00:00:00" maxDate="2020-03-04T00:00:00"/>
    </cacheField>
    <cacheField name="Application Decision Date" numFmtId="14">
      <sharedItems containsNonDate="0" containsDate="1" containsString="0" containsBlank="1" minDate="2011-02-13T00:00:00" maxDate="2020-03-18T00:00:00"/>
    </cacheField>
    <cacheField name="Appeal Status" numFmtId="0">
      <sharedItems containsBlank="1"/>
    </cacheField>
    <cacheField name="Appeal Decision Date" numFmtId="14">
      <sharedItems containsNonDate="0" containsDate="1" containsString="0" containsBlank="1" minDate="2012-06-22T00:00:00" maxDate="2015-09-23T00:00:00"/>
    </cacheField>
    <cacheField name="Non-Self-Contained Rooms Construction Date" numFmtId="14">
      <sharedItems containsNonDate="0" containsDate="1" containsString="0" containsBlank="1" minDate="2017-02-22T00:00:00" maxDate="2020-04-01T00:00:00"/>
    </cacheField>
    <cacheField name="Non-Self-Contained Rooms Completion Date" numFmtId="14">
      <sharedItems containsNonDate="0" containsDate="1" containsString="0" containsBlank="1" minDate="2019-04-01T00:00:00" maxDate="2020-03-05T00:00:00"/>
    </cacheField>
    <cacheField name="Tenure" numFmtId="0">
      <sharedItems containsBlank="1"/>
    </cacheField>
    <cacheField name="Tenure Code" numFmtId="0">
      <sharedItems containsBlank="1"/>
    </cacheField>
    <cacheField name="Site Specific Allocations Document Reference" numFmtId="0">
      <sharedItems containsBlank="1"/>
    </cacheField>
    <cacheField name="London SHLAA 2017 Reference" numFmtId="0">
      <sharedItems containsNonDate="0" containsString="0" containsBlank="1"/>
    </cacheField>
    <cacheField name="Special Needs" numFmtId="0">
      <sharedItems containsBlank="1"/>
    </cacheField>
    <cacheField name="Special Needs Type" numFmtId="0">
      <sharedItems containsBlank="1"/>
    </cacheField>
    <cacheField name="Phasing Assumption" numFmtId="0">
      <sharedItems containsString="0" containsBlank="1" containsNumber="1" containsInteger="1" minValue="1" maxValue="10"/>
    </cacheField>
    <cacheField name="2019/20" numFmtId="3">
      <sharedItems containsString="0" containsBlank="1" containsNumber="1" containsInteger="1" minValue="-87" maxValue="98"/>
    </cacheField>
    <cacheField name="2020/21" numFmtId="3">
      <sharedItems containsString="0" containsBlank="1" containsNumber="1" containsInteger="1" minValue="-26" maxValue="34"/>
    </cacheField>
    <cacheField name="2021/22" numFmtId="3">
      <sharedItems containsString="0" containsBlank="1" containsNumber="1" minValue="-9.25" maxValue="17"/>
    </cacheField>
    <cacheField name="2022/23" numFmtId="3">
      <sharedItems containsString="0" containsBlank="1" containsNumber="1" minValue="-9.25" maxValue="17"/>
    </cacheField>
    <cacheField name="2023/24" numFmtId="3">
      <sharedItems containsString="0" containsBlank="1" containsNumber="1" minValue="-9.25" maxValue="97.333333333333329"/>
    </cacheField>
    <cacheField name="2024/25" numFmtId="3">
      <sharedItems containsString="0" containsBlank="1" containsNumber="1" minValue="-9.25" maxValue="97.333333333333329"/>
    </cacheField>
    <cacheField name="2025/26" numFmtId="3">
      <sharedItems containsString="0" containsBlank="1" containsNumber="1" minValue="-9.25" maxValue="97.333333333333329"/>
    </cacheField>
    <cacheField name="2026/27" numFmtId="3">
      <sharedItems containsString="0" containsBlank="1" containsNumber="1" minValue="-9.25" maxValue="3.5"/>
    </cacheField>
    <cacheField name="2027/28" numFmtId="3">
      <sharedItems containsString="0" containsBlank="1" containsNumber="1" minValue="-9.25" maxValue="3.5"/>
    </cacheField>
    <cacheField name="2028/29" numFmtId="3">
      <sharedItems containsString="0" containsBlank="1" containsNumber="1" minValue="-9.25" maxValue="3.5"/>
    </cacheField>
    <cacheField name="2029/30" numFmtId="3">
      <sharedItems containsNonDate="0" containsString="0" containsBlank="1"/>
    </cacheField>
    <cacheField name="2030/31" numFmtId="3">
      <sharedItems containsNonDate="0" containsString="0" containsBlank="1"/>
    </cacheField>
    <cacheField name="2031/32" numFmtId="3">
      <sharedItems containsNonDate="0" containsString="0" containsBlank="1"/>
    </cacheField>
    <cacheField name="2032/33" numFmtId="3">
      <sharedItems containsNonDate="0" containsString="0" containsBlank="1"/>
    </cacheField>
    <cacheField name="2033/34" numFmtId="3">
      <sharedItems containsNonDate="0" containsString="0" containsBlank="1"/>
    </cacheField>
    <cacheField name="2034/35" numFmtId="3">
      <sharedItems containsNonDate="0" containsString="0" containsBlank="1"/>
    </cacheField>
    <cacheField name="2035/36" numFmtId="3">
      <sharedItems containsNonDate="0" containsString="0" containsBlank="1"/>
    </cacheField>
    <cacheField name="2036/37" numFmtId="3">
      <sharedItems containsNonDate="0" containsString="0" containsBlank="1"/>
    </cacheField>
    <cacheField name="2037/38" numFmtId="3">
      <sharedItems containsNonDate="0" containsString="0" containsBlank="1"/>
    </cacheField>
    <cacheField name="2038/39" numFmtId="3">
      <sharedItems containsNonDate="0" containsString="0" containsBlank="1"/>
    </cacheField>
    <cacheField name="Delivery in 5 Years" numFmtId="3">
      <sharedItems containsString="0" containsBlank="1" containsNumber="1" minValue="-37" maxValue="194.66666666666666"/>
    </cacheField>
    <cacheField name="Delivery in 10 Years" numFmtId="3">
      <sharedItems containsString="0" containsBlank="1" containsNumber="1" containsInteger="1" minValue="-37" maxValue="29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6">
  <r>
    <n v="116"/>
    <x v="0"/>
    <s v="2017/3227"/>
    <s v="257 Putney Bridge Road"/>
    <m/>
    <n v="524382"/>
    <n v="175284"/>
    <x v="0"/>
    <d v="2018-03-31T00:00:00"/>
    <d v="2019-10-03T00:00:00"/>
    <n v="2"/>
    <n v="2"/>
    <n v="0"/>
    <n v="6"/>
    <n v="4"/>
    <x v="0"/>
    <s v="Demolition of rear outbuildings and rear part of frontage building;  erection of three-storey building at the rear to provide 3 x 2-bedroom flats; alterations to frontage building including the change of use of the ground floor from A3 to C3, including a part single, part three-storey rear/side extension and rear roof extension to provide 2 x 1-bedroom and 1 x 2-bedroom flat and 1 x 3-bedroom flat with roof-terraces at rear of first and second floors and associated refuse and cycle storage **Application description annd application form revised**."/>
    <s v="PF"/>
    <d v="2017-09-05T00:00:00"/>
    <d v="2017-10-05T00:00:00"/>
    <x v="0"/>
    <s v="Nil"/>
    <m/>
    <s v="BF"/>
    <s v="MIX"/>
    <x v="0"/>
    <x v="0"/>
    <n v="7.0000002160668399E-3"/>
    <d v="2018-03-31T00:00:00"/>
    <x v="0"/>
    <d v="2019-10-03T00:00:00"/>
    <x v="0"/>
    <s v="M"/>
    <m/>
    <m/>
    <n v="0"/>
    <n v="0"/>
    <n v="0"/>
    <n v="0"/>
    <n v="0"/>
    <n v="1"/>
    <n v="-1"/>
    <n v="0"/>
    <n v="0"/>
    <n v="0"/>
    <n v="0"/>
    <n v="0"/>
    <n v="1"/>
    <n v="-1"/>
    <n v="0"/>
    <n v="0"/>
    <n v="0"/>
    <n v="0"/>
    <n v="0"/>
    <n v="0"/>
    <n v="0"/>
    <n v="0"/>
    <n v="0"/>
    <n v="0"/>
    <n v="0"/>
    <n v="0"/>
    <n v="0"/>
    <n v="0"/>
    <n v="0"/>
    <n v="0"/>
    <n v="0"/>
    <n v="0"/>
    <x v="0"/>
    <x v="0"/>
    <x v="0"/>
    <x v="0"/>
    <x v="0"/>
    <m/>
    <x v="0"/>
    <x v="0"/>
    <n v="12"/>
    <n v="0"/>
    <m/>
    <m/>
    <m/>
    <m/>
    <m/>
    <m/>
    <m/>
    <m/>
    <m/>
    <m/>
    <m/>
    <m/>
    <m/>
    <m/>
    <m/>
    <m/>
    <m/>
    <m/>
    <m/>
    <m/>
    <n v="0"/>
    <n v="0"/>
  </r>
  <r>
    <n v="116"/>
    <x v="0"/>
    <s v="2017/3227"/>
    <s v="257 Putney Bridge Road"/>
    <m/>
    <n v="524382"/>
    <n v="175284"/>
    <x v="0"/>
    <d v="2018-03-31T00:00:00"/>
    <d v="2019-10-03T00:00:00"/>
    <n v="0"/>
    <n v="1"/>
    <n v="1"/>
    <n v="6"/>
    <n v="4"/>
    <x v="0"/>
    <s v="Demolition of rear outbuildings and rear part of frontage building;  erection of three-storey building at the rear to provide 3 x 2-bedroom flats; alterations to frontage building including the change of use of the ground floor from A3 to C3, including a part single, part three-storey rear/side extension and rear roof extension to provide 2 x 1-bedroom and 1 x 2-bedroom flat and 1 x 3-bedroom flat with roof-terraces at rear of first and second floors and associated refuse and cycle storage **Application description annd application form revised**."/>
    <s v="PF"/>
    <d v="2017-09-05T00:00:00"/>
    <d v="2017-10-05T00:00:00"/>
    <x v="0"/>
    <s v="Nil"/>
    <m/>
    <s v="BF"/>
    <s v="MIX"/>
    <x v="0"/>
    <x v="1"/>
    <n v="7.0000002160668399E-3"/>
    <d v="2018-03-31T00:00:00"/>
    <x v="0"/>
    <d v="2019-10-03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548"/>
    <x v="0"/>
    <s v="2017/5673"/>
    <s v="36 Hoyle Road"/>
    <m/>
    <n v="527240"/>
    <n v="171371"/>
    <x v="1"/>
    <d v="2018-03-14T00:00:00"/>
    <d v="2019-06-25T00:00:00"/>
    <n v="1"/>
    <n v="3"/>
    <n v="2"/>
    <n v="3"/>
    <n v="2"/>
    <x v="0"/>
    <s v="Alterations including erection of two-storey side and single-storey rear extension and conversion of property to 1 x 3-bedroom, 1 x 2-bedroom and 1 x 1-bedroom flats with associated cycle and refuse storage."/>
    <s v="PF"/>
    <d v="2017-10-13T00:00:00"/>
    <d v="2017-12-08T00:00:00"/>
    <x v="0"/>
    <s v="Nil"/>
    <m/>
    <s v="BF"/>
    <s v="MIX"/>
    <x v="0"/>
    <x v="2"/>
    <n v="1.9999999552965199E-2"/>
    <d v="2018-03-14T00:00:00"/>
    <x v="0"/>
    <d v="2019-06-25T00:00:00"/>
    <x v="0"/>
    <s v="M"/>
    <m/>
    <m/>
    <n v="0"/>
    <n v="0"/>
    <n v="0"/>
    <n v="0"/>
    <n v="0"/>
    <n v="1"/>
    <n v="1"/>
    <n v="1"/>
    <n v="-1"/>
    <n v="0"/>
    <n v="0"/>
    <n v="0"/>
    <n v="1"/>
    <n v="1"/>
    <n v="1"/>
    <n v="0"/>
    <n v="0"/>
    <n v="0"/>
    <n v="0"/>
    <n v="0"/>
    <n v="0"/>
    <n v="0"/>
    <n v="-1"/>
    <n v="0"/>
    <n v="0"/>
    <n v="0"/>
    <n v="0"/>
    <n v="0"/>
    <n v="0"/>
    <n v="0"/>
    <n v="0"/>
    <n v="0"/>
    <x v="0"/>
    <x v="0"/>
    <x v="0"/>
    <x v="0"/>
    <x v="0"/>
    <m/>
    <x v="0"/>
    <x v="0"/>
    <n v="12"/>
    <n v="2"/>
    <m/>
    <m/>
    <m/>
    <m/>
    <m/>
    <m/>
    <m/>
    <m/>
    <m/>
    <m/>
    <m/>
    <m/>
    <m/>
    <m/>
    <m/>
    <m/>
    <m/>
    <m/>
    <m/>
    <m/>
    <n v="0"/>
    <n v="0"/>
  </r>
  <r>
    <n v="687"/>
    <x v="0"/>
    <s v="2017/5907"/>
    <s v="362 Old York Road"/>
    <m/>
    <n v="525881"/>
    <n v="174991"/>
    <x v="2"/>
    <d v="2018-02-05T00:00:00"/>
    <d v="2019-09-30T00:00:00"/>
    <n v="1"/>
    <n v="2"/>
    <n v="1"/>
    <n v="2"/>
    <n v="1"/>
    <x v="0"/>
    <s v="Alterations including erection of first floor rear extension with roof terrace above in connection with conversion of upper flat into two studio flats."/>
    <s v="PF"/>
    <d v="2017-10-27T00:00:00"/>
    <d v="2017-12-20T00:00:00"/>
    <x v="0"/>
    <s v="Nil"/>
    <m/>
    <s v="BF"/>
    <s v="MIX"/>
    <x v="0"/>
    <x v="0"/>
    <n v="4.0000001899898104E-3"/>
    <d v="2018-02-05T00:00:00"/>
    <x v="0"/>
    <d v="2019-09-30T00:00:00"/>
    <x v="0"/>
    <s v="M"/>
    <m/>
    <m/>
    <n v="0"/>
    <n v="0"/>
    <n v="0"/>
    <n v="0"/>
    <n v="2"/>
    <n v="0"/>
    <n v="0"/>
    <n v="-1"/>
    <n v="0"/>
    <n v="0"/>
    <n v="0"/>
    <n v="2"/>
    <n v="0"/>
    <n v="0"/>
    <n v="-1"/>
    <n v="0"/>
    <n v="0"/>
    <n v="0"/>
    <n v="0"/>
    <n v="0"/>
    <n v="0"/>
    <n v="0"/>
    <n v="0"/>
    <n v="0"/>
    <n v="0"/>
    <n v="0"/>
    <n v="0"/>
    <n v="0"/>
    <n v="0"/>
    <n v="0"/>
    <n v="0"/>
    <n v="0"/>
    <x v="0"/>
    <x v="0"/>
    <x v="1"/>
    <x v="0"/>
    <x v="0"/>
    <m/>
    <x v="0"/>
    <x v="0"/>
    <n v="12"/>
    <n v="1"/>
    <m/>
    <m/>
    <m/>
    <m/>
    <m/>
    <m/>
    <m/>
    <m/>
    <m/>
    <m/>
    <m/>
    <m/>
    <m/>
    <m/>
    <m/>
    <m/>
    <m/>
    <m/>
    <m/>
    <m/>
    <n v="0"/>
    <n v="0"/>
  </r>
  <r>
    <n v="700"/>
    <x v="0"/>
    <s v="2018/1481"/>
    <s v="54 Balham Park Road"/>
    <m/>
    <n v="528024"/>
    <n v="173250"/>
    <x v="3"/>
    <d v="2019-03-31T00:00:00"/>
    <d v="2019-11-25T00:00:00"/>
    <n v="1"/>
    <n v="4"/>
    <n v="3"/>
    <n v="4"/>
    <n v="3"/>
    <x v="0"/>
    <s v="Alterations including erection of domer roof extension to main rear roof including raising the ridge by 300mm and roof extension above part three-storey back addition. Erection of part two/part single-storey rear extension and single-storey side extension and formation roof terrace at third floor level with 1.7m high screen surround.  Replacement windows at rear and rooflights to front roof slope. Conversion of the existing two bedroom flat and 5 bedroom HMO into 4 self-contained flats (2 x 3 bedroom, 1 x 2 bedroom flats and 1x studio flat.)  Erection of a garden room in rear garden."/>
    <s v="PF"/>
    <d v="2018-03-21T00:00:00"/>
    <d v="2018-05-15T00:00:00"/>
    <x v="0"/>
    <s v="Nil"/>
    <m/>
    <s v="BF"/>
    <s v="MIX"/>
    <x v="0"/>
    <x v="0"/>
    <n v="2.9999999329447701E-2"/>
    <d v="2019-03-31T00:00:00"/>
    <x v="0"/>
    <d v="2019-11-25T00:00:00"/>
    <x v="0"/>
    <s v="M"/>
    <m/>
    <m/>
    <n v="0"/>
    <n v="0"/>
    <n v="0"/>
    <n v="0"/>
    <n v="1"/>
    <n v="0"/>
    <n v="0"/>
    <n v="2"/>
    <n v="0"/>
    <n v="0"/>
    <n v="0"/>
    <n v="1"/>
    <n v="0"/>
    <n v="0"/>
    <n v="2"/>
    <n v="0"/>
    <n v="0"/>
    <n v="0"/>
    <n v="0"/>
    <n v="0"/>
    <n v="0"/>
    <n v="0"/>
    <n v="0"/>
    <n v="0"/>
    <n v="0"/>
    <n v="0"/>
    <n v="0"/>
    <n v="0"/>
    <n v="0"/>
    <n v="0"/>
    <n v="0"/>
    <n v="0"/>
    <x v="0"/>
    <x v="0"/>
    <x v="0"/>
    <x v="0"/>
    <x v="0"/>
    <m/>
    <x v="0"/>
    <x v="0"/>
    <n v="12"/>
    <n v="3"/>
    <m/>
    <m/>
    <m/>
    <m/>
    <m/>
    <m/>
    <m/>
    <m/>
    <m/>
    <m/>
    <m/>
    <m/>
    <m/>
    <m/>
    <m/>
    <m/>
    <m/>
    <m/>
    <m/>
    <m/>
    <n v="0"/>
    <n v="0"/>
  </r>
  <r>
    <n v="730"/>
    <x v="0"/>
    <s v="2018/2775"/>
    <s v="180 Northcote Road"/>
    <m/>
    <n v="527663"/>
    <n v="174345"/>
    <x v="4"/>
    <d v="2019-04-01T00:00:00"/>
    <d v="2020-02-27T00:00:00"/>
    <n v="0"/>
    <n v="1"/>
    <n v="1"/>
    <n v="1"/>
    <n v="1"/>
    <x v="0"/>
    <s v="Change of use of existing warehouse buildings (Use Class B8) to a 3-bedroom dwelling (Use Class C3). Alterations to include a roof extension to main building, erection of front entry porch and single-storey glazed roof to link  dwelling to outbuilding, external cycle and waste store and associated landscaping and external changes."/>
    <s v="PF"/>
    <d v="2018-06-14T00:00:00"/>
    <d v="2018-07-23T00:00:00"/>
    <x v="0"/>
    <s v="Nil"/>
    <m/>
    <s v="BF"/>
    <s v="COU"/>
    <x v="0"/>
    <x v="1"/>
    <n v="1.4000000432133701E-2"/>
    <d v="2019-04-01T00:00:00"/>
    <x v="1"/>
    <d v="2020-02-27T00:00:00"/>
    <x v="0"/>
    <s v="M"/>
    <m/>
    <m/>
    <n v="0"/>
    <n v="0"/>
    <n v="0"/>
    <n v="0"/>
    <n v="0"/>
    <n v="0"/>
    <n v="0"/>
    <n v="1"/>
    <n v="0"/>
    <n v="0"/>
    <n v="0"/>
    <n v="0"/>
    <n v="0"/>
    <n v="0"/>
    <n v="0"/>
    <n v="0"/>
    <n v="0"/>
    <n v="0"/>
    <n v="0"/>
    <n v="0"/>
    <n v="0"/>
    <n v="1"/>
    <n v="0"/>
    <n v="0"/>
    <n v="0"/>
    <n v="0"/>
    <n v="0"/>
    <n v="0"/>
    <n v="0"/>
    <n v="0"/>
    <n v="0"/>
    <n v="0"/>
    <x v="0"/>
    <x v="0"/>
    <x v="0"/>
    <x v="0"/>
    <x v="0"/>
    <m/>
    <x v="0"/>
    <x v="0"/>
    <n v="12"/>
    <n v="1"/>
    <m/>
    <m/>
    <m/>
    <m/>
    <m/>
    <m/>
    <m/>
    <m/>
    <m/>
    <m/>
    <m/>
    <m/>
    <m/>
    <m/>
    <m/>
    <m/>
    <m/>
    <m/>
    <m/>
    <m/>
    <n v="0"/>
    <n v="0"/>
  </r>
  <r>
    <n v="955"/>
    <x v="0"/>
    <s v="2019/3277"/>
    <s v="13a St Johns Hill"/>
    <m/>
    <n v="527307"/>
    <n v="175395"/>
    <x v="4"/>
    <d v="2019-09-20T00:00:00"/>
    <d v="2019-11-11T00:00:00"/>
    <n v="1"/>
    <n v="1"/>
    <n v="0"/>
    <n v="2"/>
    <n v="1"/>
    <x v="0"/>
    <s v="Alterations including erection of two storey rear/side extension and erection of mezzanine floor above existing back addition and a roof terrace at fourth floor level and create additional floor of accommodation in connection with conversion of existing flat into 1 x 1-bedroom and 1 x 3-bedroom flats. Replacement timber windows to the front."/>
    <s v="PF"/>
    <d v="2019-08-13T00:00:00"/>
    <d v="2019-09-19T00:00:00"/>
    <x v="1"/>
    <s v="Nil"/>
    <m/>
    <s v="BF"/>
    <s v="MIX"/>
    <x v="0"/>
    <x v="0"/>
    <n v="4.0000001899898104E-3"/>
    <d v="2019-09-20T00:00:00"/>
    <x v="1"/>
    <d v="2019-11-11T00:00:00"/>
    <x v="0"/>
    <s v="M"/>
    <m/>
    <m/>
    <n v="0"/>
    <n v="0"/>
    <n v="0"/>
    <n v="0"/>
    <n v="0"/>
    <n v="1"/>
    <n v="0"/>
    <n v="-1"/>
    <n v="0"/>
    <n v="0"/>
    <n v="0"/>
    <n v="0"/>
    <n v="1"/>
    <n v="0"/>
    <n v="0"/>
    <n v="0"/>
    <n v="0"/>
    <n v="0"/>
    <n v="0"/>
    <n v="0"/>
    <n v="0"/>
    <n v="-1"/>
    <n v="0"/>
    <n v="0"/>
    <n v="0"/>
    <n v="0"/>
    <n v="0"/>
    <n v="0"/>
    <n v="0"/>
    <n v="0"/>
    <n v="0"/>
    <n v="0"/>
    <x v="1"/>
    <x v="0"/>
    <x v="0"/>
    <x v="0"/>
    <x v="0"/>
    <m/>
    <x v="0"/>
    <x v="0"/>
    <n v="12"/>
    <n v="0"/>
    <m/>
    <m/>
    <m/>
    <m/>
    <m/>
    <m/>
    <m/>
    <m/>
    <m/>
    <m/>
    <m/>
    <m/>
    <m/>
    <m/>
    <m/>
    <m/>
    <m/>
    <m/>
    <m/>
    <m/>
    <n v="0"/>
    <n v="0"/>
  </r>
  <r>
    <n v="955"/>
    <x v="0"/>
    <s v="2019/3277"/>
    <s v="13a St Johns Hill"/>
    <m/>
    <n v="527307"/>
    <n v="175395"/>
    <x v="4"/>
    <d v="2019-09-20T00:00:00"/>
    <d v="2019-11-11T00:00:00"/>
    <n v="0"/>
    <n v="1"/>
    <n v="1"/>
    <n v="2"/>
    <n v="1"/>
    <x v="0"/>
    <s v="Alterations including erection of two storey rear/side extension and erection of mezzanine floor above existing back addition and a roof terrace at fourth floor level and create additional floor of accommodation in connection with conversion of existing flat into 1 x 1-bedroom and 1 x 3-bedroom flats. Replacement timber windows to the front."/>
    <s v="PF"/>
    <d v="2019-08-13T00:00:00"/>
    <d v="2019-09-19T00:00:00"/>
    <x v="1"/>
    <s v="Nil"/>
    <m/>
    <s v="BF"/>
    <s v="MIX"/>
    <x v="0"/>
    <x v="3"/>
    <n v="1.4000000432133701E-2"/>
    <d v="2019-09-20T00:00:00"/>
    <x v="1"/>
    <d v="2019-11-11T00:00:00"/>
    <x v="0"/>
    <s v="M"/>
    <m/>
    <m/>
    <n v="0"/>
    <n v="0"/>
    <n v="0"/>
    <n v="0"/>
    <n v="0"/>
    <n v="0"/>
    <n v="0"/>
    <n v="1"/>
    <n v="0"/>
    <n v="0"/>
    <n v="0"/>
    <n v="0"/>
    <n v="0"/>
    <n v="0"/>
    <n v="1"/>
    <n v="0"/>
    <n v="0"/>
    <n v="0"/>
    <n v="0"/>
    <n v="0"/>
    <n v="0"/>
    <n v="0"/>
    <n v="0"/>
    <n v="0"/>
    <n v="0"/>
    <n v="0"/>
    <n v="0"/>
    <n v="0"/>
    <n v="0"/>
    <n v="0"/>
    <n v="0"/>
    <n v="0"/>
    <x v="1"/>
    <x v="0"/>
    <x v="0"/>
    <x v="0"/>
    <x v="0"/>
    <m/>
    <x v="0"/>
    <x v="0"/>
    <n v="12"/>
    <n v="1"/>
    <m/>
    <m/>
    <m/>
    <m/>
    <m/>
    <m/>
    <m/>
    <m/>
    <m/>
    <m/>
    <m/>
    <m/>
    <m/>
    <m/>
    <m/>
    <m/>
    <m/>
    <m/>
    <m/>
    <m/>
    <n v="0"/>
    <n v="0"/>
  </r>
  <r>
    <n v="1181"/>
    <x v="0"/>
    <s v="2018/5262"/>
    <s v="199B Upper Richmond Road"/>
    <m/>
    <n v="523800"/>
    <n v="175079"/>
    <x v="5"/>
    <d v="2019-07-01T00:00:00"/>
    <d v="2020-03-19T00:00:00"/>
    <n v="0"/>
    <n v="1"/>
    <n v="1"/>
    <n v="1"/>
    <n v="1"/>
    <x v="0"/>
    <s v="Change of use from Shop (Class A1) to 1-bedroom flat (Class C3) with access from rear."/>
    <s v="PF"/>
    <d v="2018-11-07T00:00:00"/>
    <d v="2019-05-01T00:00:00"/>
    <x v="1"/>
    <s v="Nil"/>
    <m/>
    <s v="BF"/>
    <s v="COU"/>
    <x v="0"/>
    <x v="4"/>
    <n v="4.9999998882412902E-3"/>
    <d v="2019-07-01T00:00:00"/>
    <x v="1"/>
    <d v="2020-03-19T00:00:00"/>
    <x v="0"/>
    <s v="M"/>
    <m/>
    <m/>
    <n v="0"/>
    <n v="0"/>
    <n v="0"/>
    <n v="0"/>
    <n v="0"/>
    <n v="1"/>
    <n v="0"/>
    <n v="0"/>
    <n v="0"/>
    <n v="0"/>
    <n v="0"/>
    <n v="0"/>
    <n v="1"/>
    <n v="0"/>
    <n v="0"/>
    <n v="0"/>
    <n v="0"/>
    <n v="0"/>
    <n v="0"/>
    <n v="0"/>
    <n v="0"/>
    <n v="0"/>
    <n v="0"/>
    <n v="0"/>
    <n v="0"/>
    <n v="0"/>
    <n v="0"/>
    <n v="0"/>
    <n v="0"/>
    <n v="0"/>
    <n v="0"/>
    <n v="0"/>
    <x v="2"/>
    <x v="0"/>
    <x v="0"/>
    <x v="0"/>
    <x v="0"/>
    <m/>
    <x v="0"/>
    <x v="0"/>
    <n v="12"/>
    <n v="1"/>
    <m/>
    <m/>
    <m/>
    <m/>
    <m/>
    <m/>
    <m/>
    <m/>
    <m/>
    <m/>
    <m/>
    <m/>
    <m/>
    <m/>
    <m/>
    <m/>
    <m/>
    <m/>
    <m/>
    <m/>
    <n v="0"/>
    <n v="0"/>
  </r>
  <r>
    <n v="1364"/>
    <x v="0"/>
    <s v="2018/4924"/>
    <s v="39 Hoyle Road"/>
    <s v="conversion"/>
    <n v="527233"/>
    <n v="171332"/>
    <x v="1"/>
    <d v="2019-09-27T00:00:00"/>
    <d v="2020-03-31T00:00:00"/>
    <n v="1"/>
    <n v="1"/>
    <n v="0"/>
    <n v="2"/>
    <n v="1"/>
    <x v="0"/>
    <s v="Alterations including erection of mansard roof extension (with french doors and safety railings) to main rear roof; three rooflights to the front roofslope; erection of extension above part of three storey rear addition in connection with conversion from 1 x 2 bed flat to 2 x 1 bed flats; erection of single storey rear extension to ground floor flat."/>
    <s v="PF"/>
    <d v="2018-10-16T00:00:00"/>
    <d v="2018-12-11T00:00:00"/>
    <x v="0"/>
    <s v="Nil"/>
    <m/>
    <s v="BF"/>
    <s v="CON"/>
    <x v="0"/>
    <x v="0"/>
    <n v="3.0000000260770299E-3"/>
    <d v="2019-09-27T00:00:00"/>
    <x v="1"/>
    <d v="2020-03-31T00:00:00"/>
    <x v="0"/>
    <s v="M"/>
    <m/>
    <m/>
    <n v="0"/>
    <n v="0"/>
    <n v="0"/>
    <n v="0"/>
    <n v="0"/>
    <n v="1"/>
    <n v="-1"/>
    <n v="0"/>
    <n v="0"/>
    <n v="0"/>
    <n v="0"/>
    <n v="0"/>
    <n v="1"/>
    <n v="-1"/>
    <n v="0"/>
    <n v="0"/>
    <n v="0"/>
    <n v="0"/>
    <n v="0"/>
    <n v="0"/>
    <n v="0"/>
    <n v="0"/>
    <n v="0"/>
    <n v="0"/>
    <n v="0"/>
    <n v="0"/>
    <n v="0"/>
    <n v="0"/>
    <n v="0"/>
    <n v="0"/>
    <n v="0"/>
    <n v="0"/>
    <x v="0"/>
    <x v="0"/>
    <x v="0"/>
    <x v="0"/>
    <x v="0"/>
    <m/>
    <x v="0"/>
    <x v="0"/>
    <n v="12"/>
    <n v="0"/>
    <m/>
    <m/>
    <m/>
    <m/>
    <m/>
    <m/>
    <m/>
    <m/>
    <m/>
    <m/>
    <m/>
    <m/>
    <m/>
    <m/>
    <m/>
    <m/>
    <m/>
    <m/>
    <m/>
    <m/>
    <n v="0"/>
    <n v="0"/>
  </r>
  <r>
    <n v="1364"/>
    <x v="0"/>
    <s v="2018/4924"/>
    <s v="39 Hoyle Road"/>
    <s v="extension"/>
    <n v="527233"/>
    <n v="171332"/>
    <x v="1"/>
    <d v="2019-09-27T00:00:00"/>
    <d v="2020-03-31T00:00:00"/>
    <n v="0"/>
    <n v="1"/>
    <n v="1"/>
    <n v="2"/>
    <n v="1"/>
    <x v="0"/>
    <s v="Alterations including erection of mansard roof extension (with french doors and safety railings) to main rear roof; three rooflights to the front roofslope; erection of extension above part of three storey rear addition in connection with conversion from 1 x 2 bed flat to 2 x 1 bed flats; erection of single storey rear extension to ground floor flat."/>
    <s v="PF"/>
    <d v="2018-10-16T00:00:00"/>
    <d v="2018-12-11T00:00:00"/>
    <x v="0"/>
    <s v="Nil"/>
    <m/>
    <s v="BF"/>
    <s v="CON"/>
    <x v="0"/>
    <x v="3"/>
    <n v="2.0000000949949E-3"/>
    <d v="2019-09-27T00:00:00"/>
    <x v="1"/>
    <d v="2020-03-3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1576"/>
    <x v="0"/>
    <s v="2015/0164"/>
    <s v="3 Alderbrook Road"/>
    <m/>
    <n v="528559"/>
    <n v="174195"/>
    <x v="6"/>
    <d v="2017-03-31T00:00:00"/>
    <d v="2020-03-31T00:00:00"/>
    <n v="1"/>
    <n v="2"/>
    <n v="1"/>
    <n v="3"/>
    <n v="2"/>
    <x v="0"/>
    <s v="Conversion of ground floor level into 1 x one-bedroom and 1 x two-bedroom flat and extension to basement level including formation of front lightwells with grille over to create a 1 x three-bedroom flat."/>
    <s v="PF"/>
    <d v="2015-01-16T00:00:00"/>
    <d v="2015-04-21T00:00:00"/>
    <x v="0"/>
    <s v="Nil"/>
    <m/>
    <s v="BF"/>
    <s v="MIX"/>
    <x v="0"/>
    <x v="0"/>
    <n v="8.0000003799796104E-3"/>
    <d v="2017-03-31T00:00:00"/>
    <x v="0"/>
    <d v="2020-03-31T00:00:00"/>
    <x v="0"/>
    <s v="M"/>
    <m/>
    <m/>
    <n v="0"/>
    <n v="0"/>
    <n v="0"/>
    <n v="0"/>
    <n v="0"/>
    <n v="1"/>
    <n v="1"/>
    <n v="0"/>
    <n v="-1"/>
    <n v="0"/>
    <n v="0"/>
    <n v="0"/>
    <n v="1"/>
    <n v="1"/>
    <n v="0"/>
    <n v="-1"/>
    <n v="0"/>
    <n v="0"/>
    <n v="0"/>
    <n v="0"/>
    <n v="0"/>
    <n v="0"/>
    <n v="0"/>
    <n v="0"/>
    <n v="0"/>
    <n v="0"/>
    <n v="0"/>
    <n v="0"/>
    <n v="0"/>
    <n v="0"/>
    <n v="0"/>
    <n v="0"/>
    <x v="0"/>
    <x v="0"/>
    <x v="0"/>
    <x v="0"/>
    <x v="0"/>
    <m/>
    <x v="0"/>
    <x v="0"/>
    <n v="12"/>
    <n v="1"/>
    <m/>
    <m/>
    <m/>
    <m/>
    <m/>
    <m/>
    <m/>
    <m/>
    <m/>
    <m/>
    <m/>
    <m/>
    <m/>
    <m/>
    <m/>
    <m/>
    <m/>
    <m/>
    <m/>
    <m/>
    <n v="0"/>
    <n v="0"/>
  </r>
  <r>
    <n v="1576"/>
    <x v="0"/>
    <s v="2015/0164"/>
    <s v="3 Alderbrook Road"/>
    <m/>
    <n v="528559"/>
    <n v="174195"/>
    <x v="6"/>
    <d v="2017-03-31T00:00:00"/>
    <d v="2020-03-31T00:00:00"/>
    <n v="0"/>
    <n v="1"/>
    <n v="1"/>
    <n v="3"/>
    <n v="2"/>
    <x v="0"/>
    <s v="Conversion of ground floor level into 1 x one-bedroom and 1 x two-bedroom flat and extension to basement level including formation of front lightwells with grille over to create a 1 x three-bedroom flat."/>
    <s v="PF"/>
    <d v="2015-01-16T00:00:00"/>
    <d v="2015-04-21T00:00:00"/>
    <x v="0"/>
    <s v="Nil"/>
    <m/>
    <s v="BF"/>
    <s v="MIX"/>
    <x v="0"/>
    <x v="5"/>
    <n v="8.0000003799796104E-3"/>
    <d v="2017-03-31T00:00:00"/>
    <x v="0"/>
    <d v="2020-03-31T00:00:00"/>
    <x v="0"/>
    <s v="M"/>
    <m/>
    <m/>
    <n v="0"/>
    <n v="0"/>
    <n v="0"/>
    <n v="0"/>
    <n v="0"/>
    <n v="0"/>
    <n v="0"/>
    <n v="1"/>
    <n v="0"/>
    <n v="0"/>
    <n v="0"/>
    <n v="0"/>
    <n v="0"/>
    <n v="0"/>
    <n v="1"/>
    <n v="0"/>
    <n v="0"/>
    <n v="0"/>
    <n v="0"/>
    <n v="0"/>
    <n v="0"/>
    <n v="0"/>
    <n v="0"/>
    <n v="0"/>
    <n v="0"/>
    <n v="0"/>
    <n v="0"/>
    <n v="0"/>
    <n v="0"/>
    <n v="0"/>
    <n v="0"/>
    <n v="0"/>
    <x v="0"/>
    <x v="0"/>
    <x v="0"/>
    <x v="0"/>
    <x v="0"/>
    <m/>
    <x v="0"/>
    <x v="0"/>
    <n v="12"/>
    <n v="1"/>
    <m/>
    <m/>
    <m/>
    <m/>
    <m/>
    <m/>
    <m/>
    <m/>
    <m/>
    <m/>
    <m/>
    <m/>
    <m/>
    <m/>
    <m/>
    <m/>
    <m/>
    <m/>
    <m/>
    <m/>
    <n v="0"/>
    <n v="0"/>
  </r>
  <r>
    <n v="1642"/>
    <x v="0"/>
    <s v="2012/5699"/>
    <s v="5 North Drive"/>
    <m/>
    <n v="529269"/>
    <n v="171759"/>
    <x v="7"/>
    <d v="2016-02-11T00:00:00"/>
    <d v="2020-03-31T00:00:00"/>
    <n v="0"/>
    <n v="2"/>
    <n v="2"/>
    <n v="2"/>
    <n v="2"/>
    <x v="0"/>
    <s v="Removal of existing external fire escape and erection of two-storey side extension and part single, part two-storey rear extension, including formation of first floor rear roof terrace. Proposed extensions and associated alterations in connection with proposed conversion of annexe into two flats (1 x 3-bedroom and 1 x 2-bedroom)."/>
    <s v="PF"/>
    <d v="2012-12-07T00:00:00"/>
    <d v="2013-03-20T00:00:00"/>
    <x v="0"/>
    <s v="Nil"/>
    <m/>
    <s v="BF"/>
    <s v="MIX"/>
    <x v="0"/>
    <x v="5"/>
    <n v="7.8000001609325395E-2"/>
    <d v="2016-02-11T00:00:00"/>
    <x v="0"/>
    <d v="2020-03-31T00:00:00"/>
    <x v="0"/>
    <s v="M"/>
    <m/>
    <m/>
    <n v="0"/>
    <n v="0"/>
    <n v="0"/>
    <n v="0"/>
    <n v="0"/>
    <n v="0"/>
    <n v="1"/>
    <n v="1"/>
    <n v="0"/>
    <n v="0"/>
    <n v="0"/>
    <n v="0"/>
    <n v="0"/>
    <n v="1"/>
    <n v="0"/>
    <n v="0"/>
    <n v="0"/>
    <n v="0"/>
    <n v="0"/>
    <n v="0"/>
    <n v="0"/>
    <n v="0"/>
    <n v="0"/>
    <n v="0"/>
    <n v="0"/>
    <n v="0"/>
    <n v="0"/>
    <n v="0"/>
    <n v="1"/>
    <n v="0"/>
    <n v="0"/>
    <n v="0"/>
    <x v="0"/>
    <x v="0"/>
    <x v="0"/>
    <x v="0"/>
    <x v="0"/>
    <m/>
    <x v="0"/>
    <x v="0"/>
    <n v="12"/>
    <n v="2"/>
    <m/>
    <m/>
    <m/>
    <m/>
    <m/>
    <m/>
    <m/>
    <m/>
    <m/>
    <m/>
    <m/>
    <m/>
    <m/>
    <m/>
    <m/>
    <m/>
    <m/>
    <m/>
    <m/>
    <m/>
    <n v="0"/>
    <n v="0"/>
  </r>
  <r>
    <n v="1867"/>
    <x v="0"/>
    <s v="2019/1406"/>
    <s v="2a Isis Street"/>
    <m/>
    <n v="526162"/>
    <n v="172667"/>
    <x v="8"/>
    <d v="2019-06-20T00:00:00"/>
    <d v="2019-12-19T00:00:00"/>
    <n v="0"/>
    <n v="5"/>
    <n v="5"/>
    <n v="5"/>
    <n v="5"/>
    <x v="0"/>
    <s v="Variation of condition 2 (in accordance with approved drawings) pursuant to planning permission dated 25/05/2018 ref 2018/0250 (Demolition of existing buildings; erection of a two-storey (plus basement) building fronting onto Isis Street to form 1 x 1-bedroom, 1 x 2-bedroom residential units and bin store, including the formation of a rear lightwell and access to rear; erection of 3 x two-storey (plus basement) 2-bedroom residential units with lightwells to front and rear.) to allow 1). The two end units (3 &amp; 5) changed to 3 - bed units; 1no additional window at basement level front elevation to the 3 x two- storey (plus basements) residential units at the rear."/>
    <s v="S73"/>
    <d v="2019-04-09T00:00:00"/>
    <d v="2019-06-03T00:00:00"/>
    <x v="1"/>
    <s v="Nil"/>
    <m/>
    <s v="BF"/>
    <s v="NB"/>
    <x v="0"/>
    <x v="5"/>
    <n v="2.9999999329447701E-2"/>
    <d v="2019-06-20T00:00:00"/>
    <x v="1"/>
    <d v="2019-12-19T00:00:00"/>
    <x v="0"/>
    <s v="M"/>
    <m/>
    <m/>
    <n v="0"/>
    <n v="0"/>
    <n v="0"/>
    <n v="0"/>
    <n v="0"/>
    <n v="1"/>
    <n v="2"/>
    <n v="2"/>
    <n v="0"/>
    <n v="0"/>
    <n v="0"/>
    <n v="0"/>
    <n v="1"/>
    <n v="1"/>
    <n v="0"/>
    <n v="0"/>
    <n v="0"/>
    <n v="0"/>
    <n v="0"/>
    <n v="0"/>
    <n v="1"/>
    <n v="2"/>
    <n v="0"/>
    <n v="0"/>
    <n v="0"/>
    <n v="0"/>
    <n v="0"/>
    <n v="0"/>
    <n v="0"/>
    <n v="0"/>
    <n v="0"/>
    <n v="0"/>
    <x v="0"/>
    <x v="0"/>
    <x v="0"/>
    <x v="0"/>
    <x v="0"/>
    <m/>
    <x v="0"/>
    <x v="0"/>
    <n v="1"/>
    <n v="5"/>
    <m/>
    <m/>
    <m/>
    <m/>
    <m/>
    <m/>
    <m/>
    <m/>
    <m/>
    <m/>
    <m/>
    <m/>
    <m/>
    <m/>
    <m/>
    <m/>
    <m/>
    <m/>
    <m/>
    <m/>
    <n v="0"/>
    <n v="0"/>
  </r>
  <r>
    <n v="1950"/>
    <x v="0"/>
    <s v="2016/6276"/>
    <s v="Garage at, 2a Amies Street (Rear of 2-14 &amp; 28-36)"/>
    <m/>
    <n v="527686"/>
    <n v="175796"/>
    <x v="9"/>
    <d v="2019-06-03T00:00:00"/>
    <d v="2019-11-05T00:00:00"/>
    <n v="0"/>
    <n v="1"/>
    <n v="1"/>
    <n v="1"/>
    <n v="1"/>
    <x v="0"/>
    <s v="Alterations including the erection of a hip-to-gable side roof extension; dormer extension to main rear roof (with french doors and safety railings); and internal alterations in connection with creation of 1 x 1-bedroom flat."/>
    <s v="PF"/>
    <d v="2016-11-04T00:00:00"/>
    <d v="2017-01-24T00:00:00"/>
    <x v="0"/>
    <s v="Nil"/>
    <m/>
    <s v="BF"/>
    <s v="MIX"/>
    <x v="0"/>
    <x v="5"/>
    <n v="8.0000003799796104E-3"/>
    <d v="2019-06-03T00:00:00"/>
    <x v="1"/>
    <d v="2019-11-05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2088"/>
    <x v="0"/>
    <s v="2017/3823"/>
    <s v="94-94a Longley Road"/>
    <s v="Block A"/>
    <n v="527545"/>
    <n v="170687"/>
    <x v="10"/>
    <d v="2018-09-04T00:00:00"/>
    <d v="2019-09-17T00:00:00"/>
    <n v="1"/>
    <n v="5"/>
    <n v="4"/>
    <n v="9"/>
    <n v="8"/>
    <x v="0"/>
    <s v="Demolition of existing buildings and erection of two residential buildings:- Block A (front) amended/reduced 02.10.2017 to comprise 5 x 2 bedroom flats (with balconies/terraces on upper floors) ; Block B (rear) amended/reduced 02.10.2017 to comprise 3 x 2 bedroom flats and 1 x 1 bedroom flat (with first floor balconies); associated landscaping/bins and cycle storage.."/>
    <s v="PF"/>
    <d v="2017-07-11T00:00:00"/>
    <d v="2017-11-24T00:00:00"/>
    <x v="0"/>
    <s v="Nil"/>
    <m/>
    <s v="BF"/>
    <s v="NB"/>
    <x v="0"/>
    <x v="5"/>
    <n v="3.9000000804662698E-2"/>
    <d v="2018-09-04T00:00:00"/>
    <x v="0"/>
    <d v="2019-09-17T00:00:00"/>
    <x v="0"/>
    <s v="M"/>
    <m/>
    <m/>
    <n v="0"/>
    <n v="0"/>
    <n v="0"/>
    <n v="0"/>
    <n v="0"/>
    <n v="0"/>
    <n v="5"/>
    <n v="-1"/>
    <n v="0"/>
    <n v="0"/>
    <n v="0"/>
    <n v="0"/>
    <n v="0"/>
    <n v="5"/>
    <n v="0"/>
    <n v="0"/>
    <n v="0"/>
    <n v="0"/>
    <n v="0"/>
    <n v="0"/>
    <n v="0"/>
    <n v="-1"/>
    <n v="0"/>
    <n v="0"/>
    <n v="0"/>
    <n v="0"/>
    <n v="0"/>
    <n v="0"/>
    <n v="0"/>
    <n v="0"/>
    <n v="0"/>
    <n v="0"/>
    <x v="0"/>
    <x v="0"/>
    <x v="0"/>
    <x v="0"/>
    <x v="0"/>
    <m/>
    <x v="0"/>
    <x v="0"/>
    <n v="1"/>
    <n v="4"/>
    <m/>
    <m/>
    <m/>
    <m/>
    <m/>
    <m/>
    <m/>
    <m/>
    <m/>
    <m/>
    <m/>
    <m/>
    <m/>
    <m/>
    <m/>
    <m/>
    <m/>
    <m/>
    <m/>
    <m/>
    <n v="0"/>
    <n v="0"/>
  </r>
  <r>
    <n v="2088"/>
    <x v="0"/>
    <s v="2017/3823"/>
    <s v="94-94a Longley Road"/>
    <s v="Block B"/>
    <n v="527545"/>
    <n v="170687"/>
    <x v="10"/>
    <d v="2018-09-04T00:00:00"/>
    <d v="2019-09-17T00:00:00"/>
    <n v="0"/>
    <n v="4"/>
    <n v="4"/>
    <n v="9"/>
    <n v="8"/>
    <x v="0"/>
    <s v="Demolition of existing buildings and erection of two residential buildings:- Block A (front) amended/reduced 02.10.2017 to comprise 5 x 2 bedroom flats (with balconies/terraces on upper floors) ; Block B (rear) amended/reduced 02.10.2017 to comprise 3 x 2 bedroom flats and 1 x 1 bedroom flat (with first floor balconies); associated landscaping/bins and cycle storage.."/>
    <s v="PF"/>
    <d v="2017-07-11T00:00:00"/>
    <d v="2017-11-24T00:00:00"/>
    <x v="0"/>
    <s v="Nil"/>
    <m/>
    <s v="BF"/>
    <s v="NB"/>
    <x v="0"/>
    <x v="5"/>
    <n v="3.0999999493360499E-2"/>
    <d v="2018-09-04T00:00:00"/>
    <x v="0"/>
    <d v="2019-09-17T00:00:00"/>
    <x v="0"/>
    <s v="M"/>
    <m/>
    <m/>
    <n v="0"/>
    <n v="0"/>
    <n v="0"/>
    <n v="0"/>
    <n v="0"/>
    <n v="1"/>
    <n v="3"/>
    <n v="0"/>
    <n v="0"/>
    <n v="0"/>
    <n v="0"/>
    <n v="0"/>
    <n v="1"/>
    <n v="3"/>
    <n v="0"/>
    <n v="0"/>
    <n v="0"/>
    <n v="0"/>
    <n v="0"/>
    <n v="0"/>
    <n v="0"/>
    <n v="0"/>
    <n v="0"/>
    <n v="0"/>
    <n v="0"/>
    <n v="0"/>
    <n v="0"/>
    <n v="0"/>
    <n v="0"/>
    <n v="0"/>
    <n v="0"/>
    <n v="0"/>
    <x v="0"/>
    <x v="0"/>
    <x v="0"/>
    <x v="0"/>
    <x v="0"/>
    <m/>
    <x v="0"/>
    <x v="0"/>
    <n v="1"/>
    <n v="4"/>
    <m/>
    <m/>
    <m/>
    <m/>
    <m/>
    <m/>
    <m/>
    <m/>
    <m/>
    <m/>
    <m/>
    <m/>
    <m/>
    <m/>
    <m/>
    <m/>
    <m/>
    <m/>
    <m/>
    <m/>
    <n v="0"/>
    <n v="0"/>
  </r>
  <r>
    <n v="2258"/>
    <x v="0"/>
    <s v="2017/0437"/>
    <s v="Land rear of 39, Himley Road (39b)"/>
    <m/>
    <n v="527574"/>
    <n v="171046"/>
    <x v="10"/>
    <d v="2019-05-27T00:00:00"/>
    <d v="2019-10-31T00:00:00"/>
    <n v="0"/>
    <n v="1"/>
    <n v="1"/>
    <n v="1"/>
    <n v="1"/>
    <x v="0"/>
    <s v="Demolition of existing office building and erection of a two-storey building to provide 1x1 bedroom flat."/>
    <s v="PF"/>
    <d v="2017-01-25T00:00:00"/>
    <d v="2017-04-06T00:00:00"/>
    <x v="0"/>
    <s v="Nil"/>
    <m/>
    <s v="BF"/>
    <s v="COU"/>
    <x v="0"/>
    <x v="6"/>
    <n v="6.0000000521540598E-3"/>
    <d v="2019-05-27T00:00:00"/>
    <x v="1"/>
    <d v="2019-10-31T00:00:00"/>
    <x v="0"/>
    <s v="M"/>
    <m/>
    <m/>
    <n v="0"/>
    <n v="0"/>
    <n v="0"/>
    <n v="0"/>
    <n v="0"/>
    <n v="1"/>
    <n v="0"/>
    <n v="0"/>
    <n v="0"/>
    <n v="0"/>
    <n v="0"/>
    <n v="0"/>
    <n v="0"/>
    <n v="0"/>
    <n v="0"/>
    <n v="0"/>
    <n v="0"/>
    <n v="0"/>
    <n v="0"/>
    <n v="1"/>
    <n v="0"/>
    <n v="0"/>
    <n v="0"/>
    <n v="0"/>
    <n v="0"/>
    <n v="0"/>
    <n v="0"/>
    <n v="0"/>
    <n v="0"/>
    <n v="0"/>
    <n v="0"/>
    <n v="0"/>
    <x v="0"/>
    <x v="0"/>
    <x v="0"/>
    <x v="0"/>
    <x v="0"/>
    <m/>
    <x v="0"/>
    <x v="0"/>
    <n v="12"/>
    <n v="1"/>
    <m/>
    <m/>
    <m/>
    <m/>
    <m/>
    <m/>
    <m/>
    <m/>
    <m/>
    <m/>
    <m/>
    <m/>
    <m/>
    <m/>
    <m/>
    <m/>
    <m/>
    <m/>
    <m/>
    <m/>
    <n v="0"/>
    <n v="0"/>
  </r>
  <r>
    <n v="2566"/>
    <x v="0"/>
    <s v="2017/5336"/>
    <s v="Upper floors, 33-37 St Johns Hill (Flats 1-10)"/>
    <m/>
    <n v="527216"/>
    <n v="175354"/>
    <x v="4"/>
    <d v="2019-06-01T00:00:00"/>
    <d v="2019-09-05T00:00:00"/>
    <n v="0"/>
    <n v="2"/>
    <n v="2"/>
    <n v="2"/>
    <n v="2"/>
    <x v="0"/>
    <s v="Alterations including change of use of the commercial tenancy at 35 St Johns Hill from Sui Generis to D1 involving alterations to shop front; Change of use of the rear part of the site from D1/A2 to C3; Erection of single-storey rear extension to provide 2 x 2 bedroom units; provision of cycle and bin storage."/>
    <s v="PF"/>
    <d v="2017-11-03T00:00:00"/>
    <d v="2018-02-16T00:00:00"/>
    <x v="0"/>
    <s v="Nil"/>
    <m/>
    <s v="BF"/>
    <s v="MIX"/>
    <x v="0"/>
    <x v="5"/>
    <n v="7.0000002160668399E-3"/>
    <d v="2019-06-01T00:00:00"/>
    <x v="1"/>
    <d v="2019-09-05T00:00:00"/>
    <x v="0"/>
    <s v="M"/>
    <m/>
    <m/>
    <n v="0"/>
    <n v="0"/>
    <n v="0"/>
    <n v="0"/>
    <n v="0"/>
    <n v="0"/>
    <n v="2"/>
    <n v="0"/>
    <n v="0"/>
    <n v="0"/>
    <n v="0"/>
    <n v="0"/>
    <n v="0"/>
    <n v="2"/>
    <n v="0"/>
    <n v="0"/>
    <n v="0"/>
    <n v="0"/>
    <n v="0"/>
    <n v="0"/>
    <n v="0"/>
    <n v="0"/>
    <n v="0"/>
    <n v="0"/>
    <n v="0"/>
    <n v="0"/>
    <n v="0"/>
    <n v="0"/>
    <n v="0"/>
    <n v="0"/>
    <n v="0"/>
    <n v="0"/>
    <x v="1"/>
    <x v="0"/>
    <x v="0"/>
    <x v="0"/>
    <x v="0"/>
    <m/>
    <x v="0"/>
    <x v="0"/>
    <n v="12"/>
    <n v="2"/>
    <m/>
    <m/>
    <m/>
    <m/>
    <m/>
    <m/>
    <m/>
    <m/>
    <m/>
    <m/>
    <m/>
    <m/>
    <m/>
    <m/>
    <m/>
    <m/>
    <m/>
    <m/>
    <m/>
    <m/>
    <n v="0"/>
    <n v="0"/>
  </r>
  <r>
    <n v="2945"/>
    <x v="0"/>
    <s v="2019/0545"/>
    <s v="59 Battersea Bridge Road"/>
    <m/>
    <n v="527213"/>
    <n v="177069"/>
    <x v="11"/>
    <d v="2019-08-12T00:00:00"/>
    <d v="2020-02-07T00:00:00"/>
    <n v="0"/>
    <n v="1"/>
    <n v="1"/>
    <n v="1"/>
    <n v="1"/>
    <x v="0"/>
    <s v="Alterations including erection of a rear extension and formation of terraces at third floor to create a 1 x 1 bedroom flat. Amendment to planning permission ref. 2018/3186 to provide an additonal terrace area."/>
    <s v="PF"/>
    <d v="2019-02-08T00:00:00"/>
    <d v="2019-04-05T00:00:00"/>
    <x v="1"/>
    <s v="Nil"/>
    <m/>
    <s v="BF"/>
    <s v="EXT"/>
    <x v="0"/>
    <x v="3"/>
    <n v="2.0000000949949E-3"/>
    <d v="2019-08-12T00:00:00"/>
    <x v="1"/>
    <d v="2020-02-07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2946"/>
    <x v="0"/>
    <s v="2017/6357"/>
    <s v="Putney Evangelical Church, Sefton Street"/>
    <m/>
    <n v="523254"/>
    <n v="176072"/>
    <x v="0"/>
    <d v="2019-06-01T00:00:00"/>
    <d v="2020-03-31T00:00:00"/>
    <n v="0"/>
    <n v="2"/>
    <n v="2"/>
    <n v="2"/>
    <n v="2"/>
    <x v="0"/>
    <s v="Demolition of existing church and erection of 2 x two storey (plus roof) 4-bedroom houses with associated landscape and boundary treatment."/>
    <s v="RP"/>
    <d v="2017-12-07T00:00:00"/>
    <d v="2018-06-27T00:00:00"/>
    <x v="0"/>
    <s v="APG"/>
    <d v="2019-01-22T00:00:00"/>
    <s v="BF"/>
    <s v="NB"/>
    <x v="0"/>
    <x v="5"/>
    <n v="2.0999999716877899E-2"/>
    <d v="2019-06-01T00:00:00"/>
    <x v="1"/>
    <d v="2020-03-31T00:00:00"/>
    <x v="0"/>
    <s v="M"/>
    <m/>
    <m/>
    <n v="0"/>
    <n v="0"/>
    <n v="0"/>
    <n v="0"/>
    <n v="0"/>
    <n v="0"/>
    <n v="0"/>
    <n v="0"/>
    <n v="2"/>
    <n v="0"/>
    <n v="0"/>
    <n v="0"/>
    <n v="0"/>
    <n v="0"/>
    <n v="0"/>
    <n v="0"/>
    <n v="0"/>
    <n v="0"/>
    <n v="0"/>
    <n v="0"/>
    <n v="0"/>
    <n v="0"/>
    <n v="2"/>
    <n v="0"/>
    <n v="0"/>
    <n v="0"/>
    <n v="0"/>
    <n v="0"/>
    <n v="0"/>
    <n v="0"/>
    <n v="0"/>
    <n v="0"/>
    <x v="0"/>
    <x v="0"/>
    <x v="0"/>
    <x v="0"/>
    <x v="0"/>
    <m/>
    <x v="0"/>
    <x v="0"/>
    <n v="1"/>
    <n v="2"/>
    <m/>
    <m/>
    <m/>
    <m/>
    <m/>
    <m/>
    <m/>
    <m/>
    <m/>
    <m/>
    <m/>
    <m/>
    <m/>
    <m/>
    <m/>
    <m/>
    <m/>
    <m/>
    <m/>
    <m/>
    <n v="0"/>
    <n v="0"/>
  </r>
  <r>
    <n v="3266"/>
    <x v="0"/>
    <s v="2015/3161"/>
    <s v="526 Garratt Lane"/>
    <m/>
    <n v="526086"/>
    <n v="172456"/>
    <x v="8"/>
    <d v="2018-03-31T00:00:00"/>
    <d v="2019-10-21T00:00:00"/>
    <n v="0"/>
    <n v="8"/>
    <n v="8"/>
    <n v="8"/>
    <n v="8"/>
    <x v="0"/>
    <s v="Demolition of existing buildings and erection of three-storey building to provide 8 flats, with first and second level terraces and communal garden."/>
    <s v="PF"/>
    <d v="2015-06-15T00:00:00"/>
    <d v="2015-09-17T00:00:00"/>
    <x v="0"/>
    <s v="Nil"/>
    <m/>
    <s v="BF"/>
    <s v="NB"/>
    <x v="0"/>
    <x v="5"/>
    <n v="2.8000000864267301E-2"/>
    <d v="2018-03-31T00:00:00"/>
    <x v="0"/>
    <d v="2019-10-21T00:00:00"/>
    <x v="0"/>
    <s v="M"/>
    <m/>
    <m/>
    <n v="8"/>
    <n v="0"/>
    <n v="0"/>
    <n v="0"/>
    <n v="0"/>
    <n v="4"/>
    <n v="3"/>
    <n v="1"/>
    <n v="0"/>
    <n v="0"/>
    <n v="0"/>
    <n v="0"/>
    <n v="4"/>
    <n v="3"/>
    <n v="1"/>
    <n v="0"/>
    <n v="0"/>
    <n v="0"/>
    <n v="0"/>
    <n v="0"/>
    <n v="0"/>
    <n v="0"/>
    <n v="0"/>
    <n v="0"/>
    <n v="0"/>
    <n v="0"/>
    <n v="0"/>
    <n v="0"/>
    <n v="0"/>
    <n v="0"/>
    <n v="0"/>
    <n v="0"/>
    <x v="0"/>
    <x v="0"/>
    <x v="0"/>
    <x v="0"/>
    <x v="0"/>
    <m/>
    <x v="0"/>
    <x v="1"/>
    <n v="1"/>
    <n v="8"/>
    <m/>
    <m/>
    <m/>
    <m/>
    <m/>
    <m/>
    <m/>
    <m/>
    <m/>
    <m/>
    <m/>
    <m/>
    <m/>
    <m/>
    <m/>
    <m/>
    <m/>
    <m/>
    <m/>
    <m/>
    <n v="0"/>
    <n v="0"/>
  </r>
  <r>
    <n v="3501"/>
    <x v="0"/>
    <s v="2014/4626"/>
    <s v="208-214 York Road and, 4 Chatfield Road"/>
    <s v="Block B - Constance Court"/>
    <n v="526469"/>
    <n v="175635"/>
    <x v="11"/>
    <d v="2015-09-28T00:00:00"/>
    <d v="2019-09-17T00:00:00"/>
    <n v="0"/>
    <n v="20"/>
    <n v="20"/>
    <n v="51"/>
    <n v="51"/>
    <x v="1"/>
    <s v="Redevelopment of the site incorporating the erection of a part 4/ part 5 storey building fronting York Road, and a 3-5 storey building partially fronting Chatfield Road and extending to part 5/ part 6 storey building to the rear to provide a total of 51 residential units (including balconies and terraces), 362 sqm of retail space (use class A1), 155 sqm of office space (use class B1a); excavation of basement to provide a car park (accessed off Chatfield Road), ancillary works and landscaping."/>
    <s v="PFLA"/>
    <d v="2014-08-11T00:00:00"/>
    <d v="2015-06-24T00:00:00"/>
    <x v="0"/>
    <s v="Nil"/>
    <m/>
    <s v="BF"/>
    <s v="NB"/>
    <x v="1"/>
    <x v="7"/>
    <n v="4.80000004172325E-2"/>
    <d v="2015-09-28T00:00:00"/>
    <x v="0"/>
    <d v="2019-09-17T00:00:00"/>
    <x v="0"/>
    <s v="M"/>
    <s v="10.10"/>
    <m/>
    <n v="29"/>
    <n v="0"/>
    <n v="0"/>
    <n v="0"/>
    <n v="0"/>
    <n v="0"/>
    <n v="18"/>
    <n v="2"/>
    <n v="0"/>
    <n v="0"/>
    <n v="0"/>
    <n v="0"/>
    <n v="0"/>
    <n v="18"/>
    <n v="2"/>
    <n v="0"/>
    <n v="0"/>
    <n v="0"/>
    <n v="0"/>
    <n v="0"/>
    <n v="0"/>
    <n v="0"/>
    <n v="0"/>
    <n v="0"/>
    <n v="0"/>
    <n v="0"/>
    <n v="0"/>
    <n v="0"/>
    <n v="0"/>
    <n v="0"/>
    <n v="0"/>
    <n v="0"/>
    <x v="0"/>
    <x v="0"/>
    <x v="0"/>
    <x v="0"/>
    <x v="0"/>
    <m/>
    <x v="1"/>
    <x v="0"/>
    <n v="1"/>
    <n v="20"/>
    <m/>
    <m/>
    <m/>
    <m/>
    <m/>
    <m/>
    <m/>
    <m/>
    <m/>
    <m/>
    <m/>
    <m/>
    <m/>
    <m/>
    <m/>
    <m/>
    <m/>
    <m/>
    <m/>
    <m/>
    <n v="0"/>
    <n v="0"/>
  </r>
  <r>
    <n v="3514"/>
    <x v="0"/>
    <s v="2015/0591"/>
    <s v="Battersea Gasholder, 101 Prince of Wales Drive"/>
    <s v="Block J"/>
    <n v="528809"/>
    <n v="177181"/>
    <x v="12"/>
    <d v="2016-10-19T00:00:00"/>
    <m/>
    <n v="0"/>
    <n v="43"/>
    <n v="43"/>
    <n v="839"/>
    <n v="839"/>
    <x v="1"/>
    <s v="Redevelopment of the site to provide a mixed-use development comprising 839 residential units, including affordable housing; approximately 5,700sqm of flexible commercial floorspace including retail, financial and professional services, cafe/restaurant, offices, education, community and leisure (A1/A2/A3/B1/D1/D2) uses within buildings ranging from 2 to 26 storeys high; together with landscaped private amenity space and public realm, including publicly accessible routes through the site; an energy centre; basement car parking; basement and ground level cycle parking; refuse storage and servicing; vehicular access and demolition of remaining single-storey structures along the western boundary of the site, excluding the telecommunications equipment._x000d__x000a_An Environmental Statement has been submitted with the application under The Town and Country Planning (Environmental Impact Assessment) Regulations 2011."/>
    <s v="PFLA"/>
    <d v="2015-02-04T00:00:00"/>
    <d v="2015-09-18T00:00:00"/>
    <x v="0"/>
    <s v="Nil"/>
    <m/>
    <s v="BF"/>
    <s v="NB"/>
    <x v="1"/>
    <x v="7"/>
    <n v="8.79999995231628E-2"/>
    <d v="2016-10-19T00:00:00"/>
    <x v="0"/>
    <d v="2019-09-30T00:00:00"/>
    <x v="0"/>
    <s v="M"/>
    <s v="2.1.4"/>
    <m/>
    <n v="43"/>
    <n v="0"/>
    <n v="4"/>
    <n v="0"/>
    <n v="0"/>
    <n v="10"/>
    <n v="25"/>
    <n v="8"/>
    <n v="0"/>
    <n v="0"/>
    <n v="0"/>
    <n v="0"/>
    <n v="10"/>
    <n v="25"/>
    <n v="8"/>
    <n v="0"/>
    <n v="0"/>
    <n v="0"/>
    <n v="0"/>
    <n v="0"/>
    <n v="0"/>
    <n v="0"/>
    <n v="0"/>
    <n v="0"/>
    <n v="0"/>
    <n v="0"/>
    <n v="0"/>
    <n v="0"/>
    <n v="0"/>
    <n v="0"/>
    <n v="0"/>
    <n v="0"/>
    <x v="0"/>
    <x v="1"/>
    <x v="0"/>
    <x v="0"/>
    <x v="0"/>
    <m/>
    <x v="0"/>
    <x v="0"/>
    <n v="1"/>
    <n v="43"/>
    <m/>
    <m/>
    <m/>
    <m/>
    <m/>
    <m/>
    <m/>
    <m/>
    <m/>
    <m/>
    <m/>
    <m/>
    <m/>
    <m/>
    <m/>
    <m/>
    <m/>
    <m/>
    <m/>
    <m/>
    <n v="0"/>
    <n v="0"/>
  </r>
  <r>
    <n v="3514"/>
    <x v="0"/>
    <s v="2015/0591"/>
    <s v="Battersea Gasholder, 101 Prince of Wales Drive"/>
    <s v="Block J"/>
    <n v="528809"/>
    <n v="177181"/>
    <x v="12"/>
    <d v="2016-10-19T00:00:00"/>
    <m/>
    <n v="0"/>
    <n v="15"/>
    <n v="15"/>
    <n v="839"/>
    <n v="839"/>
    <x v="1"/>
    <s v="Redevelopment of the site to provide a mixed-use development comprising 839 residential units, including affordable housing; approximately 5,700sqm of flexible commercial floorspace including retail, financial and professional services, cafe/restaurant, offices, education, community and leisure (A1/A2/A3/B1/D1/D2) uses within buildings ranging from 2 to 26 storeys high; together with landscaped private amenity space and public realm, including publicly accessible routes through the site; an energy centre; basement car parking; basement and ground level cycle parking; refuse storage and servicing; vehicular access and demolition of remaining single-storey structures along the western boundary of the site, excluding the telecommunications equipment._x000d__x000a_An Environmental Statement has been submitted with the application under The Town and Country Planning (Environmental Impact Assessment) Regulations 2011."/>
    <s v="PFLA"/>
    <d v="2015-02-04T00:00:00"/>
    <d v="2015-09-18T00:00:00"/>
    <x v="0"/>
    <s v="Nil"/>
    <m/>
    <s v="BF"/>
    <s v="NB"/>
    <x v="1"/>
    <x v="7"/>
    <n v="2.9999999329447701E-2"/>
    <d v="2016-10-19T00:00:00"/>
    <x v="0"/>
    <d v="2019-09-30T00:00:00"/>
    <x v="1"/>
    <s v="ISO"/>
    <s v="2.1.4"/>
    <m/>
    <n v="15"/>
    <n v="0"/>
    <n v="2"/>
    <n v="0"/>
    <n v="0"/>
    <n v="6"/>
    <n v="9"/>
    <n v="0"/>
    <n v="0"/>
    <n v="0"/>
    <n v="0"/>
    <n v="0"/>
    <n v="6"/>
    <n v="9"/>
    <n v="0"/>
    <n v="0"/>
    <n v="0"/>
    <n v="0"/>
    <n v="0"/>
    <n v="0"/>
    <n v="0"/>
    <n v="0"/>
    <n v="0"/>
    <n v="0"/>
    <n v="0"/>
    <n v="0"/>
    <n v="0"/>
    <n v="0"/>
    <n v="0"/>
    <n v="0"/>
    <n v="0"/>
    <n v="0"/>
    <x v="0"/>
    <x v="1"/>
    <x v="0"/>
    <x v="0"/>
    <x v="0"/>
    <m/>
    <x v="0"/>
    <x v="0"/>
    <n v="1"/>
    <n v="15"/>
    <m/>
    <m/>
    <m/>
    <m/>
    <m/>
    <m/>
    <m/>
    <m/>
    <m/>
    <m/>
    <m/>
    <m/>
    <m/>
    <m/>
    <m/>
    <m/>
    <m/>
    <m/>
    <m/>
    <m/>
    <n v="0"/>
    <n v="0"/>
  </r>
  <r>
    <n v="3514"/>
    <x v="0"/>
    <s v="2016/6417"/>
    <s v="Battersea Gasholder, 101 Prince of Wales Drive"/>
    <s v="Block H"/>
    <n v="528809"/>
    <n v="177181"/>
    <x v="12"/>
    <d v="2016-10-19T00:00:00"/>
    <m/>
    <n v="0"/>
    <n v="72"/>
    <n v="72"/>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0.12399999797344199"/>
    <d v="2016-10-19T00:00:00"/>
    <x v="0"/>
    <d v="2020-02-19T00:00:00"/>
    <x v="0"/>
    <s v="M"/>
    <s v="2.1.4"/>
    <m/>
    <n v="72"/>
    <n v="0"/>
    <n v="7"/>
    <n v="0"/>
    <n v="0"/>
    <n v="32"/>
    <n v="34"/>
    <n v="6"/>
    <n v="0"/>
    <n v="0"/>
    <n v="0"/>
    <n v="0"/>
    <n v="32"/>
    <n v="34"/>
    <n v="6"/>
    <n v="0"/>
    <n v="0"/>
    <n v="0"/>
    <n v="0"/>
    <n v="0"/>
    <n v="0"/>
    <n v="0"/>
    <n v="0"/>
    <n v="0"/>
    <n v="0"/>
    <n v="0"/>
    <n v="0"/>
    <n v="0"/>
    <n v="0"/>
    <n v="0"/>
    <n v="0"/>
    <n v="0"/>
    <x v="0"/>
    <x v="1"/>
    <x v="0"/>
    <x v="0"/>
    <x v="0"/>
    <m/>
    <x v="0"/>
    <x v="0"/>
    <n v="1"/>
    <n v="72"/>
    <m/>
    <m/>
    <m/>
    <m/>
    <m/>
    <m/>
    <m/>
    <m/>
    <m/>
    <m/>
    <m/>
    <m/>
    <m/>
    <m/>
    <m/>
    <m/>
    <m/>
    <m/>
    <m/>
    <m/>
    <n v="0"/>
    <n v="0"/>
  </r>
  <r>
    <n v="3514"/>
    <x v="0"/>
    <s v="2016/6417"/>
    <s v="Battersea Gasholder, 101 Prince of Wales Drive"/>
    <s v="Block H"/>
    <n v="528809"/>
    <n v="177181"/>
    <x v="12"/>
    <d v="2016-10-19T00:00:00"/>
    <m/>
    <n v="0"/>
    <n v="22"/>
    <n v="22"/>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3.7999998778104803E-2"/>
    <d v="2016-10-19T00:00:00"/>
    <x v="0"/>
    <d v="2020-01-31T00:00:00"/>
    <x v="1"/>
    <s v="ISO"/>
    <s v="2.1.4"/>
    <m/>
    <n v="22"/>
    <n v="0"/>
    <n v="2"/>
    <n v="0"/>
    <n v="0"/>
    <n v="16"/>
    <n v="6"/>
    <n v="0"/>
    <n v="0"/>
    <n v="0"/>
    <n v="0"/>
    <n v="0"/>
    <n v="16"/>
    <n v="6"/>
    <n v="0"/>
    <n v="0"/>
    <n v="0"/>
    <n v="0"/>
    <n v="0"/>
    <n v="0"/>
    <n v="0"/>
    <n v="0"/>
    <n v="0"/>
    <n v="0"/>
    <n v="0"/>
    <n v="0"/>
    <n v="0"/>
    <n v="0"/>
    <n v="0"/>
    <n v="0"/>
    <n v="0"/>
    <n v="0"/>
    <x v="0"/>
    <x v="1"/>
    <x v="0"/>
    <x v="0"/>
    <x v="0"/>
    <m/>
    <x v="0"/>
    <x v="0"/>
    <n v="1"/>
    <n v="22"/>
    <m/>
    <m/>
    <m/>
    <m/>
    <m/>
    <m/>
    <m/>
    <m/>
    <m/>
    <m/>
    <m/>
    <m/>
    <m/>
    <m/>
    <m/>
    <m/>
    <m/>
    <m/>
    <m/>
    <m/>
    <n v="0"/>
    <n v="0"/>
  </r>
  <r>
    <n v="3514"/>
    <x v="0"/>
    <s v="2017/5595"/>
    <s v="Battersea Gasholder, 101 Prince of Wales Drive"/>
    <s v="Block D"/>
    <n v="528809"/>
    <n v="177181"/>
    <x v="12"/>
    <d v="2016-10-19T00:00:00"/>
    <m/>
    <n v="0"/>
    <n v="85"/>
    <n v="85"/>
    <n v="85"/>
    <n v="85"/>
    <x v="1"/>
    <s v="Alterations to internal layout of one 2-bedroom maisonette on the ground and first floor of Block D to create one 3-bedroom maisonette."/>
    <s v="S96A"/>
    <d v="2017-10-09T00:00:00"/>
    <d v="2017-10-31T00:00:00"/>
    <x v="0"/>
    <s v="Nil"/>
    <m/>
    <s v="BF"/>
    <s v="NB"/>
    <x v="1"/>
    <x v="7"/>
    <n v="0.14699999988079099"/>
    <d v="2016-10-19T00:00:00"/>
    <x v="0"/>
    <d v="2020-02-19T00:00:00"/>
    <x v="0"/>
    <s v="M"/>
    <s v="2.1.4"/>
    <m/>
    <n v="85"/>
    <n v="0"/>
    <n v="9"/>
    <n v="0"/>
    <n v="0"/>
    <n v="27"/>
    <n v="48"/>
    <n v="10"/>
    <n v="0"/>
    <n v="0"/>
    <n v="0"/>
    <n v="0"/>
    <n v="27"/>
    <n v="48"/>
    <n v="10"/>
    <n v="0"/>
    <n v="0"/>
    <n v="0"/>
    <n v="0"/>
    <n v="0"/>
    <n v="0"/>
    <n v="0"/>
    <n v="0"/>
    <n v="0"/>
    <n v="0"/>
    <n v="0"/>
    <n v="0"/>
    <n v="0"/>
    <n v="0"/>
    <n v="0"/>
    <n v="0"/>
    <n v="0"/>
    <x v="0"/>
    <x v="1"/>
    <x v="0"/>
    <x v="0"/>
    <x v="0"/>
    <m/>
    <x v="0"/>
    <x v="0"/>
    <n v="1"/>
    <n v="85"/>
    <m/>
    <m/>
    <m/>
    <m/>
    <m/>
    <m/>
    <m/>
    <m/>
    <m/>
    <m/>
    <m/>
    <m/>
    <m/>
    <m/>
    <m/>
    <m/>
    <m/>
    <m/>
    <m/>
    <m/>
    <n v="0"/>
    <n v="0"/>
  </r>
  <r>
    <n v="3552"/>
    <x v="0"/>
    <s v="2017/6397"/>
    <s v="The Stag PH, 96 Westbridge Road"/>
    <m/>
    <n v="526972"/>
    <n v="176793"/>
    <x v="11"/>
    <d v="2019-08-01T00:00:00"/>
    <d v="2020-03-20T00:00:00"/>
    <n v="0"/>
    <n v="1"/>
    <n v="1"/>
    <n v="1"/>
    <n v="1"/>
    <x v="0"/>
    <s v="Change of use of the upper floor into a three-bedroom flat and creation of a new residential entrance. Ground and basement floors to be retained as a public house."/>
    <s v="RP"/>
    <d v="2017-11-21T00:00:00"/>
    <d v="2018-02-27T00:00:00"/>
    <x v="0"/>
    <s v="APG"/>
    <d v="2018-08-20T00:00:00"/>
    <s v="BF"/>
    <s v="COU"/>
    <x v="0"/>
    <x v="1"/>
    <n v="7.0000002160668399E-3"/>
    <d v="2019-08-01T00:00:00"/>
    <x v="1"/>
    <d v="2020-03-20T00:00:00"/>
    <x v="0"/>
    <s v="M"/>
    <m/>
    <m/>
    <n v="0"/>
    <n v="0"/>
    <n v="0"/>
    <n v="0"/>
    <n v="0"/>
    <n v="0"/>
    <n v="0"/>
    <n v="1"/>
    <n v="0"/>
    <n v="0"/>
    <n v="0"/>
    <n v="0"/>
    <n v="0"/>
    <n v="0"/>
    <n v="1"/>
    <n v="0"/>
    <n v="0"/>
    <n v="0"/>
    <n v="0"/>
    <n v="0"/>
    <n v="0"/>
    <n v="0"/>
    <n v="0"/>
    <n v="0"/>
    <n v="0"/>
    <n v="0"/>
    <n v="0"/>
    <n v="0"/>
    <n v="0"/>
    <n v="0"/>
    <n v="0"/>
    <n v="0"/>
    <x v="0"/>
    <x v="0"/>
    <x v="0"/>
    <x v="0"/>
    <x v="0"/>
    <m/>
    <x v="0"/>
    <x v="0"/>
    <n v="12"/>
    <n v="1"/>
    <m/>
    <m/>
    <m/>
    <m/>
    <m/>
    <m/>
    <m/>
    <m/>
    <m/>
    <m/>
    <m/>
    <m/>
    <m/>
    <m/>
    <m/>
    <m/>
    <m/>
    <m/>
    <m/>
    <m/>
    <n v="0"/>
    <n v="0"/>
  </r>
  <r>
    <n v="3568"/>
    <x v="0"/>
    <s v="2017/3099"/>
    <s v="33 Roedean Crescent"/>
    <m/>
    <n v="521152"/>
    <n v="174359"/>
    <x v="13"/>
    <d v="2018-03-31T00:00:00"/>
    <m/>
    <n v="0"/>
    <n v="1"/>
    <n v="1"/>
    <n v="2"/>
    <n v="1"/>
    <x v="0"/>
    <s v="Demolition of existing building and erection of 2 x 5-bedroom three storey houses (top floor in roof); associated garages, landscaping and parking and alterations to front boundary; (Amended scheme to that granted planning permission dated 28/06/16 ref. 2016/1017 [Demolition of existing house and erection of 2 x three-storey houses plus basement houses with external light-wells and associated landscaping and car parking. Alterations to front boundary) to omit basements and lightwells and amend site layout."/>
    <s v="PF"/>
    <d v="2017-06-19T00:00:00"/>
    <d v="2017-10-19T00:00:00"/>
    <x v="0"/>
    <s v="Nil"/>
    <m/>
    <s v="Gdn"/>
    <s v="NB"/>
    <x v="0"/>
    <x v="5"/>
    <n v="6.9000000000000006E-2"/>
    <d v="2018-03-31T00:00:00"/>
    <x v="0"/>
    <d v="2019-05-24T00:00:00"/>
    <x v="0"/>
    <s v="M"/>
    <m/>
    <m/>
    <n v="0"/>
    <n v="1"/>
    <n v="0"/>
    <n v="0"/>
    <n v="0"/>
    <n v="0"/>
    <n v="0"/>
    <n v="0"/>
    <n v="0"/>
    <n v="1"/>
    <n v="0"/>
    <n v="0"/>
    <n v="0"/>
    <n v="0"/>
    <n v="0"/>
    <n v="0"/>
    <n v="0"/>
    <n v="0"/>
    <n v="0"/>
    <n v="0"/>
    <n v="0"/>
    <n v="0"/>
    <n v="0"/>
    <n v="1"/>
    <n v="0"/>
    <n v="0"/>
    <n v="0"/>
    <n v="0"/>
    <n v="0"/>
    <n v="0"/>
    <n v="0"/>
    <n v="0"/>
    <x v="0"/>
    <x v="0"/>
    <x v="0"/>
    <x v="0"/>
    <x v="0"/>
    <m/>
    <x v="0"/>
    <x v="0"/>
    <n v="1"/>
    <n v="1"/>
    <m/>
    <m/>
    <m/>
    <m/>
    <m/>
    <m/>
    <m/>
    <m/>
    <m/>
    <m/>
    <m/>
    <m/>
    <m/>
    <m/>
    <m/>
    <m/>
    <m/>
    <m/>
    <m/>
    <m/>
    <n v="0"/>
    <n v="0"/>
  </r>
  <r>
    <n v="3582"/>
    <x v="0"/>
    <s v="2018/4499"/>
    <s v="22 Fernlea Road"/>
    <m/>
    <n v="528790"/>
    <n v="173129"/>
    <x v="6"/>
    <d v="2018-11-14T00:00:00"/>
    <d v="2019-11-02T00:00:00"/>
    <n v="0"/>
    <n v="1"/>
    <n v="1"/>
    <n v="1"/>
    <n v="1"/>
    <x v="0"/>
    <s v="Enlargement of front lightwell and conversion of a basement into a self contained one-bedroom flat."/>
    <s v="PF"/>
    <d v="2018-09-19T00:00:00"/>
    <d v="2018-11-14T00:00:00"/>
    <x v="0"/>
    <s v="Nil"/>
    <m/>
    <s v="BF"/>
    <s v="EXT"/>
    <x v="0"/>
    <x v="3"/>
    <n v="4.0000001899898104E-3"/>
    <d v="2018-11-14T00:00:00"/>
    <x v="0"/>
    <d v="2019-11-02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3588"/>
    <x v="0"/>
    <s v="2017/6631"/>
    <s v="83 Lavender Hill"/>
    <m/>
    <n v="528283"/>
    <n v="175682"/>
    <x v="9"/>
    <d v="2018-05-21T00:00:00"/>
    <d v="2019-11-26T00:00:00"/>
    <n v="1"/>
    <n v="0"/>
    <n v="-1"/>
    <n v="0"/>
    <n v="-1"/>
    <x v="0"/>
    <s v="Erection of a mansard roof extension to main rear roof and extensions at first, second and third floors and change of use of the property into 8-bedroom HMO (from Class C3 to Class Sui Genres)."/>
    <s v="PF"/>
    <d v="2017-12-01T00:00:00"/>
    <d v="2018-04-27T00:00:00"/>
    <x v="0"/>
    <s v="Nil"/>
    <m/>
    <s v="BF"/>
    <s v="MIX"/>
    <x v="0"/>
    <x v="0"/>
    <n v="8.0000003799796104E-3"/>
    <d v="2018-05-21T00:00:00"/>
    <x v="0"/>
    <d v="2019-11-26T00:00:00"/>
    <x v="0"/>
    <s v="M"/>
    <m/>
    <m/>
    <n v="0"/>
    <n v="0"/>
    <n v="0"/>
    <n v="0"/>
    <n v="0"/>
    <n v="0"/>
    <n v="0"/>
    <n v="0"/>
    <n v="-1"/>
    <n v="0"/>
    <n v="0"/>
    <n v="0"/>
    <n v="0"/>
    <n v="0"/>
    <n v="0"/>
    <n v="-1"/>
    <n v="0"/>
    <n v="0"/>
    <n v="0"/>
    <n v="0"/>
    <n v="0"/>
    <n v="0"/>
    <n v="0"/>
    <n v="0"/>
    <n v="0"/>
    <n v="0"/>
    <n v="0"/>
    <n v="0"/>
    <n v="0"/>
    <n v="0"/>
    <n v="0"/>
    <n v="0"/>
    <x v="0"/>
    <x v="0"/>
    <x v="0"/>
    <x v="0"/>
    <x v="0"/>
    <m/>
    <x v="0"/>
    <x v="0"/>
    <n v="12"/>
    <n v="-1"/>
    <m/>
    <m/>
    <m/>
    <m/>
    <m/>
    <m/>
    <m/>
    <m/>
    <m/>
    <m/>
    <m/>
    <m/>
    <m/>
    <m/>
    <m/>
    <m/>
    <m/>
    <m/>
    <m/>
    <m/>
    <n v="0"/>
    <n v="0"/>
  </r>
  <r>
    <n v="3726"/>
    <x v="0"/>
    <s v="2017/3453"/>
    <s v="51 Lydden Grove"/>
    <m/>
    <n v="525701"/>
    <n v="173658"/>
    <x v="8"/>
    <d v="2018-10-31T00:00:00"/>
    <d v="2020-03-31T00:00:00"/>
    <n v="0"/>
    <n v="1"/>
    <n v="1"/>
    <n v="1"/>
    <n v="1"/>
    <x v="0"/>
    <s v="Erection of a two-storey detached house with associated landscaping and parking."/>
    <s v="PF"/>
    <d v="2017-06-30T00:00:00"/>
    <d v="2018-02-27T00:00:00"/>
    <x v="0"/>
    <s v="Nil"/>
    <m/>
    <s v="BF"/>
    <s v="NB"/>
    <x v="0"/>
    <x v="5"/>
    <n v="1.7000000923872001E-2"/>
    <d v="2018-10-31T00:00:00"/>
    <x v="0"/>
    <d v="2020-03-31T00:00:00"/>
    <x v="0"/>
    <s v="M"/>
    <m/>
    <m/>
    <n v="0"/>
    <n v="0"/>
    <n v="0"/>
    <n v="0"/>
    <n v="0"/>
    <n v="0"/>
    <n v="0"/>
    <n v="1"/>
    <n v="0"/>
    <n v="0"/>
    <n v="0"/>
    <n v="0"/>
    <n v="0"/>
    <n v="0"/>
    <n v="0"/>
    <n v="0"/>
    <n v="0"/>
    <n v="0"/>
    <n v="0"/>
    <n v="0"/>
    <n v="0"/>
    <n v="1"/>
    <n v="0"/>
    <n v="0"/>
    <n v="0"/>
    <n v="0"/>
    <n v="0"/>
    <n v="0"/>
    <n v="0"/>
    <n v="0"/>
    <n v="0"/>
    <n v="0"/>
    <x v="0"/>
    <x v="0"/>
    <x v="0"/>
    <x v="0"/>
    <x v="0"/>
    <m/>
    <x v="0"/>
    <x v="1"/>
    <n v="1"/>
    <n v="1"/>
    <m/>
    <m/>
    <m/>
    <m/>
    <m/>
    <m/>
    <m/>
    <m/>
    <m/>
    <m/>
    <m/>
    <m/>
    <m/>
    <m/>
    <m/>
    <m/>
    <m/>
    <m/>
    <m/>
    <m/>
    <n v="0"/>
    <n v="0"/>
  </r>
  <r>
    <n v="3804"/>
    <x v="0"/>
    <s v="2018/4535"/>
    <s v="Cube Apartments, 119 Chatham Road"/>
    <m/>
    <n v="527688"/>
    <n v="174538"/>
    <x v="4"/>
    <d v="2019-04-01T00:00:00"/>
    <d v="2020-02-11T00:00:00"/>
    <n v="0"/>
    <n v="2"/>
    <n v="2"/>
    <n v="2"/>
    <n v="2"/>
    <x v="0"/>
    <s v="Erection of a new floor of accommodation to form 1 x 2-bed flat and 1 x 1-bed flat at roof level."/>
    <s v="PF"/>
    <d v="2018-09-21T00:00:00"/>
    <d v="2018-12-18T00:00:00"/>
    <x v="0"/>
    <s v="Nil"/>
    <m/>
    <s v="BF"/>
    <s v="EXT"/>
    <x v="0"/>
    <x v="3"/>
    <n v="9.9999997764825804E-3"/>
    <d v="2019-04-01T00:00:00"/>
    <x v="1"/>
    <d v="2020-02-11T00:00:00"/>
    <x v="0"/>
    <s v="M"/>
    <m/>
    <m/>
    <n v="0"/>
    <n v="0"/>
    <n v="0"/>
    <n v="0"/>
    <n v="0"/>
    <n v="1"/>
    <n v="1"/>
    <n v="0"/>
    <n v="0"/>
    <n v="0"/>
    <n v="0"/>
    <n v="0"/>
    <n v="1"/>
    <n v="1"/>
    <n v="0"/>
    <n v="0"/>
    <n v="0"/>
    <n v="0"/>
    <n v="0"/>
    <n v="0"/>
    <n v="0"/>
    <n v="0"/>
    <n v="0"/>
    <n v="0"/>
    <n v="0"/>
    <n v="0"/>
    <n v="0"/>
    <n v="0"/>
    <n v="0"/>
    <n v="0"/>
    <n v="0"/>
    <n v="0"/>
    <x v="0"/>
    <x v="0"/>
    <x v="0"/>
    <x v="0"/>
    <x v="0"/>
    <m/>
    <x v="0"/>
    <x v="0"/>
    <n v="12"/>
    <n v="2"/>
    <m/>
    <m/>
    <m/>
    <m/>
    <m/>
    <m/>
    <m/>
    <m/>
    <m/>
    <m/>
    <m/>
    <m/>
    <m/>
    <m/>
    <m/>
    <m/>
    <m/>
    <m/>
    <m/>
    <m/>
    <n v="0"/>
    <n v="0"/>
  </r>
  <r>
    <n v="4167"/>
    <x v="0"/>
    <s v="2018/1199"/>
    <s v="Park House, 233 Roehampton Lane"/>
    <s v="CoU from B1"/>
    <n v="522501"/>
    <n v="173758"/>
    <x v="13"/>
    <d v="2018-03-31T00:00:00"/>
    <d v="2019-05-01T00:00:00"/>
    <n v="0"/>
    <n v="2"/>
    <n v="2"/>
    <n v="4"/>
    <n v="4"/>
    <x v="0"/>
    <s v="Alterations including erection of extension at ground floor level; rooflights and west facing dormer in connection with change of use from clinic (Class D1) and office (Class B1) to residential (Class C3) to create 4 x 2-bedroom flats.."/>
    <s v="PF"/>
    <d v="2018-03-22T00:00:00"/>
    <d v="2018-06-27T00:00:00"/>
    <x v="0"/>
    <s v="Nil"/>
    <m/>
    <s v="BF"/>
    <s v="MIX"/>
    <x v="0"/>
    <x v="6"/>
    <n v="1.9999999552965199E-2"/>
    <d v="2018-03-31T00:00:00"/>
    <x v="0"/>
    <d v="2019-05-01T00:00:00"/>
    <x v="0"/>
    <s v="M"/>
    <m/>
    <m/>
    <n v="0"/>
    <n v="0"/>
    <n v="0"/>
    <n v="0"/>
    <n v="0"/>
    <n v="0"/>
    <n v="2"/>
    <n v="0"/>
    <n v="0"/>
    <n v="0"/>
    <n v="0"/>
    <n v="0"/>
    <n v="0"/>
    <n v="2"/>
    <n v="0"/>
    <n v="0"/>
    <n v="0"/>
    <n v="0"/>
    <n v="0"/>
    <n v="0"/>
    <n v="0"/>
    <n v="0"/>
    <n v="0"/>
    <n v="0"/>
    <n v="0"/>
    <n v="0"/>
    <n v="0"/>
    <n v="0"/>
    <n v="0"/>
    <n v="0"/>
    <n v="0"/>
    <n v="0"/>
    <x v="0"/>
    <x v="0"/>
    <x v="0"/>
    <x v="0"/>
    <x v="0"/>
    <m/>
    <x v="0"/>
    <x v="0"/>
    <n v="12"/>
    <n v="2"/>
    <m/>
    <m/>
    <m/>
    <m/>
    <m/>
    <m/>
    <m/>
    <m/>
    <m/>
    <m/>
    <m/>
    <m/>
    <m/>
    <m/>
    <m/>
    <m/>
    <m/>
    <m/>
    <m/>
    <m/>
    <n v="0"/>
    <n v="0"/>
  </r>
  <r>
    <n v="4167"/>
    <x v="0"/>
    <s v="2018/1199"/>
    <s v="Park House, 233 Roehampton Lane"/>
    <s v="CoU from D1"/>
    <n v="522501"/>
    <n v="173758"/>
    <x v="13"/>
    <d v="2018-03-31T00:00:00"/>
    <d v="2019-05-01T00:00:00"/>
    <n v="0"/>
    <n v="1"/>
    <n v="1"/>
    <n v="4"/>
    <n v="4"/>
    <x v="0"/>
    <s v="Alterations including erection of extension at ground floor level; rooflights and west facing dormer in connection with change of use from clinic (Class D1) and office (Class B1) to residential (Class C3) to create 4 x 2-bedroom flats.."/>
    <s v="PF"/>
    <d v="2018-03-22T00:00:00"/>
    <d v="2018-06-27T00:00:00"/>
    <x v="0"/>
    <s v="Nil"/>
    <m/>
    <s v="BF"/>
    <s v="MIX"/>
    <x v="0"/>
    <x v="1"/>
    <n v="8.9999996125698107E-3"/>
    <d v="2018-03-31T00:00:00"/>
    <x v="0"/>
    <d v="2019-05-01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4167"/>
    <x v="0"/>
    <s v="2018/1199"/>
    <s v="Park House, 233 Roehampton Lane"/>
    <s v="New build - extnesion to ground floor"/>
    <n v="522501"/>
    <n v="173758"/>
    <x v="13"/>
    <d v="2018-03-31T00:00:00"/>
    <d v="2019-05-01T00:00:00"/>
    <n v="0"/>
    <n v="1"/>
    <n v="1"/>
    <n v="4"/>
    <n v="4"/>
    <x v="0"/>
    <s v="Alterations including erection of extension at ground floor level; rooflights and west facing dormer in connection with change of use from clinic (Class D1) and office (Class B1) to residential (Class C3) to create 4 x 2-bedroom flats.."/>
    <s v="PF"/>
    <d v="2018-03-22T00:00:00"/>
    <d v="2018-06-27T00:00:00"/>
    <x v="0"/>
    <s v="Nil"/>
    <m/>
    <s v="BF"/>
    <s v="MIX"/>
    <x v="0"/>
    <x v="5"/>
    <n v="8.9999996125698107E-3"/>
    <d v="2018-03-31T00:00:00"/>
    <x v="0"/>
    <d v="2019-05-01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4209"/>
    <x v="0"/>
    <s v="2018/3735"/>
    <s v="64 Northcote Road"/>
    <m/>
    <n v="527484"/>
    <n v="174871"/>
    <x v="4"/>
    <d v="2019-03-31T00:00:00"/>
    <d v="2020-03-13T00:00:00"/>
    <n v="0"/>
    <n v="1"/>
    <n v="1"/>
    <n v="1"/>
    <n v="1"/>
    <x v="0"/>
    <s v="Alterations including erection of rear mansard roof extension and side dormer extension to main roof; Erection of two-storey rear and single-storey side extensions at first floor level in connection with creation of additional 2-bedroom flat."/>
    <s v="PF"/>
    <d v="2018-08-09T00:00:00"/>
    <d v="2018-11-02T00:00:00"/>
    <x v="0"/>
    <s v="Nil"/>
    <m/>
    <s v="BF"/>
    <s v="EXT"/>
    <x v="0"/>
    <x v="3"/>
    <n v="4.0000001899898104E-3"/>
    <d v="2019-03-31T00:00:00"/>
    <x v="0"/>
    <d v="2020-03-13T00:00:00"/>
    <x v="0"/>
    <s v="M"/>
    <m/>
    <m/>
    <n v="0"/>
    <n v="0"/>
    <n v="0"/>
    <n v="0"/>
    <n v="0"/>
    <n v="0"/>
    <n v="1"/>
    <n v="0"/>
    <n v="0"/>
    <n v="0"/>
    <n v="0"/>
    <n v="0"/>
    <n v="0"/>
    <n v="1"/>
    <n v="0"/>
    <n v="0"/>
    <n v="0"/>
    <n v="0"/>
    <n v="0"/>
    <n v="0"/>
    <n v="0"/>
    <n v="0"/>
    <n v="0"/>
    <n v="0"/>
    <n v="0"/>
    <n v="0"/>
    <n v="0"/>
    <n v="0"/>
    <n v="0"/>
    <n v="0"/>
    <n v="0"/>
    <n v="0"/>
    <x v="1"/>
    <x v="0"/>
    <x v="0"/>
    <x v="0"/>
    <x v="0"/>
    <m/>
    <x v="0"/>
    <x v="0"/>
    <n v="12"/>
    <n v="1"/>
    <m/>
    <m/>
    <m/>
    <m/>
    <m/>
    <m/>
    <m/>
    <m/>
    <m/>
    <m/>
    <m/>
    <m/>
    <m/>
    <m/>
    <m/>
    <m/>
    <m/>
    <m/>
    <m/>
    <m/>
    <n v="0"/>
    <n v="0"/>
  </r>
  <r>
    <n v="4281"/>
    <x v="0"/>
    <s v="2014/4516"/>
    <s v="Tidbury Court, Stewarts Road"/>
    <m/>
    <n v="529104"/>
    <n v="177095"/>
    <x v="12"/>
    <d v="2017-04-27T00:00:00"/>
    <d v="2019-11-05T00:00:00"/>
    <n v="12"/>
    <n v="22"/>
    <n v="10"/>
    <n v="22"/>
    <n v="10"/>
    <x v="1"/>
    <s v="Demolition of existing buildings and construction of a new 4-storey building to provide 22 flats for affordable rent, including associated landscaping, cycle and refuse stores."/>
    <s v="PF"/>
    <d v="2014-08-21T00:00:00"/>
    <d v="2014-11-10T00:00:00"/>
    <x v="0"/>
    <s v="Nil"/>
    <m/>
    <s v="BF"/>
    <s v="NB"/>
    <x v="1"/>
    <x v="7"/>
    <n v="0.259999990463257"/>
    <d v="2017-04-27T00:00:00"/>
    <x v="0"/>
    <d v="2019-11-05T00:00:00"/>
    <x v="2"/>
    <s v="AC"/>
    <s v="2.1.26"/>
    <m/>
    <n v="22"/>
    <n v="0"/>
    <n v="2"/>
    <n v="0"/>
    <n v="0"/>
    <n v="-2"/>
    <n v="11"/>
    <n v="1"/>
    <n v="0"/>
    <n v="0"/>
    <n v="0"/>
    <n v="0"/>
    <n v="-2"/>
    <n v="11"/>
    <n v="1"/>
    <n v="0"/>
    <n v="0"/>
    <n v="0"/>
    <n v="0"/>
    <n v="0"/>
    <n v="0"/>
    <n v="0"/>
    <n v="0"/>
    <n v="0"/>
    <n v="0"/>
    <n v="0"/>
    <n v="0"/>
    <n v="0"/>
    <n v="0"/>
    <n v="0"/>
    <n v="0"/>
    <n v="0"/>
    <x v="0"/>
    <x v="1"/>
    <x v="0"/>
    <x v="0"/>
    <x v="0"/>
    <m/>
    <x v="0"/>
    <x v="0"/>
    <n v="1"/>
    <n v="10"/>
    <m/>
    <m/>
    <m/>
    <m/>
    <m/>
    <m/>
    <m/>
    <m/>
    <m/>
    <m/>
    <m/>
    <m/>
    <m/>
    <m/>
    <m/>
    <m/>
    <m/>
    <m/>
    <m/>
    <m/>
    <n v="0"/>
    <n v="0"/>
  </r>
  <r>
    <n v="4592"/>
    <x v="0"/>
    <s v="2016/2182"/>
    <s v="Jessica House, Red Lion Square"/>
    <m/>
    <n v="525349"/>
    <n v="174610"/>
    <x v="14"/>
    <d v="2018-03-31T00:00:00"/>
    <d v="2019-11-26T00:00:00"/>
    <n v="0"/>
    <n v="61"/>
    <n v="61"/>
    <n v="61"/>
    <n v="61"/>
    <x v="1"/>
    <s v="Change of use of offices on part of ground, mezzanine and first floor and all other upper levels (2-4) from (Class B1a) to residential (Class C3) to provide 61 residential units."/>
    <s v="PAG"/>
    <d v="2016-05-03T00:00:00"/>
    <d v="2016-06-22T00:00:00"/>
    <x v="0"/>
    <s v="Nil"/>
    <m/>
    <s v="BF"/>
    <s v="COU"/>
    <x v="2"/>
    <x v="7"/>
    <n v="9.4999998807907104E-2"/>
    <d v="2018-03-31T00:00:00"/>
    <x v="0"/>
    <d v="2019-11-26T00:00:00"/>
    <x v="0"/>
    <s v="M"/>
    <m/>
    <m/>
    <n v="0"/>
    <n v="0"/>
    <n v="0"/>
    <n v="0"/>
    <n v="30"/>
    <n v="19"/>
    <n v="12"/>
    <n v="0"/>
    <n v="0"/>
    <n v="0"/>
    <n v="0"/>
    <n v="30"/>
    <n v="19"/>
    <n v="12"/>
    <n v="0"/>
    <n v="0"/>
    <n v="0"/>
    <n v="0"/>
    <n v="0"/>
    <n v="0"/>
    <n v="0"/>
    <n v="0"/>
    <n v="0"/>
    <n v="0"/>
    <n v="0"/>
    <n v="0"/>
    <n v="0"/>
    <n v="0"/>
    <n v="0"/>
    <n v="0"/>
    <n v="0"/>
    <n v="0"/>
    <x v="3"/>
    <x v="0"/>
    <x v="1"/>
    <x v="0"/>
    <x v="0"/>
    <m/>
    <x v="0"/>
    <x v="0"/>
    <n v="12"/>
    <n v="61"/>
    <m/>
    <m/>
    <m/>
    <m/>
    <m/>
    <m/>
    <m/>
    <m/>
    <m/>
    <m/>
    <m/>
    <m/>
    <m/>
    <m/>
    <m/>
    <m/>
    <m/>
    <m/>
    <m/>
    <m/>
    <n v="0"/>
    <n v="0"/>
  </r>
  <r>
    <n v="4592"/>
    <x v="0"/>
    <s v="2018/0751"/>
    <s v="Jessica House, Red Lion Square"/>
    <s v="Northern Building"/>
    <n v="525349"/>
    <n v="174610"/>
    <x v="14"/>
    <d v="2019-03-31T00:00:00"/>
    <d v="2019-11-26T00:00:00"/>
    <n v="0"/>
    <n v="5"/>
    <n v="5"/>
    <n v="9"/>
    <n v="9"/>
    <x v="0"/>
    <s v="Alterations including erection of extensions at third floor levels to northern building and extension at fifth floor level to southern building to provide 9 residential units (4 x 1-bedroom and 5 x 2-bedroom flats) with roof terraces at third and fifth floor levels."/>
    <s v="PF"/>
    <d v="2018-02-23T00:00:00"/>
    <d v="2018-08-23T00:00:00"/>
    <x v="0"/>
    <s v="Nil"/>
    <m/>
    <s v="BF"/>
    <s v="EXT"/>
    <x v="0"/>
    <x v="3"/>
    <n v="1.2000000104308101E-2"/>
    <d v="2019-03-31T00:00:00"/>
    <x v="0"/>
    <d v="2019-11-26T00:00:00"/>
    <x v="0"/>
    <s v="M"/>
    <m/>
    <m/>
    <n v="0"/>
    <n v="0"/>
    <n v="0"/>
    <n v="0"/>
    <n v="0"/>
    <n v="2"/>
    <n v="3"/>
    <n v="0"/>
    <n v="0"/>
    <n v="0"/>
    <n v="0"/>
    <n v="0"/>
    <n v="2"/>
    <n v="3"/>
    <n v="0"/>
    <n v="0"/>
    <n v="0"/>
    <n v="0"/>
    <n v="0"/>
    <n v="0"/>
    <n v="0"/>
    <n v="0"/>
    <n v="0"/>
    <n v="0"/>
    <n v="0"/>
    <n v="0"/>
    <n v="0"/>
    <n v="0"/>
    <n v="0"/>
    <n v="0"/>
    <n v="0"/>
    <n v="0"/>
    <x v="3"/>
    <x v="0"/>
    <x v="1"/>
    <x v="0"/>
    <x v="0"/>
    <m/>
    <x v="0"/>
    <x v="0"/>
    <n v="12"/>
    <n v="5"/>
    <m/>
    <m/>
    <m/>
    <m/>
    <m/>
    <m/>
    <m/>
    <m/>
    <m/>
    <m/>
    <m/>
    <m/>
    <m/>
    <m/>
    <m/>
    <m/>
    <m/>
    <m/>
    <m/>
    <m/>
    <n v="0"/>
    <n v="0"/>
  </r>
  <r>
    <n v="4592"/>
    <x v="0"/>
    <s v="2018/0751"/>
    <s v="Jessica House, Red Lion Square"/>
    <s v="Southern Building"/>
    <n v="525349"/>
    <n v="174610"/>
    <x v="14"/>
    <d v="2019-03-31T00:00:00"/>
    <d v="2019-11-26T00:00:00"/>
    <n v="0"/>
    <n v="4"/>
    <n v="4"/>
    <n v="9"/>
    <n v="9"/>
    <x v="0"/>
    <s v="Alterations including erection of extensions at third floor levels to northern building and extension at fifth floor level to southern building to provide 9 residential units (4 x 1-bedroom and 5 x 2-bedroom flats) with roof terraces at third and fifth floor levels."/>
    <s v="PF"/>
    <d v="2018-02-23T00:00:00"/>
    <d v="2018-08-23T00:00:00"/>
    <x v="0"/>
    <s v="Nil"/>
    <m/>
    <s v="BF"/>
    <s v="EXT"/>
    <x v="0"/>
    <x v="3"/>
    <n v="8.0000003799796104E-3"/>
    <d v="2019-03-31T00:00:00"/>
    <x v="0"/>
    <d v="2019-11-26T00:00:00"/>
    <x v="0"/>
    <s v="M"/>
    <m/>
    <m/>
    <n v="0"/>
    <n v="0"/>
    <n v="0"/>
    <n v="0"/>
    <n v="0"/>
    <n v="2"/>
    <n v="2"/>
    <n v="0"/>
    <n v="0"/>
    <n v="0"/>
    <n v="0"/>
    <n v="0"/>
    <n v="2"/>
    <n v="2"/>
    <n v="0"/>
    <n v="0"/>
    <n v="0"/>
    <n v="0"/>
    <n v="0"/>
    <n v="0"/>
    <n v="0"/>
    <n v="0"/>
    <n v="0"/>
    <n v="0"/>
    <n v="0"/>
    <n v="0"/>
    <n v="0"/>
    <n v="0"/>
    <n v="0"/>
    <n v="0"/>
    <n v="0"/>
    <n v="0"/>
    <x v="3"/>
    <x v="0"/>
    <x v="1"/>
    <x v="0"/>
    <x v="0"/>
    <m/>
    <x v="0"/>
    <x v="0"/>
    <n v="12"/>
    <n v="4"/>
    <m/>
    <m/>
    <m/>
    <m/>
    <m/>
    <m/>
    <m/>
    <m/>
    <m/>
    <m/>
    <m/>
    <m/>
    <m/>
    <m/>
    <m/>
    <m/>
    <m/>
    <m/>
    <m/>
    <m/>
    <n v="0"/>
    <n v="0"/>
  </r>
  <r>
    <n v="4682"/>
    <x v="0"/>
    <s v="2017/0203"/>
    <s v="435 Upper Richmond Road"/>
    <m/>
    <n v="522102"/>
    <n v="175464"/>
    <x v="15"/>
    <d v="2017-10-24T00:00:00"/>
    <d v="2019-12-09T00:00:00"/>
    <n v="1"/>
    <n v="4"/>
    <n v="3"/>
    <n v="4"/>
    <n v="3"/>
    <x v="0"/>
    <s v="Erection of mansard extension to main rear roof (with French doors) including roof terrace to rear with 1.8m high screen surround and dormer roof extension to front;  two-storey rear extension and excavation to create basement including formation of front and rear lightwells in connection with conversion of property into 2 x 2-bedroom and 2 x 3-bedroom flats with associated cycle and refuse storage at 435 Upper Richmond Road.  Repositioning flank window to rear elevation of 437 Upper Richmond Road."/>
    <s v="RP"/>
    <d v="2017-01-19T00:00:00"/>
    <d v="2017-03-16T00:00:00"/>
    <x v="0"/>
    <s v="APG"/>
    <d v="2017-09-05T00:00:00"/>
    <s v="BF"/>
    <s v="MIX"/>
    <x v="0"/>
    <x v="8"/>
    <n v="2.70000007003546E-2"/>
    <d v="2017-10-24T00:00:00"/>
    <x v="0"/>
    <d v="2019-12-09T00:00:00"/>
    <x v="0"/>
    <s v="M"/>
    <m/>
    <m/>
    <n v="0"/>
    <n v="0"/>
    <n v="0"/>
    <n v="0"/>
    <n v="0"/>
    <n v="0"/>
    <n v="2"/>
    <n v="1"/>
    <n v="0"/>
    <n v="0"/>
    <n v="0"/>
    <n v="0"/>
    <n v="0"/>
    <n v="2"/>
    <n v="2"/>
    <n v="0"/>
    <n v="0"/>
    <n v="0"/>
    <n v="0"/>
    <n v="0"/>
    <n v="0"/>
    <n v="-1"/>
    <n v="0"/>
    <n v="0"/>
    <n v="0"/>
    <n v="0"/>
    <n v="0"/>
    <n v="0"/>
    <n v="0"/>
    <n v="0"/>
    <n v="0"/>
    <n v="0"/>
    <x v="0"/>
    <x v="0"/>
    <x v="0"/>
    <x v="0"/>
    <x v="0"/>
    <m/>
    <x v="0"/>
    <x v="0"/>
    <n v="12"/>
    <n v="3"/>
    <m/>
    <m/>
    <m/>
    <m/>
    <m/>
    <m/>
    <m/>
    <m/>
    <m/>
    <m/>
    <m/>
    <m/>
    <m/>
    <m/>
    <m/>
    <m/>
    <m/>
    <m/>
    <m/>
    <m/>
    <n v="0"/>
    <n v="0"/>
  </r>
  <r>
    <n v="4717"/>
    <x v="0"/>
    <s v="2014/5149"/>
    <s v="South Thames College &amp; Welbeck House, 17-27 Garratt Lane (Wandsworth Exchange)"/>
    <s v="Block C"/>
    <n v="525735"/>
    <n v="174565"/>
    <x v="2"/>
    <d v="2016-06-01T00:00:00"/>
    <m/>
    <n v="0"/>
    <n v="45"/>
    <n v="45"/>
    <n v="201"/>
    <n v="201"/>
    <x v="1"/>
    <s v="Demolition of existing buildings and erection of four new buildings ranging in height from 4 to 26 storeys to provide 201 residential units, 2,458sq.m of commercial floor space (Class A1, A2, A3, A4 and A5, B1(a)) and D1 (relocation of Wandsworth library) and associated parking, access routes, amenity space, public realm works and alterations to the adjacent Old Burial Ground on Garratt Lane."/>
    <s v="PFLA"/>
    <d v="2014-10-08T00:00:00"/>
    <d v="2015-07-08T00:00:00"/>
    <x v="0"/>
    <s v="Nil"/>
    <m/>
    <s v="BF"/>
    <s v="NB"/>
    <x v="1"/>
    <x v="7"/>
    <n v="0.123000003397465"/>
    <d v="2016-06-01T00:00:00"/>
    <x v="0"/>
    <d v="2019-12-22T00:00:00"/>
    <x v="0"/>
    <s v="M"/>
    <s v="3.1.4"/>
    <m/>
    <n v="45"/>
    <n v="0"/>
    <n v="0"/>
    <n v="6"/>
    <n v="0"/>
    <n v="0"/>
    <n v="45"/>
    <n v="0"/>
    <n v="0"/>
    <n v="0"/>
    <n v="0"/>
    <n v="0"/>
    <n v="0"/>
    <n v="45"/>
    <n v="0"/>
    <n v="0"/>
    <n v="0"/>
    <n v="0"/>
    <n v="0"/>
    <n v="0"/>
    <n v="0"/>
    <n v="0"/>
    <n v="0"/>
    <n v="0"/>
    <n v="0"/>
    <n v="0"/>
    <n v="0"/>
    <n v="0"/>
    <n v="0"/>
    <n v="0"/>
    <n v="0"/>
    <n v="0"/>
    <x v="3"/>
    <x v="0"/>
    <x v="1"/>
    <x v="0"/>
    <x v="0"/>
    <m/>
    <x v="0"/>
    <x v="0"/>
    <n v="1"/>
    <n v="45"/>
    <m/>
    <m/>
    <m/>
    <m/>
    <m/>
    <m/>
    <m/>
    <m/>
    <m/>
    <m/>
    <m/>
    <m/>
    <m/>
    <m/>
    <m/>
    <m/>
    <m/>
    <m/>
    <m/>
    <m/>
    <n v="0"/>
    <n v="0"/>
  </r>
  <r>
    <n v="4717"/>
    <x v="0"/>
    <s v="2014/5149"/>
    <s v="South Thames College &amp; Welbeck House, 17-27 Garratt Lane (Wandsworth Exchange)"/>
    <s v="Block D"/>
    <n v="525735"/>
    <n v="174565"/>
    <x v="2"/>
    <d v="2016-06-01T00:00:00"/>
    <m/>
    <n v="0"/>
    <n v="29"/>
    <n v="29"/>
    <n v="201"/>
    <n v="201"/>
    <x v="1"/>
    <s v="Demolition of existing buildings and erection of four new buildings ranging in height from 4 to 26 storeys to provide 201 residential units, 2,458sq.m of commercial floor space (Class A1, A2, A3, A4 and A5, B1(a)) and D1 (relocation of Wandsworth library) and associated parking, access routes, amenity space, public realm works and alterations to the adjacent Old Burial Ground on Garratt Lane."/>
    <s v="PFLA"/>
    <d v="2014-10-08T00:00:00"/>
    <d v="2015-07-08T00:00:00"/>
    <x v="0"/>
    <s v="Nil"/>
    <m/>
    <s v="BF"/>
    <s v="NB"/>
    <x v="1"/>
    <x v="7"/>
    <n v="7.9000003635883304E-2"/>
    <d v="2016-06-01T00:00:00"/>
    <x v="0"/>
    <d v="2019-12-22T00:00:00"/>
    <x v="2"/>
    <s v="AA"/>
    <s v="3.1.4"/>
    <m/>
    <n v="29"/>
    <n v="0"/>
    <n v="0"/>
    <n v="4"/>
    <n v="0"/>
    <n v="8"/>
    <n v="13"/>
    <n v="8"/>
    <n v="0"/>
    <n v="0"/>
    <n v="0"/>
    <n v="0"/>
    <n v="8"/>
    <n v="13"/>
    <n v="8"/>
    <n v="0"/>
    <n v="0"/>
    <n v="0"/>
    <n v="0"/>
    <n v="0"/>
    <n v="0"/>
    <n v="0"/>
    <n v="0"/>
    <n v="0"/>
    <n v="0"/>
    <n v="0"/>
    <n v="0"/>
    <n v="0"/>
    <n v="0"/>
    <n v="0"/>
    <n v="0"/>
    <n v="0"/>
    <x v="3"/>
    <x v="0"/>
    <x v="1"/>
    <x v="0"/>
    <x v="0"/>
    <m/>
    <x v="0"/>
    <x v="0"/>
    <n v="1"/>
    <n v="29"/>
    <m/>
    <m/>
    <m/>
    <m/>
    <m/>
    <m/>
    <m/>
    <m/>
    <m/>
    <m/>
    <m/>
    <m/>
    <m/>
    <m/>
    <m/>
    <m/>
    <m/>
    <m/>
    <m/>
    <m/>
    <n v="0"/>
    <n v="0"/>
  </r>
  <r>
    <n v="4717"/>
    <x v="0"/>
    <s v="2015/5946"/>
    <s v="South Thames College &amp; Welbeck House, 17-27 Garratt Lane (Wandsworth Exchange)"/>
    <s v="Block A"/>
    <n v="525735"/>
    <n v="174565"/>
    <x v="2"/>
    <d v="2016-06-01T00:00:00"/>
    <d v="2020-01-31T00:00:00"/>
    <n v="0"/>
    <n v="21"/>
    <n v="21"/>
    <n v="21"/>
    <n v="21"/>
    <x v="1"/>
    <s v="Deed of variation of planning permission ref 2014/5149 dated 08/07/2015 for demolition of existing buildings and erection of four new buildings ranging in height from 4 to 26 storeys to provide 201 residential units, 2,458sq.m of commercial floor space (Class A1, A2, A3, A4 and A5, B1(a)) and D1 (relocation of Wandsworth library) and associated parking, access routes, amenity space, public realm works and alterations to the adjacent Old Burial Ground on Garratt Lane."/>
    <s v="S106"/>
    <d v="2015-10-20T00:00:00"/>
    <d v="2016-02-12T00:00:00"/>
    <x v="0"/>
    <s v="Nil"/>
    <m/>
    <s v="BF"/>
    <s v="NB"/>
    <x v="1"/>
    <x v="7"/>
    <n v="5.7999998331069898E-2"/>
    <d v="2016-06-01T00:00:00"/>
    <x v="0"/>
    <d v="2020-01-31T00:00:00"/>
    <x v="1"/>
    <s v="ISO"/>
    <s v="3.1.4"/>
    <m/>
    <n v="21"/>
    <n v="0"/>
    <n v="0"/>
    <n v="3"/>
    <n v="0"/>
    <n v="10"/>
    <n v="11"/>
    <n v="0"/>
    <n v="0"/>
    <n v="0"/>
    <n v="0"/>
    <n v="0"/>
    <n v="10"/>
    <n v="11"/>
    <n v="0"/>
    <n v="0"/>
    <n v="0"/>
    <n v="0"/>
    <n v="0"/>
    <n v="0"/>
    <n v="0"/>
    <n v="0"/>
    <n v="0"/>
    <n v="0"/>
    <n v="0"/>
    <n v="0"/>
    <n v="0"/>
    <n v="0"/>
    <n v="0"/>
    <n v="0"/>
    <n v="0"/>
    <n v="0"/>
    <x v="3"/>
    <x v="0"/>
    <x v="1"/>
    <x v="0"/>
    <x v="0"/>
    <m/>
    <x v="0"/>
    <x v="0"/>
    <n v="1"/>
    <n v="21"/>
    <m/>
    <m/>
    <m/>
    <m/>
    <m/>
    <m/>
    <m/>
    <m/>
    <m/>
    <m/>
    <m/>
    <m/>
    <m/>
    <m/>
    <m/>
    <m/>
    <m/>
    <m/>
    <m/>
    <m/>
    <n v="0"/>
    <n v="0"/>
  </r>
  <r>
    <n v="4718"/>
    <x v="0"/>
    <s v="2019/0536"/>
    <s v="Main Site, Ballymore, Ponton Road (Embassy Gardens)"/>
    <s v="A05"/>
    <n v="529643"/>
    <n v="177593"/>
    <x v="12"/>
    <d v="2016-09-01T00:00:00"/>
    <m/>
    <n v="0"/>
    <n v="83"/>
    <n v="83"/>
    <n v="336"/>
    <n v="336"/>
    <x v="1"/>
    <s v="Revised Reserved Matters details (appearance, layout) application in relation to Plot A05 within Phase 2 of the development permitted under planning permission 2011/1815, dated 30/03/12 (as amended) for the demolition of all existing buildings and construction of a mixed use redevelopment to provide residential units, including affordable housing, retail, financial and professional services, cafe/restaurant, bar and hot food take-away uses, car showrooms, office floorspace and flexible workspace, a hotel, community uses and assembly and leisure uses, associated basement and ground level parking and servicing; energy centres; new vehicle and pedestrian access and circulation; and new public amenity space and landscaping including part of the 'Linear Park'. The revised Reserved Matters are for the reconfiguration of the mezzanine area to achieve 2no. additional residential units, amendments to the ground floor layout and erection of additional retail screens, canopies and awnings."/>
    <s v="DT"/>
    <d v="2019-02-06T00:00:00"/>
    <d v="2019-04-12T00:00:00"/>
    <x v="1"/>
    <s v="Nil"/>
    <m/>
    <s v="BF"/>
    <s v="NB"/>
    <x v="1"/>
    <x v="7"/>
    <n v="0.11200000345706899"/>
    <d v="2016-09-01T00:00:00"/>
    <x v="0"/>
    <d v="2020-01-20T00:00:00"/>
    <x v="2"/>
    <s v="AA"/>
    <s v="2.1.16"/>
    <m/>
    <n v="0"/>
    <n v="0"/>
    <n v="0"/>
    <n v="0"/>
    <n v="0"/>
    <n v="11"/>
    <n v="24"/>
    <n v="31"/>
    <n v="17"/>
    <n v="0"/>
    <n v="0"/>
    <n v="0"/>
    <n v="11"/>
    <n v="24"/>
    <n v="31"/>
    <n v="17"/>
    <n v="0"/>
    <n v="0"/>
    <n v="0"/>
    <n v="0"/>
    <n v="0"/>
    <n v="0"/>
    <n v="0"/>
    <n v="0"/>
    <n v="0"/>
    <n v="0"/>
    <n v="0"/>
    <n v="0"/>
    <n v="0"/>
    <n v="0"/>
    <n v="0"/>
    <n v="0"/>
    <x v="0"/>
    <x v="1"/>
    <x v="0"/>
    <x v="0"/>
    <x v="0"/>
    <m/>
    <x v="0"/>
    <x v="0"/>
    <n v="1"/>
    <n v="83"/>
    <m/>
    <m/>
    <m/>
    <m/>
    <m/>
    <m/>
    <m/>
    <m/>
    <m/>
    <m/>
    <m/>
    <m/>
    <m/>
    <m/>
    <m/>
    <m/>
    <m/>
    <m/>
    <m/>
    <m/>
    <n v="0"/>
    <n v="0"/>
  </r>
  <r>
    <n v="4877"/>
    <x v="0"/>
    <s v="2014/3467"/>
    <s v="Site adjoining 60, Aliwal Road"/>
    <m/>
    <n v="527228"/>
    <n v="175145"/>
    <x v="4"/>
    <d v="2015-08-12T00:00:00"/>
    <d v="2019-06-20T00:00:00"/>
    <n v="0"/>
    <n v="1"/>
    <n v="1"/>
    <n v="1"/>
    <n v="1"/>
    <x v="0"/>
    <s v="Demolition of two single storey prefabricated concrete lock up storage units and excavation to enable erection of 1 x 3 bedroom three-storey house with office (as live/work unit) included at basement level."/>
    <s v="PF"/>
    <d v="2014-06-18T00:00:00"/>
    <d v="2014-10-08T00:00:00"/>
    <x v="0"/>
    <s v="Nil"/>
    <m/>
    <s v="BF"/>
    <s v="NB"/>
    <x v="0"/>
    <x v="5"/>
    <n v="1.7999999225139601E-2"/>
    <d v="2015-08-12T00:00:00"/>
    <x v="0"/>
    <d v="2019-06-20T00:00:00"/>
    <x v="0"/>
    <s v="M"/>
    <m/>
    <m/>
    <n v="0"/>
    <n v="0"/>
    <n v="0"/>
    <n v="0"/>
    <n v="0"/>
    <n v="0"/>
    <n v="0"/>
    <n v="1"/>
    <n v="0"/>
    <n v="0"/>
    <n v="0"/>
    <n v="0"/>
    <n v="0"/>
    <n v="0"/>
    <n v="0"/>
    <n v="0"/>
    <n v="0"/>
    <n v="0"/>
    <n v="0"/>
    <n v="0"/>
    <n v="0"/>
    <n v="0"/>
    <n v="0"/>
    <n v="0"/>
    <n v="0"/>
    <n v="0"/>
    <n v="0"/>
    <n v="0"/>
    <n v="1"/>
    <n v="0"/>
    <n v="0"/>
    <n v="0"/>
    <x v="0"/>
    <x v="0"/>
    <x v="0"/>
    <x v="0"/>
    <x v="0"/>
    <m/>
    <x v="0"/>
    <x v="0"/>
    <n v="1"/>
    <n v="1"/>
    <m/>
    <m/>
    <m/>
    <m/>
    <m/>
    <m/>
    <m/>
    <m/>
    <m/>
    <m/>
    <m/>
    <m/>
    <m/>
    <m/>
    <m/>
    <m/>
    <m/>
    <m/>
    <m/>
    <m/>
    <n v="0"/>
    <n v="0"/>
  </r>
  <r>
    <n v="4978"/>
    <x v="0"/>
    <s v="2016/2986"/>
    <s v="The Mission Hall, Walkers Place"/>
    <m/>
    <n v="523988"/>
    <n v="175472"/>
    <x v="0"/>
    <d v="2017-03-31T00:00:00"/>
    <d v="2019-04-24T00:00:00"/>
    <n v="0"/>
    <n v="6"/>
    <n v="6"/>
    <n v="6"/>
    <n v="6"/>
    <x v="0"/>
    <s v="Demolition of existing building and erection of a new four-storey plus basement level building for use as either class B1 (office use) or class D1 (non residential institutions) at rear part of ground floor and lower ground floor, class A3 (cafe) including external seating area in front part ground floor, and 6 x 2-bed flats on the first to third floors, with associated terraces/balconies."/>
    <s v="PF"/>
    <d v="2016-06-08T00:00:00"/>
    <d v="2016-09-15T00:00:00"/>
    <x v="0"/>
    <s v="Nil"/>
    <m/>
    <s v="BF"/>
    <s v="NB"/>
    <x v="0"/>
    <x v="5"/>
    <n v="6.1000000685453401E-2"/>
    <d v="2017-03-31T00:00:00"/>
    <x v="0"/>
    <d v="2019-04-24T00:00:00"/>
    <x v="0"/>
    <s v="M"/>
    <m/>
    <m/>
    <n v="6"/>
    <n v="0"/>
    <n v="2"/>
    <n v="0"/>
    <n v="0"/>
    <n v="0"/>
    <n v="6"/>
    <n v="0"/>
    <n v="0"/>
    <n v="0"/>
    <n v="0"/>
    <n v="0"/>
    <n v="0"/>
    <n v="6"/>
    <n v="0"/>
    <n v="0"/>
    <n v="0"/>
    <n v="0"/>
    <n v="0"/>
    <n v="0"/>
    <n v="0"/>
    <n v="0"/>
    <n v="0"/>
    <n v="0"/>
    <n v="0"/>
    <n v="0"/>
    <n v="0"/>
    <n v="0"/>
    <n v="0"/>
    <n v="0"/>
    <n v="0"/>
    <n v="0"/>
    <x v="2"/>
    <x v="0"/>
    <x v="0"/>
    <x v="0"/>
    <x v="0"/>
    <m/>
    <x v="0"/>
    <x v="0"/>
    <n v="1"/>
    <n v="6"/>
    <m/>
    <m/>
    <m/>
    <m/>
    <m/>
    <m/>
    <m/>
    <m/>
    <m/>
    <m/>
    <m/>
    <m/>
    <m/>
    <m/>
    <m/>
    <m/>
    <m/>
    <m/>
    <m/>
    <m/>
    <n v="0"/>
    <n v="0"/>
  </r>
  <r>
    <n v="5010"/>
    <x v="0"/>
    <s v="2018/4973"/>
    <s v="239 Wimbledon Park Road"/>
    <m/>
    <n v="524774"/>
    <n v="173317"/>
    <x v="14"/>
    <d v="2019-02-26T00:00:00"/>
    <d v="2020-03-31T00:00:00"/>
    <n v="0"/>
    <n v="1"/>
    <n v="1"/>
    <n v="1"/>
    <n v="1"/>
    <x v="0"/>
    <s v="Determination as to whether prior approval is required for change of use from retail  (Class A1) at basement level from to a studio flat (Class C3)."/>
    <s v="PAG"/>
    <d v="2018-10-16T00:00:00"/>
    <d v="2018-12-07T00:00:00"/>
    <x v="0"/>
    <s v="Nil"/>
    <m/>
    <s v="BF"/>
    <s v="COU"/>
    <x v="0"/>
    <x v="4"/>
    <n v="2.0000000949949E-3"/>
    <d v="2019-02-26T00:00:00"/>
    <x v="0"/>
    <d v="2020-03-31T00:00:00"/>
    <x v="0"/>
    <s v="M"/>
    <m/>
    <m/>
    <n v="0"/>
    <n v="0"/>
    <n v="0"/>
    <n v="0"/>
    <n v="1"/>
    <n v="0"/>
    <n v="0"/>
    <n v="0"/>
    <n v="0"/>
    <n v="0"/>
    <n v="0"/>
    <n v="1"/>
    <n v="0"/>
    <n v="0"/>
    <n v="0"/>
    <n v="0"/>
    <n v="0"/>
    <n v="0"/>
    <n v="0"/>
    <n v="0"/>
    <n v="0"/>
    <n v="0"/>
    <n v="0"/>
    <n v="0"/>
    <n v="0"/>
    <n v="0"/>
    <n v="0"/>
    <n v="0"/>
    <n v="0"/>
    <n v="0"/>
    <n v="0"/>
    <n v="0"/>
    <x v="0"/>
    <x v="0"/>
    <x v="0"/>
    <x v="0"/>
    <x v="0"/>
    <m/>
    <x v="0"/>
    <x v="0"/>
    <n v="12"/>
    <n v="1"/>
    <m/>
    <m/>
    <m/>
    <m/>
    <m/>
    <m/>
    <m/>
    <m/>
    <m/>
    <m/>
    <m/>
    <m/>
    <m/>
    <m/>
    <m/>
    <m/>
    <m/>
    <m/>
    <m/>
    <m/>
    <n v="0"/>
    <n v="0"/>
  </r>
  <r>
    <n v="5251"/>
    <x v="0"/>
    <s v="2019/3167"/>
    <s v="160 Upper Tooting Road"/>
    <m/>
    <n v="527712"/>
    <n v="171962"/>
    <x v="1"/>
    <d v="2019-10-01T00:00:00"/>
    <d v="2020-03-31T00:00:00"/>
    <n v="0"/>
    <n v="1"/>
    <n v="1"/>
    <n v="2"/>
    <n v="2"/>
    <x v="0"/>
    <s v="Alterations including erection of two-storey extension above ground floor in connection with formation of 2 x 2-bedroom flats with associated bin and cycle storage."/>
    <s v="PF"/>
    <d v="2019-08-05T00:00:00"/>
    <d v="2019-09-11T00:00:00"/>
    <x v="1"/>
    <s v="Nil"/>
    <m/>
    <s v="BF"/>
    <s v="MIX"/>
    <x v="0"/>
    <x v="4"/>
    <n v="2.0000000949949E-3"/>
    <d v="2019-10-01T00:00:00"/>
    <x v="1"/>
    <d v="2020-03-31T00:00:00"/>
    <x v="0"/>
    <s v="M"/>
    <m/>
    <m/>
    <n v="0"/>
    <n v="0"/>
    <n v="0"/>
    <n v="0"/>
    <n v="0"/>
    <n v="0"/>
    <n v="1"/>
    <n v="0"/>
    <n v="0"/>
    <n v="0"/>
    <n v="0"/>
    <n v="0"/>
    <n v="0"/>
    <n v="1"/>
    <n v="0"/>
    <n v="0"/>
    <n v="0"/>
    <n v="0"/>
    <n v="0"/>
    <n v="0"/>
    <n v="0"/>
    <n v="0"/>
    <n v="0"/>
    <n v="0"/>
    <n v="0"/>
    <n v="0"/>
    <n v="0"/>
    <n v="0"/>
    <n v="0"/>
    <n v="0"/>
    <n v="0"/>
    <n v="0"/>
    <x v="4"/>
    <x v="0"/>
    <x v="0"/>
    <x v="0"/>
    <x v="0"/>
    <m/>
    <x v="0"/>
    <x v="0"/>
    <n v="12"/>
    <n v="1"/>
    <m/>
    <m/>
    <m/>
    <m/>
    <m/>
    <m/>
    <m/>
    <m/>
    <m/>
    <m/>
    <m/>
    <m/>
    <m/>
    <m/>
    <m/>
    <m/>
    <m/>
    <m/>
    <m/>
    <m/>
    <n v="0"/>
    <n v="0"/>
  </r>
  <r>
    <n v="5251"/>
    <x v="0"/>
    <s v="2019/3167"/>
    <s v="160 Upper Tooting Road"/>
    <m/>
    <n v="527712"/>
    <n v="171962"/>
    <x v="1"/>
    <d v="2019-10-01T00:00:00"/>
    <d v="2020-03-31T00:00:00"/>
    <n v="0"/>
    <n v="1"/>
    <n v="1"/>
    <n v="2"/>
    <n v="2"/>
    <x v="0"/>
    <s v="Alterations including erection of two-storey extension above ground floor in connection with formation of 2 x 2-bedroom flats with associated bin and cycle storage."/>
    <s v="PF"/>
    <d v="2019-08-05T00:00:00"/>
    <d v="2019-09-11T00:00:00"/>
    <x v="1"/>
    <s v="Nil"/>
    <m/>
    <s v="BF"/>
    <s v="MIX"/>
    <x v="0"/>
    <x v="3"/>
    <n v="3.0000000260770299E-3"/>
    <d v="2019-10-01T00:00:00"/>
    <x v="1"/>
    <d v="2020-03-31T00:00:00"/>
    <x v="0"/>
    <s v="M"/>
    <m/>
    <m/>
    <n v="0"/>
    <n v="0"/>
    <n v="0"/>
    <n v="0"/>
    <n v="0"/>
    <n v="0"/>
    <n v="1"/>
    <n v="0"/>
    <n v="0"/>
    <n v="0"/>
    <n v="0"/>
    <n v="0"/>
    <n v="0"/>
    <n v="1"/>
    <n v="0"/>
    <n v="0"/>
    <n v="0"/>
    <n v="0"/>
    <n v="0"/>
    <n v="0"/>
    <n v="0"/>
    <n v="0"/>
    <n v="0"/>
    <n v="0"/>
    <n v="0"/>
    <n v="0"/>
    <n v="0"/>
    <n v="0"/>
    <n v="0"/>
    <n v="0"/>
    <n v="0"/>
    <n v="0"/>
    <x v="4"/>
    <x v="0"/>
    <x v="0"/>
    <x v="0"/>
    <x v="0"/>
    <m/>
    <x v="0"/>
    <x v="0"/>
    <n v="12"/>
    <n v="1"/>
    <m/>
    <m/>
    <m/>
    <m/>
    <m/>
    <m/>
    <m/>
    <m/>
    <m/>
    <m/>
    <m/>
    <m/>
    <m/>
    <m/>
    <m/>
    <m/>
    <m/>
    <m/>
    <m/>
    <m/>
    <n v="0"/>
    <n v="0"/>
  </r>
  <r>
    <n v="5281"/>
    <x v="0"/>
    <s v="2017/5094"/>
    <s v="915 Garratt Lane"/>
    <m/>
    <n v="526909"/>
    <n v="171864"/>
    <x v="1"/>
    <d v="2019-03-01T00:00:00"/>
    <d v="2020-03-11T00:00:00"/>
    <n v="0"/>
    <n v="1"/>
    <n v="1"/>
    <n v="1"/>
    <n v="1"/>
    <x v="0"/>
    <s v="Alterations including the demolition of the existing ground floor rear garage and the erection of a single storey rear extension and a single storey rear extension at first floor level in connection with change of use of rear of ground floor from retail (Class A1) to residential (Class C3) to provide one bedroom flat and internal alterations to the first floor flat."/>
    <s v="PF"/>
    <d v="2017-09-13T00:00:00"/>
    <d v="2017-12-08T00:00:00"/>
    <x v="0"/>
    <s v="Nil"/>
    <m/>
    <s v="BF"/>
    <s v="MIX"/>
    <x v="0"/>
    <x v="4"/>
    <n v="4.0000001899898104E-3"/>
    <d v="2019-03-01T00:00:00"/>
    <x v="0"/>
    <d v="2020-03-1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5363"/>
    <x v="0"/>
    <s v="2013/3785"/>
    <s v="Centre Square 1-9, 1 Hardwicks Square"/>
    <m/>
    <n v="525417"/>
    <n v="174604"/>
    <x v="14"/>
    <d v="2014-12-05T00:00:00"/>
    <d v="2019-04-01T00:00:00"/>
    <n v="0"/>
    <n v="2"/>
    <n v="2"/>
    <n v="2"/>
    <n v="2"/>
    <x v="0"/>
    <s v="Prior approval for conversion of office (class B1) to two, two-bedroom residential units (class C3)."/>
    <s v="PAG"/>
    <d v="2013-07-29T00:00:00"/>
    <d v="2013-09-17T00:00:00"/>
    <x v="0"/>
    <s v="Nil"/>
    <m/>
    <s v="BF"/>
    <s v="COU"/>
    <x v="0"/>
    <x v="6"/>
    <n v="9.9999997764825804E-3"/>
    <d v="2014-12-05T00:00:00"/>
    <x v="0"/>
    <d v="2019-04-01T00:00:00"/>
    <x v="0"/>
    <s v="M"/>
    <m/>
    <m/>
    <n v="0"/>
    <n v="0"/>
    <n v="0"/>
    <n v="0"/>
    <n v="0"/>
    <n v="0"/>
    <n v="2"/>
    <n v="0"/>
    <n v="0"/>
    <n v="0"/>
    <n v="0"/>
    <n v="0"/>
    <n v="0"/>
    <n v="2"/>
    <n v="0"/>
    <n v="0"/>
    <n v="0"/>
    <n v="0"/>
    <n v="0"/>
    <n v="0"/>
    <n v="0"/>
    <n v="0"/>
    <n v="0"/>
    <n v="0"/>
    <n v="0"/>
    <n v="0"/>
    <n v="0"/>
    <n v="0"/>
    <n v="0"/>
    <n v="0"/>
    <n v="0"/>
    <n v="0"/>
    <x v="3"/>
    <x v="0"/>
    <x v="1"/>
    <x v="0"/>
    <x v="0"/>
    <m/>
    <x v="0"/>
    <x v="0"/>
    <n v="12"/>
    <n v="2"/>
    <m/>
    <m/>
    <m/>
    <m/>
    <m/>
    <m/>
    <m/>
    <m/>
    <m/>
    <m/>
    <m/>
    <m/>
    <m/>
    <m/>
    <m/>
    <m/>
    <m/>
    <m/>
    <m/>
    <m/>
    <n v="0"/>
    <n v="0"/>
  </r>
  <r>
    <n v="5447"/>
    <x v="0"/>
    <s v="2014/0058"/>
    <s v="Land r/o, 14A Lavender Hill"/>
    <m/>
    <n v="528513"/>
    <n v="175788"/>
    <x v="9"/>
    <d v="2017-10-03T00:00:00"/>
    <d v="2019-06-29T00:00:00"/>
    <n v="0"/>
    <n v="1"/>
    <n v="1"/>
    <n v="1"/>
    <n v="1"/>
    <x v="0"/>
    <s v="Erection of a one-bedroom dwelling at the rear of No.14 Lavender Hill with the associated amenity space, refuse and cycle space."/>
    <s v="PF"/>
    <d v="2014-01-08T00:00:00"/>
    <d v="2014-06-18T00:00:00"/>
    <x v="0"/>
    <s v="Nil"/>
    <m/>
    <s v="BF"/>
    <s v="NB"/>
    <x v="0"/>
    <x v="5"/>
    <n v="2.3000000044703501E-2"/>
    <d v="2017-10-03T00:00:00"/>
    <x v="0"/>
    <d v="2019-06-29T00:00:00"/>
    <x v="0"/>
    <s v="M"/>
    <m/>
    <m/>
    <n v="0"/>
    <n v="0"/>
    <n v="0"/>
    <n v="0"/>
    <n v="0"/>
    <n v="1"/>
    <n v="0"/>
    <n v="0"/>
    <n v="0"/>
    <n v="0"/>
    <n v="0"/>
    <n v="0"/>
    <n v="0"/>
    <n v="0"/>
    <n v="0"/>
    <n v="0"/>
    <n v="0"/>
    <n v="0"/>
    <n v="0"/>
    <n v="1"/>
    <n v="0"/>
    <n v="0"/>
    <n v="0"/>
    <n v="0"/>
    <n v="0"/>
    <n v="0"/>
    <n v="0"/>
    <n v="0"/>
    <n v="0"/>
    <n v="0"/>
    <n v="0"/>
    <n v="0"/>
    <x v="0"/>
    <x v="0"/>
    <x v="0"/>
    <x v="0"/>
    <x v="0"/>
    <m/>
    <x v="0"/>
    <x v="0"/>
    <n v="1"/>
    <n v="1"/>
    <m/>
    <m/>
    <m/>
    <m/>
    <m/>
    <m/>
    <m/>
    <m/>
    <m/>
    <m/>
    <m/>
    <m/>
    <m/>
    <m/>
    <m/>
    <m/>
    <m/>
    <m/>
    <m/>
    <m/>
    <n v="0"/>
    <n v="0"/>
  </r>
  <r>
    <n v="5520"/>
    <x v="0"/>
    <s v="2019/0889"/>
    <s v="Gani Property Services, 58 Trinity Road"/>
    <m/>
    <n v="527901"/>
    <n v="172495"/>
    <x v="3"/>
    <d v="2019-06-01T00:00:00"/>
    <d v="2020-03-31T00:00:00"/>
    <n v="0"/>
    <n v="1"/>
    <n v="1"/>
    <n v="1"/>
    <n v="1"/>
    <x v="0"/>
    <s v="Erection of extension to provide additional floor of accommodation and erection of extension above 2 storey back addition in connection with creation of a 1 x 2 bed flat."/>
    <s v="PF"/>
    <d v="2019-03-21T00:00:00"/>
    <d v="2019-05-28T00:00:00"/>
    <x v="1"/>
    <s v="Nil"/>
    <m/>
    <s v="BF"/>
    <s v="EXT"/>
    <x v="0"/>
    <x v="3"/>
    <n v="4.0000001899898104E-3"/>
    <d v="2019-06-01T00:00:00"/>
    <x v="1"/>
    <d v="2020-03-31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5552"/>
    <x v="0"/>
    <s v="2017/3067"/>
    <s v="148-150 Penwith Road"/>
    <m/>
    <n v="525905"/>
    <n v="173024"/>
    <x v="8"/>
    <m/>
    <d v="2019-04-06T00:00:00"/>
    <n v="0"/>
    <n v="7"/>
    <n v="7"/>
    <n v="7"/>
    <n v="7"/>
    <x v="0"/>
    <s v="Determination as to whether prior approval is required for change of use of offices on part first and second floor levels from (Class B1a)  to residential (Class C3) to provide 3 x 2-bedroom, 3 x 1-bedroom and 1 x studio flats."/>
    <s v="PAG"/>
    <d v="2017-06-02T00:00:00"/>
    <d v="2017-07-28T00:00:00"/>
    <x v="0"/>
    <s v="Nil"/>
    <m/>
    <s v="BF"/>
    <s v="COU"/>
    <x v="0"/>
    <x v="6"/>
    <n v="5.7000000029802302E-2"/>
    <m/>
    <x v="0"/>
    <d v="2019-04-06T00:00:00"/>
    <x v="0"/>
    <s v="M"/>
    <m/>
    <m/>
    <n v="0"/>
    <n v="0"/>
    <n v="0"/>
    <n v="0"/>
    <n v="1"/>
    <n v="3"/>
    <n v="3"/>
    <n v="0"/>
    <n v="0"/>
    <n v="0"/>
    <n v="0"/>
    <n v="1"/>
    <n v="3"/>
    <n v="3"/>
    <n v="0"/>
    <n v="0"/>
    <n v="0"/>
    <n v="0"/>
    <n v="0"/>
    <n v="0"/>
    <n v="0"/>
    <n v="0"/>
    <n v="0"/>
    <n v="0"/>
    <n v="0"/>
    <n v="0"/>
    <n v="0"/>
    <n v="0"/>
    <n v="0"/>
    <n v="0"/>
    <n v="0"/>
    <n v="0"/>
    <x v="0"/>
    <x v="0"/>
    <x v="0"/>
    <x v="0"/>
    <x v="0"/>
    <m/>
    <x v="0"/>
    <x v="1"/>
    <n v="12"/>
    <n v="7"/>
    <m/>
    <m/>
    <m/>
    <m/>
    <m/>
    <m/>
    <m/>
    <m/>
    <m/>
    <m/>
    <m/>
    <m/>
    <m/>
    <m/>
    <m/>
    <m/>
    <m/>
    <m/>
    <m/>
    <m/>
    <n v="0"/>
    <n v="0"/>
  </r>
  <r>
    <n v="5552"/>
    <x v="0"/>
    <s v="2017/6636"/>
    <s v="148-150 Penwith Road"/>
    <m/>
    <n v="525905"/>
    <n v="173024"/>
    <x v="8"/>
    <m/>
    <d v="2019-04-06T00:00:00"/>
    <n v="0"/>
    <n v="2"/>
    <n v="2"/>
    <n v="2"/>
    <n v="2"/>
    <x v="0"/>
    <s v="Alterations in connection with change of use from Music School (Class D1) to residential (Class C3) to provide 2 x 1-bedroom flats."/>
    <s v="PF"/>
    <d v="2017-12-05T00:00:00"/>
    <d v="2018-05-15T00:00:00"/>
    <x v="0"/>
    <s v="Nil"/>
    <m/>
    <s v="BF"/>
    <s v="COU"/>
    <x v="0"/>
    <x v="1"/>
    <n v="8.9999996125698107E-3"/>
    <m/>
    <x v="0"/>
    <d v="2019-04-06T00:00:00"/>
    <x v="0"/>
    <s v="M"/>
    <m/>
    <m/>
    <n v="0"/>
    <n v="0"/>
    <n v="0"/>
    <n v="0"/>
    <n v="0"/>
    <n v="2"/>
    <n v="0"/>
    <n v="0"/>
    <n v="0"/>
    <n v="0"/>
    <n v="0"/>
    <n v="0"/>
    <n v="2"/>
    <n v="0"/>
    <n v="0"/>
    <n v="0"/>
    <n v="0"/>
    <n v="0"/>
    <n v="0"/>
    <n v="0"/>
    <n v="0"/>
    <n v="0"/>
    <n v="0"/>
    <n v="0"/>
    <n v="0"/>
    <n v="0"/>
    <n v="0"/>
    <n v="0"/>
    <n v="0"/>
    <n v="0"/>
    <n v="0"/>
    <n v="0"/>
    <x v="0"/>
    <x v="0"/>
    <x v="0"/>
    <x v="0"/>
    <x v="0"/>
    <m/>
    <x v="0"/>
    <x v="1"/>
    <n v="12"/>
    <n v="2"/>
    <m/>
    <m/>
    <m/>
    <m/>
    <m/>
    <m/>
    <m/>
    <m/>
    <m/>
    <m/>
    <m/>
    <m/>
    <m/>
    <m/>
    <m/>
    <m/>
    <m/>
    <m/>
    <m/>
    <m/>
    <n v="0"/>
    <n v="0"/>
  </r>
  <r>
    <n v="5615"/>
    <x v="0"/>
    <s v="2018/2284"/>
    <s v="216 Tooting High Street"/>
    <m/>
    <n v="527098"/>
    <n v="170956"/>
    <x v="1"/>
    <d v="2019-01-24T00:00:00"/>
    <d v="2020-03-02T00:00:00"/>
    <n v="0"/>
    <n v="1"/>
    <n v="1"/>
    <n v="1"/>
    <n v="1"/>
    <x v="0"/>
    <s v="Erection of two-storey 2 bedroom house with associated refuse, cycle storage and parking."/>
    <s v="PF"/>
    <d v="2018-06-07T00:00:00"/>
    <d v="2018-07-25T00:00:00"/>
    <x v="0"/>
    <s v="Nil"/>
    <m/>
    <s v="BF"/>
    <s v="NB"/>
    <x v="0"/>
    <x v="5"/>
    <n v="1.4000000432133701E-2"/>
    <d v="2019-01-24T00:00:00"/>
    <x v="0"/>
    <d v="2020-03-02T00:00:00"/>
    <x v="0"/>
    <s v="M"/>
    <m/>
    <m/>
    <n v="0"/>
    <n v="0"/>
    <n v="0"/>
    <n v="0"/>
    <n v="0"/>
    <n v="0"/>
    <n v="1"/>
    <n v="0"/>
    <n v="0"/>
    <n v="0"/>
    <n v="0"/>
    <n v="0"/>
    <n v="0"/>
    <n v="0"/>
    <n v="0"/>
    <n v="0"/>
    <n v="0"/>
    <n v="0"/>
    <n v="0"/>
    <n v="0"/>
    <n v="1"/>
    <n v="0"/>
    <n v="0"/>
    <n v="0"/>
    <n v="0"/>
    <n v="0"/>
    <n v="0"/>
    <n v="0"/>
    <n v="0"/>
    <n v="0"/>
    <n v="0"/>
    <n v="0"/>
    <x v="0"/>
    <x v="0"/>
    <x v="0"/>
    <x v="0"/>
    <x v="0"/>
    <m/>
    <x v="0"/>
    <x v="0"/>
    <n v="1"/>
    <n v="1"/>
    <m/>
    <m/>
    <m/>
    <m/>
    <m/>
    <m/>
    <m/>
    <m/>
    <m/>
    <m/>
    <m/>
    <m/>
    <m/>
    <m/>
    <m/>
    <m/>
    <m/>
    <m/>
    <m/>
    <m/>
    <n v="0"/>
    <n v="0"/>
  </r>
  <r>
    <n v="5703"/>
    <x v="0"/>
    <s v="2014/4483"/>
    <s v="Grange Cottage, 8A Bramcote Road"/>
    <m/>
    <n v="522881"/>
    <n v="175249"/>
    <x v="15"/>
    <d v="2017-03-31T00:00:00"/>
    <d v="2020-03-31T00:00:00"/>
    <n v="1"/>
    <n v="1"/>
    <n v="0"/>
    <n v="1"/>
    <n v="0"/>
    <x v="0"/>
    <s v="Demolition of existing house and erection of two-storey (plus basement) house with a first floor balcony, associated landscaping and felling of 4 trees. Further consultation following Tree survey and site boundary adjustments."/>
    <s v="PF"/>
    <d v="2014-09-15T00:00:00"/>
    <d v="2014-12-22T00:00:00"/>
    <x v="0"/>
    <s v="Nil"/>
    <m/>
    <s v="BF"/>
    <s v="NB"/>
    <x v="0"/>
    <x v="5"/>
    <n v="3.20000015199184E-2"/>
    <d v="2017-03-31T00:00:00"/>
    <x v="0"/>
    <d v="2020-03-31T00:00:00"/>
    <x v="0"/>
    <s v="M"/>
    <m/>
    <m/>
    <n v="0"/>
    <n v="0"/>
    <n v="0"/>
    <n v="0"/>
    <n v="0"/>
    <n v="0"/>
    <n v="0"/>
    <n v="-1"/>
    <n v="1"/>
    <n v="0"/>
    <n v="0"/>
    <n v="0"/>
    <n v="0"/>
    <n v="0"/>
    <n v="0"/>
    <n v="0"/>
    <n v="0"/>
    <n v="0"/>
    <n v="0"/>
    <n v="0"/>
    <n v="0"/>
    <n v="-1"/>
    <n v="1"/>
    <n v="0"/>
    <n v="0"/>
    <n v="0"/>
    <n v="0"/>
    <n v="0"/>
    <n v="0"/>
    <n v="0"/>
    <n v="0"/>
    <n v="0"/>
    <x v="0"/>
    <x v="0"/>
    <x v="0"/>
    <x v="0"/>
    <x v="0"/>
    <m/>
    <x v="0"/>
    <x v="0"/>
    <n v="1"/>
    <n v="0"/>
    <m/>
    <m/>
    <m/>
    <m/>
    <m/>
    <m/>
    <m/>
    <m/>
    <m/>
    <m/>
    <m/>
    <m/>
    <m/>
    <m/>
    <m/>
    <m/>
    <m/>
    <m/>
    <m/>
    <m/>
    <n v="0"/>
    <n v="0"/>
  </r>
  <r>
    <n v="5782"/>
    <x v="0"/>
    <s v="2014/4665"/>
    <s v="Battersea Park East, Queenstown Road (Battersea Exchange)"/>
    <s v="Block 01"/>
    <n v="528822"/>
    <n v="176878"/>
    <x v="12"/>
    <d v="2015-09-14T00:00:00"/>
    <m/>
    <n v="0"/>
    <n v="45"/>
    <n v="45"/>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0.16500000655651101"/>
    <d v="2018-05-07T00:00:00"/>
    <x v="0"/>
    <d v="2019-11-28T00:00:00"/>
    <x v="0"/>
    <s v="M"/>
    <s v="2.1.30"/>
    <m/>
    <n v="45"/>
    <n v="0"/>
    <n v="5"/>
    <n v="0"/>
    <n v="0"/>
    <n v="5"/>
    <n v="32"/>
    <n v="8"/>
    <n v="0"/>
    <n v="0"/>
    <n v="0"/>
    <n v="0"/>
    <n v="5"/>
    <n v="32"/>
    <n v="8"/>
    <n v="0"/>
    <n v="0"/>
    <n v="0"/>
    <n v="0"/>
    <n v="0"/>
    <n v="0"/>
    <n v="0"/>
    <n v="0"/>
    <n v="0"/>
    <n v="0"/>
    <n v="0"/>
    <n v="0"/>
    <n v="0"/>
    <n v="0"/>
    <n v="0"/>
    <n v="0"/>
    <n v="0"/>
    <x v="0"/>
    <x v="1"/>
    <x v="0"/>
    <x v="0"/>
    <x v="0"/>
    <m/>
    <x v="0"/>
    <x v="0"/>
    <n v="12"/>
    <n v="45"/>
    <m/>
    <m/>
    <m/>
    <m/>
    <m/>
    <m/>
    <m/>
    <m/>
    <m/>
    <m/>
    <m/>
    <m/>
    <m/>
    <m/>
    <m/>
    <m/>
    <m/>
    <m/>
    <m/>
    <m/>
    <n v="0"/>
    <n v="0"/>
  </r>
  <r>
    <n v="5782"/>
    <x v="0"/>
    <s v="2014/4665"/>
    <s v="Battersea Park East, Queenstown Road (Battersea Exchange)"/>
    <s v="Block 02"/>
    <n v="528822"/>
    <n v="176878"/>
    <x v="12"/>
    <d v="2015-09-14T00:00:00"/>
    <m/>
    <n v="0"/>
    <n v="13"/>
    <n v="13"/>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4.80000004172325E-2"/>
    <m/>
    <x v="0"/>
    <d v="2019-09-23T00:00:00"/>
    <x v="0"/>
    <s v="M"/>
    <s v="2.1.30"/>
    <m/>
    <n v="13"/>
    <n v="0"/>
    <n v="1"/>
    <n v="0"/>
    <n v="0"/>
    <n v="0"/>
    <n v="6"/>
    <n v="6"/>
    <n v="1"/>
    <n v="0"/>
    <n v="0"/>
    <n v="0"/>
    <n v="0"/>
    <n v="6"/>
    <n v="6"/>
    <n v="1"/>
    <n v="0"/>
    <n v="0"/>
    <n v="0"/>
    <n v="0"/>
    <n v="0"/>
    <n v="0"/>
    <n v="0"/>
    <n v="0"/>
    <n v="0"/>
    <n v="0"/>
    <n v="0"/>
    <n v="0"/>
    <n v="0"/>
    <n v="0"/>
    <n v="0"/>
    <n v="0"/>
    <x v="0"/>
    <x v="1"/>
    <x v="0"/>
    <x v="0"/>
    <x v="0"/>
    <m/>
    <x v="0"/>
    <x v="0"/>
    <n v="12"/>
    <n v="13"/>
    <m/>
    <m/>
    <m/>
    <m/>
    <m/>
    <m/>
    <m/>
    <m/>
    <m/>
    <m/>
    <m/>
    <m/>
    <m/>
    <m/>
    <m/>
    <m/>
    <m/>
    <m/>
    <m/>
    <m/>
    <n v="0"/>
    <n v="0"/>
  </r>
  <r>
    <n v="5782"/>
    <x v="0"/>
    <s v="2014/4665"/>
    <s v="Battersea Park East, Queenstown Road (Battersea Exchange)"/>
    <s v="Block 04"/>
    <n v="528822"/>
    <n v="176878"/>
    <x v="12"/>
    <d v="2015-09-14T00:00:00"/>
    <m/>
    <n v="0"/>
    <n v="4"/>
    <n v="4"/>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1.4999999664723899E-2"/>
    <d v="2019-03-31T00:00:00"/>
    <x v="0"/>
    <d v="2019-07-17T00:00:00"/>
    <x v="0"/>
    <s v="M"/>
    <s v="2.1.30"/>
    <m/>
    <n v="4"/>
    <n v="0"/>
    <n v="0"/>
    <n v="0"/>
    <n v="0"/>
    <n v="2"/>
    <n v="2"/>
    <n v="0"/>
    <n v="0"/>
    <n v="0"/>
    <n v="0"/>
    <n v="0"/>
    <n v="2"/>
    <n v="2"/>
    <n v="0"/>
    <n v="0"/>
    <n v="0"/>
    <n v="0"/>
    <n v="0"/>
    <n v="0"/>
    <n v="0"/>
    <n v="0"/>
    <n v="0"/>
    <n v="0"/>
    <n v="0"/>
    <n v="0"/>
    <n v="0"/>
    <n v="0"/>
    <n v="0"/>
    <n v="0"/>
    <n v="0"/>
    <n v="0"/>
    <x v="0"/>
    <x v="1"/>
    <x v="0"/>
    <x v="0"/>
    <x v="0"/>
    <m/>
    <x v="0"/>
    <x v="0"/>
    <n v="12"/>
    <n v="4"/>
    <m/>
    <m/>
    <m/>
    <m/>
    <m/>
    <m/>
    <m/>
    <m/>
    <m/>
    <m/>
    <m/>
    <m/>
    <m/>
    <m/>
    <m/>
    <m/>
    <m/>
    <m/>
    <m/>
    <m/>
    <n v="0"/>
    <n v="0"/>
  </r>
  <r>
    <n v="5782"/>
    <x v="0"/>
    <s v="2014/4665"/>
    <s v="Battersea Park East, Queenstown Road (Battersea Exchange)"/>
    <s v="Block 04"/>
    <n v="528822"/>
    <n v="176878"/>
    <x v="12"/>
    <d v="2015-09-14T00:00:00"/>
    <m/>
    <n v="0"/>
    <n v="2"/>
    <n v="2"/>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7.0000002160668399E-3"/>
    <d v="2019-03-31T00:00:00"/>
    <x v="0"/>
    <d v="2019-07-17T00:00:00"/>
    <x v="2"/>
    <s v="AA"/>
    <s v="2.1.30"/>
    <m/>
    <n v="2"/>
    <n v="0"/>
    <n v="0"/>
    <n v="0"/>
    <n v="0"/>
    <n v="0"/>
    <n v="0"/>
    <n v="0"/>
    <n v="2"/>
    <n v="0"/>
    <n v="0"/>
    <n v="0"/>
    <n v="0"/>
    <n v="0"/>
    <n v="0"/>
    <n v="2"/>
    <n v="0"/>
    <n v="0"/>
    <n v="0"/>
    <n v="0"/>
    <n v="0"/>
    <n v="0"/>
    <n v="0"/>
    <n v="0"/>
    <n v="0"/>
    <n v="0"/>
    <n v="0"/>
    <n v="0"/>
    <n v="0"/>
    <n v="0"/>
    <n v="0"/>
    <n v="0"/>
    <x v="0"/>
    <x v="1"/>
    <x v="0"/>
    <x v="0"/>
    <x v="0"/>
    <m/>
    <x v="0"/>
    <x v="0"/>
    <n v="12"/>
    <n v="2"/>
    <m/>
    <m/>
    <m/>
    <m/>
    <m/>
    <m/>
    <m/>
    <m/>
    <m/>
    <m/>
    <m/>
    <m/>
    <m/>
    <m/>
    <m/>
    <m/>
    <m/>
    <m/>
    <m/>
    <m/>
    <n v="0"/>
    <n v="0"/>
  </r>
  <r>
    <n v="5782"/>
    <x v="0"/>
    <s v="2014/4665"/>
    <s v="Battersea Park East, Queenstown Road (Battersea Exchange)"/>
    <s v="Block 05"/>
    <n v="528822"/>
    <n v="176878"/>
    <x v="12"/>
    <d v="2015-09-14T00:00:00"/>
    <m/>
    <n v="0"/>
    <n v="72"/>
    <n v="72"/>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0.26399999856948902"/>
    <d v="2015-09-14T00:00:00"/>
    <x v="0"/>
    <d v="2019-12-11T00:00:00"/>
    <x v="0"/>
    <s v="M"/>
    <s v="2.1.30"/>
    <m/>
    <n v="72"/>
    <n v="0"/>
    <n v="7"/>
    <n v="0"/>
    <n v="0"/>
    <n v="20"/>
    <n v="46"/>
    <n v="6"/>
    <n v="0"/>
    <n v="0"/>
    <n v="0"/>
    <n v="0"/>
    <n v="20"/>
    <n v="46"/>
    <n v="6"/>
    <n v="0"/>
    <n v="0"/>
    <n v="0"/>
    <n v="0"/>
    <n v="0"/>
    <n v="0"/>
    <n v="0"/>
    <n v="0"/>
    <n v="0"/>
    <n v="0"/>
    <n v="0"/>
    <n v="0"/>
    <n v="0"/>
    <n v="0"/>
    <n v="0"/>
    <n v="0"/>
    <n v="0"/>
    <x v="0"/>
    <x v="1"/>
    <x v="0"/>
    <x v="0"/>
    <x v="0"/>
    <m/>
    <x v="0"/>
    <x v="0"/>
    <n v="12"/>
    <n v="72"/>
    <m/>
    <m/>
    <m/>
    <m/>
    <m/>
    <m/>
    <m/>
    <m/>
    <m/>
    <m/>
    <m/>
    <m/>
    <m/>
    <m/>
    <m/>
    <m/>
    <m/>
    <m/>
    <m/>
    <m/>
    <n v="0"/>
    <n v="0"/>
  </r>
  <r>
    <n v="5782"/>
    <x v="0"/>
    <s v="2014/4665"/>
    <s v="Battersea Park East, Queenstown Road (Battersea Exchange)"/>
    <s v="Block 05"/>
    <n v="528822"/>
    <n v="176878"/>
    <x v="12"/>
    <d v="2015-09-14T00:00:00"/>
    <m/>
    <n v="0"/>
    <n v="20"/>
    <n v="20"/>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7.2999998927116394E-2"/>
    <d v="2015-09-14T00:00:00"/>
    <x v="0"/>
    <d v="2019-12-11T00:00:00"/>
    <x v="1"/>
    <s v="ISO"/>
    <s v="2.1.30"/>
    <m/>
    <n v="20"/>
    <n v="0"/>
    <n v="2"/>
    <n v="0"/>
    <n v="2"/>
    <n v="1"/>
    <n v="13"/>
    <n v="4"/>
    <n v="0"/>
    <n v="0"/>
    <n v="0"/>
    <n v="2"/>
    <n v="1"/>
    <n v="13"/>
    <n v="4"/>
    <n v="0"/>
    <n v="0"/>
    <n v="0"/>
    <n v="0"/>
    <n v="0"/>
    <n v="0"/>
    <n v="0"/>
    <n v="0"/>
    <n v="0"/>
    <n v="0"/>
    <n v="0"/>
    <n v="0"/>
    <n v="0"/>
    <n v="0"/>
    <n v="0"/>
    <n v="0"/>
    <n v="0"/>
    <x v="0"/>
    <x v="1"/>
    <x v="0"/>
    <x v="0"/>
    <x v="0"/>
    <m/>
    <x v="0"/>
    <x v="0"/>
    <n v="12"/>
    <n v="20"/>
    <m/>
    <m/>
    <m/>
    <m/>
    <m/>
    <m/>
    <m/>
    <m/>
    <m/>
    <m/>
    <m/>
    <m/>
    <m/>
    <m/>
    <m/>
    <m/>
    <m/>
    <m/>
    <m/>
    <m/>
    <n v="0"/>
    <n v="0"/>
  </r>
  <r>
    <n v="5782"/>
    <x v="0"/>
    <s v="2014/4665"/>
    <s v="Battersea Park East, Queenstown Road (Battersea Exchange)"/>
    <s v="Block 05"/>
    <n v="528822"/>
    <n v="176878"/>
    <x v="12"/>
    <d v="2015-09-14T00:00:00"/>
    <m/>
    <n v="0"/>
    <n v="1"/>
    <n v="1"/>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4.0000001899898104E-3"/>
    <d v="2015-09-14T00:00:00"/>
    <x v="0"/>
    <d v="2019-12-11T00:00:00"/>
    <x v="2"/>
    <s v="AA"/>
    <s v="2.1.30"/>
    <m/>
    <n v="1"/>
    <n v="0"/>
    <n v="0"/>
    <n v="0"/>
    <n v="0"/>
    <n v="0"/>
    <n v="0"/>
    <n v="1"/>
    <n v="0"/>
    <n v="0"/>
    <n v="0"/>
    <n v="0"/>
    <n v="0"/>
    <n v="0"/>
    <n v="1"/>
    <n v="0"/>
    <n v="0"/>
    <n v="0"/>
    <n v="0"/>
    <n v="0"/>
    <n v="0"/>
    <n v="0"/>
    <n v="0"/>
    <n v="0"/>
    <n v="0"/>
    <n v="0"/>
    <n v="0"/>
    <n v="0"/>
    <n v="0"/>
    <n v="0"/>
    <n v="0"/>
    <n v="0"/>
    <x v="0"/>
    <x v="1"/>
    <x v="0"/>
    <x v="0"/>
    <x v="0"/>
    <m/>
    <x v="0"/>
    <x v="0"/>
    <n v="12"/>
    <n v="1"/>
    <m/>
    <m/>
    <m/>
    <m/>
    <m/>
    <m/>
    <m/>
    <m/>
    <m/>
    <m/>
    <m/>
    <m/>
    <m/>
    <m/>
    <m/>
    <m/>
    <m/>
    <m/>
    <m/>
    <m/>
    <n v="0"/>
    <n v="0"/>
  </r>
  <r>
    <n v="5782"/>
    <x v="0"/>
    <s v="2014/4665"/>
    <s v="Battersea Park East, Queenstown Road (Battersea Exchange)"/>
    <s v="Block 09"/>
    <n v="528822"/>
    <n v="176878"/>
    <x v="12"/>
    <d v="2015-09-14T00:00:00"/>
    <m/>
    <n v="0"/>
    <n v="3"/>
    <n v="3"/>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1.09999999403954E-2"/>
    <d v="2019-03-31T00:00:00"/>
    <x v="0"/>
    <d v="2020-03-18T00:00:00"/>
    <x v="0"/>
    <s v="M"/>
    <s v="2.1.30"/>
    <m/>
    <n v="3"/>
    <n v="0"/>
    <n v="0"/>
    <n v="0"/>
    <n v="0"/>
    <n v="3"/>
    <n v="0"/>
    <n v="0"/>
    <n v="0"/>
    <n v="0"/>
    <n v="0"/>
    <n v="0"/>
    <n v="3"/>
    <n v="0"/>
    <n v="0"/>
    <n v="0"/>
    <n v="0"/>
    <n v="0"/>
    <n v="0"/>
    <n v="0"/>
    <n v="0"/>
    <n v="0"/>
    <n v="0"/>
    <n v="0"/>
    <n v="0"/>
    <n v="0"/>
    <n v="0"/>
    <n v="0"/>
    <n v="0"/>
    <n v="0"/>
    <n v="0"/>
    <n v="0"/>
    <x v="0"/>
    <x v="1"/>
    <x v="0"/>
    <x v="0"/>
    <x v="0"/>
    <m/>
    <x v="0"/>
    <x v="0"/>
    <n v="12"/>
    <n v="3"/>
    <m/>
    <m/>
    <m/>
    <m/>
    <m/>
    <m/>
    <m/>
    <m/>
    <m/>
    <m/>
    <m/>
    <m/>
    <m/>
    <m/>
    <m/>
    <m/>
    <m/>
    <m/>
    <m/>
    <m/>
    <n v="0"/>
    <n v="0"/>
  </r>
  <r>
    <n v="5793"/>
    <x v="0"/>
    <s v="2014/6746"/>
    <s v="Car Park and Land South of, Osiers Road"/>
    <s v="Block A"/>
    <n v="525347"/>
    <n v="175071"/>
    <x v="0"/>
    <d v="2017-03-31T00:00:00"/>
    <m/>
    <n v="0"/>
    <n v="39"/>
    <n v="39"/>
    <n v="85"/>
    <n v="85"/>
    <x v="1"/>
    <s v="Erection of three 10-storey blocks, linked at ground and first floor levels, to provide a mixed commercial and residential development on the existing car park site comprising a total of 470 sq.m. of commercial floorspace (Class A1, A2, A3, B1, D1 or D2) within 4 commercial units at ground floor level, 31 car parking spaces at first floor, and 85 residential units (15 x 1-bedroom, 61 x 2-bedroom and 9 x 3-bedroom) units  on the upper eight storeys (including 19 affordable housing units) with balconies or winter gardens.  The proposal also includes associated cycle parking, landscaping and other works, including a new sub-station and the provision of a publicly accessible 'pocket park' at the western end of the site."/>
    <s v="PFLA"/>
    <d v="2014-11-26T00:00:00"/>
    <d v="2015-09-17T00:00:00"/>
    <x v="0"/>
    <s v="Nil"/>
    <m/>
    <s v="BF"/>
    <s v="NB"/>
    <x v="1"/>
    <x v="7"/>
    <n v="0.10199999809265101"/>
    <d v="2017-03-31T00:00:00"/>
    <x v="0"/>
    <d v="2020-03-16T00:00:00"/>
    <x v="0"/>
    <s v="M"/>
    <m/>
    <m/>
    <n v="39"/>
    <n v="0"/>
    <n v="4"/>
    <n v="0"/>
    <n v="0"/>
    <n v="0"/>
    <n v="38"/>
    <n v="1"/>
    <n v="0"/>
    <n v="0"/>
    <n v="0"/>
    <n v="0"/>
    <n v="0"/>
    <n v="38"/>
    <n v="1"/>
    <n v="0"/>
    <n v="0"/>
    <n v="0"/>
    <n v="0"/>
    <n v="0"/>
    <n v="0"/>
    <n v="0"/>
    <n v="0"/>
    <n v="0"/>
    <n v="0"/>
    <n v="0"/>
    <n v="0"/>
    <n v="0"/>
    <n v="0"/>
    <n v="0"/>
    <n v="0"/>
    <n v="0"/>
    <x v="0"/>
    <x v="0"/>
    <x v="1"/>
    <x v="0"/>
    <x v="0"/>
    <m/>
    <x v="0"/>
    <x v="0"/>
    <n v="1"/>
    <n v="39"/>
    <m/>
    <m/>
    <m/>
    <m/>
    <m/>
    <m/>
    <m/>
    <m/>
    <m/>
    <m/>
    <m/>
    <m/>
    <m/>
    <m/>
    <m/>
    <m/>
    <m/>
    <m/>
    <m/>
    <m/>
    <n v="0"/>
    <n v="0"/>
  </r>
  <r>
    <n v="5793"/>
    <x v="0"/>
    <s v="2014/6746"/>
    <s v="Car Park and Land South of, Osiers Road"/>
    <s v="Block A"/>
    <n v="525347"/>
    <n v="175071"/>
    <x v="0"/>
    <d v="2017-03-31T00:00:00"/>
    <m/>
    <n v="0"/>
    <n v="7"/>
    <n v="7"/>
    <n v="85"/>
    <n v="85"/>
    <x v="1"/>
    <s v="Erection of three 10-storey blocks, linked at ground and first floor levels, to provide a mixed commercial and residential development on the existing car park site comprising a total of 470 sq.m. of commercial floorspace (Class A1, A2, A3, B1, D1 or D2) within 4 commercial units at ground floor level, 31 car parking spaces at first floor, and 85 residential units (15 x 1-bedroom, 61 x 2-bedroom and 9 x 3-bedroom) units  on the upper eight storeys (including 19 affordable housing units) with balconies or winter gardens.  The proposal also includes associated cycle parking, landscaping and other works, including a new sub-station and the provision of a publicly accessible 'pocket park' at the western end of the site."/>
    <s v="PFLA"/>
    <d v="2014-11-26T00:00:00"/>
    <d v="2015-09-17T00:00:00"/>
    <x v="0"/>
    <s v="Nil"/>
    <m/>
    <s v="BF"/>
    <s v="NB"/>
    <x v="1"/>
    <x v="7"/>
    <n v="1.7999999225139601E-2"/>
    <d v="2017-03-31T00:00:00"/>
    <x v="0"/>
    <d v="2020-01-31T00:00:00"/>
    <x v="1"/>
    <s v="ISO"/>
    <m/>
    <m/>
    <n v="7"/>
    <n v="0"/>
    <n v="1"/>
    <n v="0"/>
    <n v="0"/>
    <n v="7"/>
    <n v="0"/>
    <n v="0"/>
    <n v="0"/>
    <n v="0"/>
    <n v="0"/>
    <n v="0"/>
    <n v="7"/>
    <n v="0"/>
    <n v="0"/>
    <n v="0"/>
    <n v="0"/>
    <n v="0"/>
    <n v="0"/>
    <n v="0"/>
    <n v="0"/>
    <n v="0"/>
    <n v="0"/>
    <n v="0"/>
    <n v="0"/>
    <n v="0"/>
    <n v="0"/>
    <n v="0"/>
    <n v="0"/>
    <n v="0"/>
    <n v="0"/>
    <n v="0"/>
    <x v="0"/>
    <x v="0"/>
    <x v="1"/>
    <x v="0"/>
    <x v="0"/>
    <m/>
    <x v="0"/>
    <x v="0"/>
    <n v="1"/>
    <n v="7"/>
    <m/>
    <m/>
    <m/>
    <m/>
    <m/>
    <m/>
    <m/>
    <m/>
    <m/>
    <m/>
    <m/>
    <m/>
    <m/>
    <m/>
    <m/>
    <m/>
    <m/>
    <m/>
    <m/>
    <m/>
    <n v="0"/>
    <n v="0"/>
  </r>
  <r>
    <n v="5793"/>
    <x v="0"/>
    <s v="2019/0921"/>
    <s v="Car Park and Land South of, Osiers Road"/>
    <s v="Block B"/>
    <n v="525347"/>
    <n v="175071"/>
    <x v="0"/>
    <d v="2017-03-31T00:00:00"/>
    <d v="2020-03-16T00:00:00"/>
    <n v="0"/>
    <n v="21"/>
    <n v="21"/>
    <n v="39"/>
    <n v="39"/>
    <x v="1"/>
    <s v="Variation of S106 agreement pursuant to planning permission dated 17/09/2015 Ref:2014/6746 (Erection of three 10-storey blocks, linked at ground and first floor lvels, to provide a mixed commercial and residential development on the existing car park site comprising a total of 470sq.m of commercial floorspace (Class A1, A2, A3, B1, D1 or D2) within  commercial units at ground floor level, 31 car parkng spaces at first floor, and 85 residential units ( 15 x 1-bedroom, 61 x 2-bedroom and 9 x 3-bedroom) units on the upper eight storeys (including 19 affordable housing units) with balconies or winter gardens. The proposal also includes associated cycle parking, landscaping and other works, including a new sub-station and the provision f a publicly accessible &quot;pocket park&quot; at the western end of the site) to allow the swapping of an affordable unit with a private unit, maintaining the same overall dweling mix and number of affordable units."/>
    <s v="S106"/>
    <d v="2019-02-28T00:00:00"/>
    <d v="2019-09-23T00:00:00"/>
    <x v="1"/>
    <s v="Nil"/>
    <m/>
    <s v="BF"/>
    <s v="NB"/>
    <x v="1"/>
    <x v="7"/>
    <n v="5.7999998331069898E-2"/>
    <d v="2017-03-31T00:00:00"/>
    <x v="0"/>
    <d v="2020-03-16T00:00:00"/>
    <x v="0"/>
    <s v="M"/>
    <m/>
    <m/>
    <n v="0"/>
    <n v="0"/>
    <n v="0"/>
    <n v="0"/>
    <n v="0"/>
    <n v="6"/>
    <n v="7"/>
    <n v="8"/>
    <n v="0"/>
    <n v="0"/>
    <n v="0"/>
    <n v="0"/>
    <n v="6"/>
    <n v="7"/>
    <n v="8"/>
    <n v="0"/>
    <n v="0"/>
    <n v="0"/>
    <n v="0"/>
    <n v="0"/>
    <n v="0"/>
    <n v="0"/>
    <n v="0"/>
    <n v="0"/>
    <n v="0"/>
    <n v="0"/>
    <n v="0"/>
    <n v="0"/>
    <n v="0"/>
    <n v="0"/>
    <n v="0"/>
    <n v="0"/>
    <x v="0"/>
    <x v="0"/>
    <x v="1"/>
    <x v="0"/>
    <x v="0"/>
    <m/>
    <x v="0"/>
    <x v="0"/>
    <n v="1"/>
    <n v="21"/>
    <m/>
    <m/>
    <m/>
    <m/>
    <m/>
    <m/>
    <m/>
    <m/>
    <m/>
    <m/>
    <m/>
    <m/>
    <m/>
    <m/>
    <m/>
    <m/>
    <m/>
    <m/>
    <m/>
    <m/>
    <n v="0"/>
    <n v="0"/>
  </r>
  <r>
    <n v="5793"/>
    <x v="0"/>
    <s v="2019/0921"/>
    <s v="Car Park and Land South of, Osiers Road"/>
    <s v="Block B"/>
    <n v="525347"/>
    <n v="175071"/>
    <x v="0"/>
    <d v="2017-03-31T00:00:00"/>
    <d v="2020-03-16T00:00:00"/>
    <n v="0"/>
    <n v="2"/>
    <n v="2"/>
    <n v="39"/>
    <n v="39"/>
    <x v="1"/>
    <s v="Variation of S106 agreement pursuant to planning permission dated 17/09/2015 Ref:2014/6746 (Erection of three 10-storey blocks, linked at ground and first floor lvels, to provide a mixed commercial and residential development on the existing car park site comprising a total of 470sq.m of commercial floorspace (Class A1, A2, A3, B1, D1 or D2) within  commercial units at ground floor level, 31 car parkng spaces at first floor, and 85 residential units ( 15 x 1-bedroom, 61 x 2-bedroom and 9 x 3-bedroom) units on the upper eight storeys (including 19 affordable housing units) with balconies or winter gardens. The proposal also includes associated cycle parking, landscaping and other works, including a new sub-station and the provision f a publicly accessible &quot;pocket park&quot; at the western end of the site) to allow the swapping of an affordable unit with a private unit, maintaining the same overall dweling mix and number of affordable units."/>
    <s v="S106"/>
    <d v="2019-02-28T00:00:00"/>
    <d v="2019-09-23T00:00:00"/>
    <x v="1"/>
    <s v="Nil"/>
    <m/>
    <s v="BF"/>
    <s v="NB"/>
    <x v="1"/>
    <x v="7"/>
    <n v="3.0000000260770299E-3"/>
    <d v="2017-03-31T00:00:00"/>
    <x v="0"/>
    <d v="2020-01-31T00:00:00"/>
    <x v="1"/>
    <s v="ISO"/>
    <m/>
    <m/>
    <n v="0"/>
    <n v="0"/>
    <n v="0"/>
    <n v="0"/>
    <n v="0"/>
    <n v="1"/>
    <n v="1"/>
    <n v="0"/>
    <n v="0"/>
    <n v="0"/>
    <n v="0"/>
    <n v="0"/>
    <n v="1"/>
    <n v="1"/>
    <n v="0"/>
    <n v="0"/>
    <n v="0"/>
    <n v="0"/>
    <n v="0"/>
    <n v="0"/>
    <n v="0"/>
    <n v="0"/>
    <n v="0"/>
    <n v="0"/>
    <n v="0"/>
    <n v="0"/>
    <n v="0"/>
    <n v="0"/>
    <n v="0"/>
    <n v="0"/>
    <n v="0"/>
    <n v="0"/>
    <x v="0"/>
    <x v="0"/>
    <x v="1"/>
    <x v="0"/>
    <x v="0"/>
    <m/>
    <x v="0"/>
    <x v="0"/>
    <n v="1"/>
    <n v="2"/>
    <m/>
    <m/>
    <m/>
    <m/>
    <m/>
    <m/>
    <m/>
    <m/>
    <m/>
    <m/>
    <m/>
    <m/>
    <m/>
    <m/>
    <m/>
    <m/>
    <m/>
    <m/>
    <m/>
    <m/>
    <n v="0"/>
    <n v="0"/>
  </r>
  <r>
    <n v="5793"/>
    <x v="0"/>
    <s v="2019/0921"/>
    <s v="Car Park and Land South of, Osiers Road"/>
    <s v="Block C"/>
    <n v="525347"/>
    <n v="175071"/>
    <x v="0"/>
    <d v="2017-03-31T00:00:00"/>
    <d v="2020-03-16T00:00:00"/>
    <n v="0"/>
    <n v="10"/>
    <n v="10"/>
    <n v="39"/>
    <n v="39"/>
    <x v="1"/>
    <s v="Variation of S106 agreement pursuant to planning permission dated 17/09/2015 Ref:2014/6746 (Erection of three 10-storey blocks, linked at ground and first floor lvels, to provide a mixed commercial and residential development on the existing car park site comprising a total of 470sq.m of commercial floorspace (Class A1, A2, A3, B1, D1 or D2) within  commercial units at ground floor level, 31 car parkng spaces at first floor, and 85 residential units ( 15 x 1-bedroom, 61 x 2-bedroom and 9 x 3-bedroom) units on the upper eight storeys (including 19 affordable housing units) with balconies or winter gardens. The proposal also includes associated cycle parking, landscaping and other works, including a new sub-station and the provision f a publicly accessible &quot;pocket park&quot; at the western end of the site) to allow the swapping of an affordable unit with a private unit, maintaining the same overall dweling mix and number of affordable units."/>
    <s v="S106"/>
    <d v="2019-02-28T00:00:00"/>
    <d v="2019-09-23T00:00:00"/>
    <x v="1"/>
    <s v="Nil"/>
    <m/>
    <s v="BF"/>
    <s v="NB"/>
    <x v="1"/>
    <x v="7"/>
    <n v="2.4000000208616298E-2"/>
    <d v="2017-03-31T00:00:00"/>
    <x v="0"/>
    <d v="2020-01-31T00:00:00"/>
    <x v="1"/>
    <s v="ISO"/>
    <m/>
    <m/>
    <n v="0"/>
    <n v="0"/>
    <n v="0"/>
    <n v="0"/>
    <n v="0"/>
    <n v="0"/>
    <n v="10"/>
    <n v="0"/>
    <n v="0"/>
    <n v="0"/>
    <n v="0"/>
    <n v="0"/>
    <n v="0"/>
    <n v="10"/>
    <n v="0"/>
    <n v="0"/>
    <n v="0"/>
    <n v="0"/>
    <n v="0"/>
    <n v="0"/>
    <n v="0"/>
    <n v="0"/>
    <n v="0"/>
    <n v="0"/>
    <n v="0"/>
    <n v="0"/>
    <n v="0"/>
    <n v="0"/>
    <n v="0"/>
    <n v="0"/>
    <n v="0"/>
    <n v="0"/>
    <x v="0"/>
    <x v="0"/>
    <x v="1"/>
    <x v="0"/>
    <x v="0"/>
    <m/>
    <x v="0"/>
    <x v="0"/>
    <n v="1"/>
    <n v="10"/>
    <m/>
    <m/>
    <m/>
    <m/>
    <m/>
    <m/>
    <m/>
    <m/>
    <m/>
    <m/>
    <m/>
    <m/>
    <m/>
    <m/>
    <m/>
    <m/>
    <m/>
    <m/>
    <m/>
    <m/>
    <n v="0"/>
    <n v="0"/>
  </r>
  <r>
    <n v="5793"/>
    <x v="0"/>
    <s v="2019/0921"/>
    <s v="Car Park and Land South of, Osiers Road"/>
    <s v="Block C"/>
    <n v="525347"/>
    <n v="175071"/>
    <x v="0"/>
    <d v="2017-03-31T00:00:00"/>
    <d v="2020-03-16T00:00:00"/>
    <n v="0"/>
    <n v="6"/>
    <n v="6"/>
    <n v="39"/>
    <n v="39"/>
    <x v="1"/>
    <s v="Variation of S106 agreement pursuant to planning permission dated 17/09/2015 Ref:2014/6746 (Erection of three 10-storey blocks, linked at ground and first floor lvels, to provide a mixed commercial and residential development on the existing car park site comprising a total of 470sq.m of commercial floorspace (Class A1, A2, A3, B1, D1 or D2) within  commercial units at ground floor level, 31 car parkng spaces at first floor, and 85 residential units ( 15 x 1-bedroom, 61 x 2-bedroom and 9 x 3-bedroom) units on the upper eight storeys (including 19 affordable housing units) with balconies or winter gardens. The proposal also includes associated cycle parking, landscaping and other works, including a new sub-station and the provision f a publicly accessible &quot;pocket park&quot; at the western end of the site) to allow the swapping of an affordable unit with a private unit, maintaining the same overall dweling mix and number of affordable units."/>
    <s v="S106"/>
    <d v="2019-02-28T00:00:00"/>
    <d v="2019-09-23T00:00:00"/>
    <x v="1"/>
    <s v="Nil"/>
    <m/>
    <s v="BF"/>
    <s v="NB"/>
    <x v="1"/>
    <x v="7"/>
    <n v="1.7999999225139601E-2"/>
    <d v="2017-03-31T00:00:00"/>
    <x v="0"/>
    <d v="2020-03-16T00:00:00"/>
    <x v="0"/>
    <s v="M"/>
    <m/>
    <m/>
    <n v="0"/>
    <n v="0"/>
    <n v="0"/>
    <n v="0"/>
    <n v="0"/>
    <n v="1"/>
    <n v="5"/>
    <n v="0"/>
    <n v="0"/>
    <n v="0"/>
    <n v="0"/>
    <n v="0"/>
    <n v="1"/>
    <n v="5"/>
    <n v="0"/>
    <n v="0"/>
    <n v="0"/>
    <n v="0"/>
    <n v="0"/>
    <n v="0"/>
    <n v="0"/>
    <n v="0"/>
    <n v="0"/>
    <n v="0"/>
    <n v="0"/>
    <n v="0"/>
    <n v="0"/>
    <n v="0"/>
    <n v="0"/>
    <n v="0"/>
    <n v="0"/>
    <n v="0"/>
    <x v="0"/>
    <x v="0"/>
    <x v="1"/>
    <x v="0"/>
    <x v="0"/>
    <m/>
    <x v="0"/>
    <x v="0"/>
    <n v="1"/>
    <n v="6"/>
    <m/>
    <m/>
    <m/>
    <m/>
    <m/>
    <m/>
    <m/>
    <m/>
    <m/>
    <m/>
    <m/>
    <m/>
    <m/>
    <m/>
    <m/>
    <m/>
    <m/>
    <m/>
    <m/>
    <m/>
    <n v="0"/>
    <n v="0"/>
  </r>
  <r>
    <n v="5821"/>
    <x v="0"/>
    <s v="2015/7642"/>
    <s v="341 Battersea Park Road"/>
    <m/>
    <n v="528080"/>
    <n v="176610"/>
    <x v="16"/>
    <d v="2017-02-03T00:00:00"/>
    <m/>
    <n v="0"/>
    <n v="10"/>
    <n v="10"/>
    <n v="10"/>
    <n v="10"/>
    <x v="1"/>
    <s v="Demolition of existing building to provide a mixed use development in a part-3, part-4 storey building (plus basement level) with side/rear lightwell and roof terrace.  Retail/professional services/restaurant/office uses (Use Class A1) at ground and basement levels and 10 residential units (2 x 1-bedroom, 6 x 2-bedroom and 2 x 3-bedroom) at basement, ground, first, second and third floors; associated cycle parking and refuse and recycling storage."/>
    <s v="PF"/>
    <d v="2016-01-04T00:00:00"/>
    <d v="2016-07-01T00:00:00"/>
    <x v="0"/>
    <s v="Nil"/>
    <m/>
    <s v="BF"/>
    <s v="NB"/>
    <x v="1"/>
    <x v="7"/>
    <n v="4.80000004172325E-2"/>
    <d v="2017-02-03T00:00:00"/>
    <x v="0"/>
    <d v="2019-04-01T00:00:00"/>
    <x v="0"/>
    <s v="M"/>
    <m/>
    <m/>
    <n v="10"/>
    <n v="0"/>
    <n v="2"/>
    <n v="0"/>
    <n v="0"/>
    <n v="2"/>
    <n v="6"/>
    <n v="2"/>
    <n v="0"/>
    <n v="0"/>
    <n v="0"/>
    <n v="0"/>
    <n v="2"/>
    <n v="6"/>
    <n v="2"/>
    <n v="0"/>
    <n v="0"/>
    <n v="0"/>
    <n v="0"/>
    <n v="0"/>
    <n v="0"/>
    <n v="0"/>
    <n v="0"/>
    <n v="0"/>
    <n v="0"/>
    <n v="0"/>
    <n v="0"/>
    <n v="0"/>
    <n v="0"/>
    <n v="0"/>
    <n v="0"/>
    <n v="0"/>
    <x v="0"/>
    <x v="0"/>
    <x v="0"/>
    <x v="0"/>
    <x v="0"/>
    <m/>
    <x v="0"/>
    <x v="0"/>
    <n v="1"/>
    <n v="10"/>
    <m/>
    <m/>
    <m/>
    <m/>
    <m/>
    <m/>
    <m/>
    <m/>
    <m/>
    <m/>
    <m/>
    <m/>
    <m/>
    <m/>
    <m/>
    <m/>
    <m/>
    <m/>
    <m/>
    <m/>
    <n v="0"/>
    <n v="0"/>
  </r>
  <r>
    <n v="5955"/>
    <x v="0"/>
    <s v="2017/6753"/>
    <s v="158 Battersea High Street"/>
    <m/>
    <n v="527059"/>
    <n v="176166"/>
    <x v="11"/>
    <d v="2018-09-20T00:00:00"/>
    <d v="2019-07-17T00:00:00"/>
    <n v="0"/>
    <n v="1"/>
    <n v="1"/>
    <n v="1"/>
    <n v="1"/>
    <x v="0"/>
    <s v="Alterations include the erection of a two-storey extension in connection with the formation of a 1 x2-bedroom duplex flat."/>
    <s v="PF"/>
    <d v="2017-12-13T00:00:00"/>
    <d v="2018-02-07T00:00:00"/>
    <x v="0"/>
    <s v="Nil"/>
    <m/>
    <s v="BF"/>
    <s v="EXT"/>
    <x v="0"/>
    <x v="3"/>
    <n v="3.0000000260770299E-3"/>
    <d v="2018-09-20T00:00:00"/>
    <x v="0"/>
    <d v="2019-07-17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5968"/>
    <x v="0"/>
    <s v="2018/2378"/>
    <s v="BP Nightingale Service Station, 266 Balham High Road"/>
    <m/>
    <n v="528235"/>
    <n v="172781"/>
    <x v="3"/>
    <d v="2017-05-01T00:00:00"/>
    <d v="2020-03-31T00:00:00"/>
    <n v="0"/>
    <n v="65"/>
    <n v="65"/>
    <n v="70"/>
    <n v="70"/>
    <x v="1"/>
    <s v="Variation of conditions 2, 5, 7, 10, 13 and 21, removal of condition 14 and change of wording to condition 12 of planning permission 2017/6232 which granted 'Demolition of existing petrol filling station (Class Sui Generis) and redevelopment of the site including erection of a 4-7 storey building to provide 69 units(20 x 1 bedrooms, 40x 2 bedrooms, 7 x 3 bedrooms, 1 x 4 bedroom and 1 studio)'. Proposals to be amended by way of : a revised lobby/refuse strategy; cycle strategy; courtyard landscaping details, provision of 1no. additional unit at 6th floor; revised layout and elevations; updated energy strategy and relocation of 2no shared ownership units."/>
    <s v="S73"/>
    <d v="2018-05-22T00:00:00"/>
    <d v="2018-11-20T00:00:00"/>
    <x v="0"/>
    <s v="Nil"/>
    <m/>
    <s v="BF"/>
    <s v="NB"/>
    <x v="1"/>
    <x v="7"/>
    <n v="0.123000003397465"/>
    <d v="2017-05-01T00:00:00"/>
    <x v="0"/>
    <d v="2020-03-31T00:00:00"/>
    <x v="0"/>
    <s v="M"/>
    <m/>
    <m/>
    <n v="0"/>
    <n v="58"/>
    <n v="0"/>
    <n v="7"/>
    <n v="0"/>
    <n v="21"/>
    <n v="38"/>
    <n v="6"/>
    <n v="0"/>
    <n v="0"/>
    <n v="0"/>
    <n v="0"/>
    <n v="21"/>
    <n v="38"/>
    <n v="6"/>
    <n v="0"/>
    <n v="0"/>
    <n v="0"/>
    <n v="0"/>
    <n v="0"/>
    <n v="0"/>
    <n v="0"/>
    <n v="0"/>
    <n v="0"/>
    <n v="0"/>
    <n v="0"/>
    <n v="0"/>
    <n v="0"/>
    <n v="0"/>
    <n v="0"/>
    <n v="0"/>
    <n v="0"/>
    <x v="0"/>
    <x v="0"/>
    <x v="0"/>
    <x v="0"/>
    <x v="0"/>
    <m/>
    <x v="0"/>
    <x v="0"/>
    <n v="1"/>
    <n v="65"/>
    <m/>
    <m/>
    <m/>
    <m/>
    <m/>
    <m/>
    <m/>
    <m/>
    <m/>
    <m/>
    <m/>
    <m/>
    <m/>
    <m/>
    <m/>
    <m/>
    <m/>
    <m/>
    <m/>
    <m/>
    <n v="0"/>
    <n v="0"/>
  </r>
  <r>
    <n v="5968"/>
    <x v="0"/>
    <s v="2018/2378"/>
    <s v="BP Nightingale Service Station, 266 Balham High Road"/>
    <m/>
    <n v="528235"/>
    <n v="172781"/>
    <x v="3"/>
    <d v="2017-05-01T00:00:00"/>
    <d v="2020-03-31T00:00:00"/>
    <n v="0"/>
    <n v="3"/>
    <n v="3"/>
    <n v="70"/>
    <n v="70"/>
    <x v="1"/>
    <s v="Variation of conditions 2, 5, 7, 10, 13 and 21, removal of condition 14 and change of wording to condition 12 of planning permission 2017/6232 which granted 'Demolition of existing petrol filling station (Class Sui Generis) and redevelopment of the site including erection of a 4-7 storey building to provide 69 units(20 x 1 bedrooms, 40x 2 bedrooms, 7 x 3 bedrooms, 1 x 4 bedroom and 1 studio)'. Proposals to be amended by way of : a revised lobby/refuse strategy; cycle strategy; courtyard landscaping details, provision of 1no. additional unit at 6th floor; revised layout and elevations; updated energy strategy and relocation of 2no shared ownership units."/>
    <s v="S73"/>
    <d v="2018-05-22T00:00:00"/>
    <d v="2018-11-20T00:00:00"/>
    <x v="0"/>
    <s v="Nil"/>
    <m/>
    <s v="BF"/>
    <s v="NB"/>
    <x v="1"/>
    <x v="7"/>
    <n v="6.0000000521540598E-3"/>
    <d v="2017-05-01T00:00:00"/>
    <x v="0"/>
    <d v="2020-02-01T00:00:00"/>
    <x v="2"/>
    <s v="AS"/>
    <m/>
    <m/>
    <n v="0"/>
    <n v="2"/>
    <n v="0"/>
    <n v="1"/>
    <n v="0"/>
    <n v="1"/>
    <n v="2"/>
    <n v="0"/>
    <n v="0"/>
    <n v="0"/>
    <n v="0"/>
    <n v="0"/>
    <n v="1"/>
    <n v="2"/>
    <n v="0"/>
    <n v="0"/>
    <n v="0"/>
    <n v="0"/>
    <n v="0"/>
    <n v="0"/>
    <n v="0"/>
    <n v="0"/>
    <n v="0"/>
    <n v="0"/>
    <n v="0"/>
    <n v="0"/>
    <n v="0"/>
    <n v="0"/>
    <n v="0"/>
    <n v="0"/>
    <n v="0"/>
    <n v="0"/>
    <x v="0"/>
    <x v="0"/>
    <x v="0"/>
    <x v="0"/>
    <x v="0"/>
    <m/>
    <x v="0"/>
    <x v="0"/>
    <n v="1"/>
    <n v="3"/>
    <m/>
    <m/>
    <m/>
    <m/>
    <m/>
    <m/>
    <m/>
    <m/>
    <m/>
    <m/>
    <m/>
    <m/>
    <m/>
    <m/>
    <m/>
    <m/>
    <m/>
    <m/>
    <m/>
    <m/>
    <n v="0"/>
    <n v="0"/>
  </r>
  <r>
    <n v="5968"/>
    <x v="0"/>
    <s v="2018/2378"/>
    <s v="BP Nightingale Service Station, 266 Balham High Road"/>
    <m/>
    <n v="528235"/>
    <n v="172781"/>
    <x v="3"/>
    <d v="2017-05-01T00:00:00"/>
    <d v="2020-03-31T00:00:00"/>
    <n v="0"/>
    <n v="2"/>
    <n v="2"/>
    <n v="70"/>
    <n v="70"/>
    <x v="1"/>
    <s v="Variation of conditions 2, 5, 7, 10, 13 and 21, removal of condition 14 and change of wording to condition 12 of planning permission 2017/6232 which granted 'Demolition of existing petrol filling station (Class Sui Generis) and redevelopment of the site including erection of a 4-7 storey building to provide 69 units(20 x 1 bedrooms, 40x 2 bedrooms, 7 x 3 bedrooms, 1 x 4 bedroom and 1 studio)'. Proposals to be amended by way of : a revised lobby/refuse strategy; cycle strategy; courtyard landscaping details, provision of 1no. additional unit at 6th floor; revised layout and elevations; updated energy strategy and relocation of 2no shared ownership units."/>
    <s v="S73"/>
    <d v="2018-05-22T00:00:00"/>
    <d v="2018-11-20T00:00:00"/>
    <x v="0"/>
    <s v="Nil"/>
    <m/>
    <s v="BF"/>
    <s v="NB"/>
    <x v="1"/>
    <x v="7"/>
    <n v="4.0000001899898104E-3"/>
    <d v="2017-05-01T00:00:00"/>
    <x v="0"/>
    <d v="2020-02-01T00:00:00"/>
    <x v="1"/>
    <s v="ISO"/>
    <m/>
    <m/>
    <n v="0"/>
    <n v="1"/>
    <n v="0"/>
    <n v="1"/>
    <n v="0"/>
    <n v="1"/>
    <n v="1"/>
    <n v="0"/>
    <n v="0"/>
    <n v="0"/>
    <n v="0"/>
    <n v="0"/>
    <n v="1"/>
    <n v="1"/>
    <n v="0"/>
    <n v="0"/>
    <n v="0"/>
    <n v="0"/>
    <n v="0"/>
    <n v="0"/>
    <n v="0"/>
    <n v="0"/>
    <n v="0"/>
    <n v="0"/>
    <n v="0"/>
    <n v="0"/>
    <n v="0"/>
    <n v="0"/>
    <n v="0"/>
    <n v="0"/>
    <n v="0"/>
    <n v="0"/>
    <x v="0"/>
    <x v="0"/>
    <x v="0"/>
    <x v="0"/>
    <x v="0"/>
    <m/>
    <x v="0"/>
    <x v="0"/>
    <n v="1"/>
    <n v="2"/>
    <m/>
    <m/>
    <m/>
    <m/>
    <m/>
    <m/>
    <m/>
    <m/>
    <m/>
    <m/>
    <m/>
    <m/>
    <m/>
    <m/>
    <m/>
    <m/>
    <m/>
    <m/>
    <m/>
    <m/>
    <n v="0"/>
    <n v="0"/>
  </r>
  <r>
    <n v="6006"/>
    <x v="0"/>
    <s v="2015/3237"/>
    <s v="44 Melrose Court, Melrose Road"/>
    <m/>
    <n v="524739"/>
    <n v="174137"/>
    <x v="5"/>
    <d v="2017-07-21T00:00:00"/>
    <d v="2020-03-27T00:00:00"/>
    <n v="0"/>
    <n v="1"/>
    <n v="1"/>
    <n v="1"/>
    <n v="1"/>
    <x v="0"/>
    <s v="Demolition of garages and excavation in connection with erection of two storey dwelling (basement and ground floors). (Reduced lower ground footprint)."/>
    <s v="PF"/>
    <d v="2016-04-22T00:00:00"/>
    <d v="2016-12-15T00:00:00"/>
    <x v="0"/>
    <s v="Nil"/>
    <m/>
    <s v="BF"/>
    <s v="NB"/>
    <x v="0"/>
    <x v="5"/>
    <n v="2.70000007003546E-2"/>
    <d v="2017-07-21T00:00:00"/>
    <x v="0"/>
    <d v="2020-03-27T00:00:00"/>
    <x v="0"/>
    <s v="M"/>
    <m/>
    <m/>
    <n v="1"/>
    <n v="0"/>
    <n v="0"/>
    <n v="0"/>
    <n v="0"/>
    <n v="0"/>
    <n v="0"/>
    <n v="0"/>
    <n v="1"/>
    <n v="0"/>
    <n v="0"/>
    <n v="0"/>
    <n v="0"/>
    <n v="0"/>
    <n v="0"/>
    <n v="0"/>
    <n v="0"/>
    <n v="0"/>
    <n v="0"/>
    <n v="0"/>
    <n v="0"/>
    <n v="0"/>
    <n v="1"/>
    <n v="0"/>
    <n v="0"/>
    <n v="0"/>
    <n v="0"/>
    <n v="0"/>
    <n v="0"/>
    <n v="0"/>
    <n v="0"/>
    <n v="0"/>
    <x v="0"/>
    <x v="0"/>
    <x v="0"/>
    <x v="0"/>
    <x v="0"/>
    <m/>
    <x v="0"/>
    <x v="0"/>
    <n v="1"/>
    <n v="1"/>
    <m/>
    <m/>
    <m/>
    <m/>
    <m/>
    <m/>
    <m/>
    <m/>
    <m/>
    <m/>
    <m/>
    <m/>
    <m/>
    <m/>
    <m/>
    <m/>
    <m/>
    <m/>
    <m/>
    <m/>
    <n v="0"/>
    <n v="0"/>
  </r>
  <r>
    <n v="6058"/>
    <x v="0"/>
    <s v="2015/4817"/>
    <s v="The Bricklayers Arms, 32 Waterman Street"/>
    <m/>
    <n v="523963"/>
    <n v="175629"/>
    <x v="0"/>
    <d v="2018-04-01T00:00:00"/>
    <d v="2020-01-29T00:00:00"/>
    <n v="0"/>
    <n v="2"/>
    <n v="2"/>
    <n v="2"/>
    <n v="2"/>
    <x v="0"/>
    <s v="Demolition of existing ground floor rear back additions and erection of a two storey rear extension to re-provide accommodation to the public house at ground floor level (Use Class A4) and additional ancillary residential accommodation at first floor level; erection of a two-storey building with basement adjacent to the main public house to provide 1 x 1 bedroom flat and 1 x 2 bedroom flat with private amenity space"/>
    <s v="PF"/>
    <d v="2015-09-17T00:00:00"/>
    <d v="2016-03-30T00:00:00"/>
    <x v="0"/>
    <s v="Nil"/>
    <m/>
    <s v="BF"/>
    <s v="NB"/>
    <x v="0"/>
    <x v="5"/>
    <n v="2.19999998807907E-2"/>
    <d v="2018-04-01T00:00:00"/>
    <x v="0"/>
    <d v="2020-01-29T00:00:00"/>
    <x v="0"/>
    <s v="M"/>
    <m/>
    <m/>
    <n v="2"/>
    <n v="0"/>
    <n v="0"/>
    <n v="0"/>
    <n v="0"/>
    <n v="1"/>
    <n v="1"/>
    <n v="0"/>
    <n v="0"/>
    <n v="0"/>
    <n v="0"/>
    <n v="0"/>
    <n v="1"/>
    <n v="1"/>
    <n v="0"/>
    <n v="0"/>
    <n v="0"/>
    <n v="0"/>
    <n v="0"/>
    <n v="0"/>
    <n v="0"/>
    <n v="0"/>
    <n v="0"/>
    <n v="0"/>
    <n v="0"/>
    <n v="0"/>
    <n v="0"/>
    <n v="0"/>
    <n v="0"/>
    <n v="0"/>
    <n v="0"/>
    <n v="0"/>
    <x v="0"/>
    <x v="0"/>
    <x v="0"/>
    <x v="0"/>
    <x v="0"/>
    <m/>
    <x v="0"/>
    <x v="0"/>
    <n v="1"/>
    <n v="2"/>
    <m/>
    <m/>
    <m/>
    <m/>
    <m/>
    <m/>
    <m/>
    <m/>
    <m/>
    <m/>
    <m/>
    <m/>
    <m/>
    <m/>
    <m/>
    <m/>
    <m/>
    <m/>
    <m/>
    <m/>
    <n v="0"/>
    <n v="0"/>
  </r>
  <r>
    <n v="6071"/>
    <x v="0"/>
    <s v="2018/5005"/>
    <s v="Palladino House &amp; Wood House 6 &amp; 7, Laurel Close"/>
    <m/>
    <n v="527421"/>
    <n v="171301"/>
    <x v="10"/>
    <d v="2017-02-22T00:00:00"/>
    <m/>
    <n v="0"/>
    <n v="51"/>
    <n v="51"/>
    <n v="51"/>
    <n v="51"/>
    <x v="1"/>
    <s v="Variation of condition 2 (in accordance with approved drawings) and removal of conditions 3 (arrangements for the storage of bicylces and refuse) and 4 (car parking management plan) pursuant to planning permission dated 17/12/2015 ref 2015/4036 (Change of use of existing three storey building from retirement housing, residential care home and general needs housing (Use Class C2) to 49 self contained flats (Use Class C3) as 18 x 1-bedroom, 14 x 2-bedroom, 6 x 3-bedroom, 10 x 4-bedroom units and 1 x 4-bedroom maisonette, to provide temporary emergency family accommodation prior to permanent housing allocation.) to allow external alterations to the walls/windows of flats GF13 &amp; GF14 and a new double glazed timber effect window to fit within existing opening within flat FF15A. Reconfigured layout to first floor to show 1 x one bed  flat (F15) and an additional 1 x studio flat (FF15a).  Reconfigured layout at second floor to show 1 x one bed (SF07) and  an addtional 1 x studio flat (SF05a) and reconfigured layouts to reduce 4 x four bed flats (SF01, SF08, TF91 and TF07) to 4 x three bed flats; sheffield bike rack to be relocated within/under the undercroft and will be monitored via CCTV cameras; and reduce the car parking to two parking bays for wheelchair uses and two spaces for staff only."/>
    <s v="S73"/>
    <d v="2018-10-24T00:00:00"/>
    <d v="2019-01-22T00:00:00"/>
    <x v="0"/>
    <s v="Nil"/>
    <m/>
    <s v="BF"/>
    <s v="COU"/>
    <x v="3"/>
    <x v="7"/>
    <n v="0.35299998521804798"/>
    <d v="2017-02-22T00:00:00"/>
    <x v="0"/>
    <d v="2019-04-01T00:00:00"/>
    <x v="2"/>
    <s v="AC"/>
    <s v="5.4"/>
    <m/>
    <n v="0"/>
    <n v="0"/>
    <n v="0"/>
    <n v="0"/>
    <n v="2"/>
    <n v="20"/>
    <n v="13"/>
    <n v="10"/>
    <n v="6"/>
    <n v="0"/>
    <n v="0"/>
    <n v="2"/>
    <n v="20"/>
    <n v="13"/>
    <n v="10"/>
    <n v="6"/>
    <n v="0"/>
    <n v="0"/>
    <n v="0"/>
    <n v="0"/>
    <n v="0"/>
    <n v="0"/>
    <n v="0"/>
    <n v="0"/>
    <n v="0"/>
    <n v="0"/>
    <n v="0"/>
    <n v="0"/>
    <n v="0"/>
    <n v="0"/>
    <n v="0"/>
    <n v="0"/>
    <x v="0"/>
    <x v="0"/>
    <x v="0"/>
    <x v="0"/>
    <x v="0"/>
    <m/>
    <x v="0"/>
    <x v="0"/>
    <n v="12"/>
    <n v="51"/>
    <m/>
    <m/>
    <m/>
    <m/>
    <m/>
    <m/>
    <m/>
    <m/>
    <m/>
    <m/>
    <m/>
    <m/>
    <m/>
    <m/>
    <m/>
    <m/>
    <m/>
    <m/>
    <m/>
    <m/>
    <n v="0"/>
    <n v="0"/>
  </r>
  <r>
    <n v="6082"/>
    <x v="0"/>
    <s v="2015/5926"/>
    <s v="Garages &amp; Forecourt 72-82, 72-82 Gaskarth Road (1-6 Gaskarth Road)"/>
    <m/>
    <n v="529010"/>
    <n v="174056"/>
    <x v="6"/>
    <d v="2018-03-19T00:00:00"/>
    <d v="2019-10-25T00:00:00"/>
    <n v="0"/>
    <n v="6"/>
    <n v="6"/>
    <n v="6"/>
    <n v="6"/>
    <x v="0"/>
    <s v="Demolition of existing garages and erection of part one, part two, part three-storey building to provide 4x2 bedroom flats and 2x1 bed flats with associated cycle storage and boundary treatments."/>
    <s v="PF"/>
    <d v="2015-10-21T00:00:00"/>
    <d v="2016-03-04T00:00:00"/>
    <x v="0"/>
    <s v="Nil"/>
    <m/>
    <s v="BF"/>
    <s v="NB"/>
    <x v="0"/>
    <x v="5"/>
    <n v="3.4000001847744002E-2"/>
    <d v="2018-03-19T00:00:00"/>
    <x v="0"/>
    <d v="2019-10-25T00:00:00"/>
    <x v="2"/>
    <s v="AC"/>
    <m/>
    <m/>
    <n v="6"/>
    <n v="0"/>
    <n v="0"/>
    <n v="0"/>
    <n v="0"/>
    <n v="2"/>
    <n v="4"/>
    <n v="0"/>
    <n v="0"/>
    <n v="0"/>
    <n v="0"/>
    <n v="0"/>
    <n v="2"/>
    <n v="4"/>
    <n v="0"/>
    <n v="0"/>
    <n v="0"/>
    <n v="0"/>
    <n v="0"/>
    <n v="0"/>
    <n v="0"/>
    <n v="0"/>
    <n v="0"/>
    <n v="0"/>
    <n v="0"/>
    <n v="0"/>
    <n v="0"/>
    <n v="0"/>
    <n v="0"/>
    <n v="0"/>
    <n v="0"/>
    <n v="0"/>
    <x v="0"/>
    <x v="0"/>
    <x v="0"/>
    <x v="0"/>
    <x v="0"/>
    <m/>
    <x v="0"/>
    <x v="0"/>
    <n v="1"/>
    <n v="6"/>
    <m/>
    <m/>
    <m/>
    <m/>
    <m/>
    <m/>
    <m/>
    <m/>
    <m/>
    <m/>
    <m/>
    <m/>
    <m/>
    <m/>
    <m/>
    <m/>
    <m/>
    <m/>
    <m/>
    <m/>
    <n v="0"/>
    <n v="0"/>
  </r>
  <r>
    <n v="6099"/>
    <x v="0"/>
    <s v="2015/5987"/>
    <s v="50 Chartfield Avenue"/>
    <m/>
    <n v="523163"/>
    <n v="174605"/>
    <x v="15"/>
    <d v="2017-01-19T00:00:00"/>
    <d v="2019-05-07T00:00:00"/>
    <n v="1"/>
    <n v="1"/>
    <n v="0"/>
    <n v="1"/>
    <n v="0"/>
    <x v="0"/>
    <s v="Demolition of existing residential dwelling and the erection of two-storey dwellinghouse including basement and habitable roofspace."/>
    <s v="PF"/>
    <d v="2015-10-29T00:00:00"/>
    <d v="2015-12-23T00:00:00"/>
    <x v="0"/>
    <s v="Nil"/>
    <m/>
    <s v="BF"/>
    <s v="NB"/>
    <x v="0"/>
    <x v="5"/>
    <n v="5.4999999701976797E-2"/>
    <d v="2017-01-19T00:00:00"/>
    <x v="0"/>
    <d v="2019-05-07T00:00:00"/>
    <x v="0"/>
    <s v="M"/>
    <m/>
    <m/>
    <n v="1"/>
    <n v="0"/>
    <n v="0"/>
    <n v="0"/>
    <n v="0"/>
    <n v="0"/>
    <n v="0"/>
    <n v="-1"/>
    <n v="0"/>
    <n v="1"/>
    <n v="0"/>
    <n v="0"/>
    <n v="0"/>
    <n v="0"/>
    <n v="0"/>
    <n v="0"/>
    <n v="0"/>
    <n v="0"/>
    <n v="0"/>
    <n v="0"/>
    <n v="0"/>
    <n v="-1"/>
    <n v="0"/>
    <n v="1"/>
    <n v="0"/>
    <n v="0"/>
    <n v="0"/>
    <n v="0"/>
    <n v="0"/>
    <n v="0"/>
    <n v="0"/>
    <n v="0"/>
    <x v="0"/>
    <x v="0"/>
    <x v="0"/>
    <x v="0"/>
    <x v="0"/>
    <m/>
    <x v="0"/>
    <x v="0"/>
    <n v="1"/>
    <n v="0"/>
    <m/>
    <m/>
    <m/>
    <m/>
    <m/>
    <m/>
    <m/>
    <m/>
    <m/>
    <m/>
    <m/>
    <m/>
    <m/>
    <m/>
    <m/>
    <m/>
    <m/>
    <m/>
    <m/>
    <m/>
    <n v="0"/>
    <n v="0"/>
  </r>
  <r>
    <n v="6112"/>
    <x v="0"/>
    <s v="2018/0078"/>
    <s v="357-359 Garratt Lane"/>
    <m/>
    <n v="525940"/>
    <n v="173410"/>
    <x v="8"/>
    <d v="2018-03-31T00:00:00"/>
    <m/>
    <n v="0"/>
    <n v="3"/>
    <n v="3"/>
    <n v="4"/>
    <n v="4"/>
    <x v="0"/>
    <s v="Alterations including refurbishment of commercial floorspace at basement and part ground floor levels; change of use of rear ground floor from retail (class A1) to residential (class C3) in relation to the conversion of the properties to 1 x 3 bedroom, 2 x 2 bedroom and 1 x 1 bedroom flats; alterations including first floor rear extension at no. 359, roof extensions above part of each two-storey back addition, extend existing dormer at no. 359, replacement of single-storey rear extension, roof terrace over at rear second floor level of no. 359 with screening; alterations to shopfront including reduction to the depth of the ground floor front elevation, excavations to create front lightwells with metal balustrades; creation of cycle and refuse store with access from side elevation."/>
    <s v="PF"/>
    <d v="2018-01-19T00:00:00"/>
    <d v="2018-03-16T00:00:00"/>
    <x v="0"/>
    <s v="Nil"/>
    <m/>
    <s v="BF"/>
    <s v="MIX"/>
    <x v="0"/>
    <x v="5"/>
    <n v="8.9999996125698107E-3"/>
    <d v="2018-03-31T00:00:00"/>
    <x v="0"/>
    <d v="2019-06-03T00:00:00"/>
    <x v="0"/>
    <s v="M"/>
    <m/>
    <m/>
    <n v="0"/>
    <n v="0"/>
    <n v="0"/>
    <n v="0"/>
    <n v="0"/>
    <n v="0"/>
    <n v="2"/>
    <n v="1"/>
    <n v="0"/>
    <n v="0"/>
    <n v="0"/>
    <n v="0"/>
    <n v="0"/>
    <n v="2"/>
    <n v="1"/>
    <n v="0"/>
    <n v="0"/>
    <n v="0"/>
    <n v="0"/>
    <n v="0"/>
    <n v="0"/>
    <n v="0"/>
    <n v="0"/>
    <n v="0"/>
    <n v="0"/>
    <n v="0"/>
    <n v="0"/>
    <n v="0"/>
    <n v="0"/>
    <n v="0"/>
    <n v="0"/>
    <n v="0"/>
    <x v="0"/>
    <x v="0"/>
    <x v="0"/>
    <x v="0"/>
    <x v="0"/>
    <m/>
    <x v="0"/>
    <x v="1"/>
    <n v="12"/>
    <n v="3"/>
    <m/>
    <m/>
    <m/>
    <m/>
    <m/>
    <m/>
    <m/>
    <m/>
    <m/>
    <m/>
    <m/>
    <m/>
    <m/>
    <m/>
    <m/>
    <m/>
    <m/>
    <m/>
    <m/>
    <m/>
    <n v="0"/>
    <n v="0"/>
  </r>
  <r>
    <n v="6112"/>
    <x v="0"/>
    <s v="2018/0078"/>
    <s v="357-359 Garratt Lane"/>
    <m/>
    <n v="525940"/>
    <n v="173410"/>
    <x v="8"/>
    <d v="2018-03-31T00:00:00"/>
    <m/>
    <n v="0"/>
    <n v="1"/>
    <n v="1"/>
    <n v="4"/>
    <n v="4"/>
    <x v="0"/>
    <s v="Alterations including refurbishment of commercial floorspace at basement and part ground floor levels; change of use of rear ground floor from retail (class A1) to residential (class C3) in relation to the conversion of the properties to 1 x 3 bedroom, 2 x 2 bedroom and 1 x 1 bedroom flats; alterations including first floor rear extension at no. 359, roof extensions above part of each two-storey back addition, extend existing dormer at no. 359, replacement of single-storey rear extension, roof terrace over at rear second floor level of no. 359 with screening; alterations to shopfront including reduction to the depth of the ground floor front elevation, excavations to create front lightwells with metal balustrades; creation of cycle and refuse store with access from side elevation."/>
    <s v="PF"/>
    <d v="2018-01-19T00:00:00"/>
    <d v="2018-03-16T00:00:00"/>
    <x v="0"/>
    <s v="Nil"/>
    <m/>
    <s v="BF"/>
    <s v="MIX"/>
    <x v="0"/>
    <x v="4"/>
    <n v="4.0000001899898104E-3"/>
    <d v="2018-03-31T00:00:00"/>
    <x v="0"/>
    <d v="2019-06-03T00:00:00"/>
    <x v="0"/>
    <s v="M"/>
    <m/>
    <m/>
    <n v="0"/>
    <n v="0"/>
    <n v="0"/>
    <n v="0"/>
    <n v="0"/>
    <n v="1"/>
    <n v="0"/>
    <n v="0"/>
    <n v="0"/>
    <n v="0"/>
    <n v="0"/>
    <n v="0"/>
    <n v="1"/>
    <n v="0"/>
    <n v="0"/>
    <n v="0"/>
    <n v="0"/>
    <n v="0"/>
    <n v="0"/>
    <n v="0"/>
    <n v="0"/>
    <n v="0"/>
    <n v="0"/>
    <n v="0"/>
    <n v="0"/>
    <n v="0"/>
    <n v="0"/>
    <n v="0"/>
    <n v="0"/>
    <n v="0"/>
    <n v="0"/>
    <n v="0"/>
    <x v="0"/>
    <x v="0"/>
    <x v="0"/>
    <x v="0"/>
    <x v="0"/>
    <m/>
    <x v="0"/>
    <x v="1"/>
    <n v="12"/>
    <n v="1"/>
    <m/>
    <m/>
    <m/>
    <m/>
    <m/>
    <m/>
    <m/>
    <m/>
    <m/>
    <m/>
    <m/>
    <m/>
    <m/>
    <m/>
    <m/>
    <m/>
    <m/>
    <m/>
    <m/>
    <m/>
    <n v="0"/>
    <n v="0"/>
  </r>
  <r>
    <n v="6121"/>
    <x v="0"/>
    <s v="2016/2739"/>
    <s v="Land rear of 968, 968 Garratt Lane"/>
    <m/>
    <n v="527356"/>
    <n v="171517"/>
    <x v="1"/>
    <d v="2018-03-31T00:00:00"/>
    <d v="2019-07-29T00:00:00"/>
    <n v="1"/>
    <n v="3"/>
    <n v="2"/>
    <n v="3"/>
    <n v="2"/>
    <x v="0"/>
    <s v="Demolition of existing building and erection of three-storey building (including basement level with front lightwell) to provide 1x 1-bedroom unit and 2x 2-bedroom residential units."/>
    <s v="PF"/>
    <d v="2016-05-13T00:00:00"/>
    <d v="2016-07-08T00:00:00"/>
    <x v="0"/>
    <s v="Nil"/>
    <m/>
    <s v="BF"/>
    <s v="NB"/>
    <x v="0"/>
    <x v="5"/>
    <n v="3.4000001847744002E-2"/>
    <d v="2018-03-31T00:00:00"/>
    <x v="0"/>
    <d v="2019-07-29T00:00:00"/>
    <x v="0"/>
    <s v="M"/>
    <m/>
    <m/>
    <n v="0"/>
    <n v="0"/>
    <n v="0"/>
    <n v="0"/>
    <n v="-1"/>
    <n v="1"/>
    <n v="2"/>
    <n v="0"/>
    <n v="0"/>
    <n v="0"/>
    <n v="0"/>
    <n v="-1"/>
    <n v="1"/>
    <n v="2"/>
    <n v="0"/>
    <n v="0"/>
    <n v="0"/>
    <n v="0"/>
    <n v="0"/>
    <n v="0"/>
    <n v="0"/>
    <n v="0"/>
    <n v="0"/>
    <n v="0"/>
    <n v="0"/>
    <n v="0"/>
    <n v="0"/>
    <n v="0"/>
    <n v="0"/>
    <n v="0"/>
    <n v="0"/>
    <n v="0"/>
    <x v="0"/>
    <x v="0"/>
    <x v="0"/>
    <x v="0"/>
    <x v="0"/>
    <m/>
    <x v="0"/>
    <x v="0"/>
    <n v="1"/>
    <n v="2"/>
    <m/>
    <m/>
    <m/>
    <m/>
    <m/>
    <m/>
    <m/>
    <m/>
    <m/>
    <m/>
    <m/>
    <m/>
    <m/>
    <m/>
    <m/>
    <m/>
    <m/>
    <m/>
    <m/>
    <m/>
    <n v="0"/>
    <n v="0"/>
  </r>
  <r>
    <n v="6191"/>
    <x v="0"/>
    <s v="2016/0686"/>
    <s v="68a, Kelmscott Road"/>
    <m/>
    <n v="527606"/>
    <n v="174610"/>
    <x v="4"/>
    <d v="2019-03-31T00:00:00"/>
    <d v="2019-10-16T00:00:00"/>
    <n v="0"/>
    <n v="1"/>
    <n v="1"/>
    <n v="1"/>
    <n v="1"/>
    <x v="0"/>
    <s v="Alterations in connection with the change of use from office (Class B1) to 1 x 1-bedroom house (Class C3) including erection of front and rear roof extension and ground floor side extension. (Amendments to design of roof extension)"/>
    <s v="PF"/>
    <d v="2016-02-15T00:00:00"/>
    <d v="2016-06-06T00:00:00"/>
    <x v="0"/>
    <s v="Nil"/>
    <m/>
    <s v="BF"/>
    <s v="MIX"/>
    <x v="0"/>
    <x v="6"/>
    <n v="4.0000001899898104E-3"/>
    <d v="2019-03-31T00:00:00"/>
    <x v="0"/>
    <d v="2019-10-16T00:00:00"/>
    <x v="0"/>
    <s v="M"/>
    <m/>
    <m/>
    <n v="0"/>
    <n v="0"/>
    <n v="0"/>
    <n v="0"/>
    <n v="0"/>
    <n v="1"/>
    <n v="0"/>
    <n v="0"/>
    <n v="0"/>
    <n v="0"/>
    <n v="0"/>
    <n v="0"/>
    <n v="0"/>
    <n v="0"/>
    <n v="0"/>
    <n v="0"/>
    <n v="0"/>
    <n v="0"/>
    <n v="0"/>
    <n v="1"/>
    <n v="0"/>
    <n v="0"/>
    <n v="0"/>
    <n v="0"/>
    <n v="0"/>
    <n v="0"/>
    <n v="0"/>
    <n v="0"/>
    <n v="0"/>
    <n v="0"/>
    <n v="0"/>
    <n v="0"/>
    <x v="0"/>
    <x v="0"/>
    <x v="0"/>
    <x v="0"/>
    <x v="0"/>
    <m/>
    <x v="0"/>
    <x v="0"/>
    <n v="12"/>
    <n v="1"/>
    <m/>
    <m/>
    <m/>
    <m/>
    <m/>
    <m/>
    <m/>
    <m/>
    <m/>
    <m/>
    <m/>
    <m/>
    <m/>
    <m/>
    <m/>
    <m/>
    <m/>
    <m/>
    <m/>
    <m/>
    <n v="0"/>
    <n v="0"/>
  </r>
  <r>
    <n v="6213"/>
    <x v="0"/>
    <s v="2018/4970"/>
    <s v="243 Wimbledon Park Road"/>
    <m/>
    <n v="524769"/>
    <n v="173307"/>
    <x v="14"/>
    <d v="2019-05-23T00:00:00"/>
    <d v="2020-03-31T00:00:00"/>
    <n v="0"/>
    <n v="1"/>
    <n v="1"/>
    <n v="1"/>
    <n v="1"/>
    <x v="0"/>
    <s v="Determination as to whether prior approval is required for change of use of basement  from retail (Class A1) to 1 x studio flat (Class C3) including insertion of window in rear elevation."/>
    <s v="PAG"/>
    <d v="2018-10-16T00:00:00"/>
    <d v="2018-12-07T00:00:00"/>
    <x v="0"/>
    <s v="Nil"/>
    <m/>
    <s v="BF"/>
    <s v="COU"/>
    <x v="0"/>
    <x v="4"/>
    <n v="2.0000000949949E-3"/>
    <d v="2019-05-23T00:00:00"/>
    <x v="1"/>
    <d v="2020-03-31T00:00:00"/>
    <x v="0"/>
    <s v="M"/>
    <m/>
    <m/>
    <n v="0"/>
    <n v="0"/>
    <n v="0"/>
    <n v="0"/>
    <n v="1"/>
    <n v="0"/>
    <n v="0"/>
    <n v="0"/>
    <n v="0"/>
    <n v="0"/>
    <n v="0"/>
    <n v="1"/>
    <n v="0"/>
    <n v="0"/>
    <n v="0"/>
    <n v="0"/>
    <n v="0"/>
    <n v="0"/>
    <n v="0"/>
    <n v="0"/>
    <n v="0"/>
    <n v="0"/>
    <n v="0"/>
    <n v="0"/>
    <n v="0"/>
    <n v="0"/>
    <n v="0"/>
    <n v="0"/>
    <n v="0"/>
    <n v="0"/>
    <n v="0"/>
    <n v="0"/>
    <x v="0"/>
    <x v="0"/>
    <x v="0"/>
    <x v="0"/>
    <x v="0"/>
    <m/>
    <x v="0"/>
    <x v="0"/>
    <n v="12"/>
    <n v="1"/>
    <m/>
    <m/>
    <m/>
    <m/>
    <m/>
    <m/>
    <m/>
    <m/>
    <m/>
    <m/>
    <m/>
    <m/>
    <m/>
    <m/>
    <m/>
    <m/>
    <m/>
    <m/>
    <m/>
    <m/>
    <n v="0"/>
    <n v="0"/>
  </r>
  <r>
    <n v="6231"/>
    <x v="0"/>
    <s v="2016/2605"/>
    <s v="52 Oakmead Road"/>
    <m/>
    <n v="528546"/>
    <n v="173121"/>
    <x v="3"/>
    <d v="2019-02-15T00:00:00"/>
    <d v="2020-03-31T00:00:00"/>
    <n v="0"/>
    <n v="1"/>
    <n v="1"/>
    <n v="1"/>
    <n v="1"/>
    <x v="0"/>
    <s v="Alterations in connection with the creation of a 1x1-bedroom flat including erection of mansard roof extension to main rear roof including extension above part of two-storey back addition; formation of roof terrace above two-storey back addition with screen surround. Insertion of rooflights to front roofslope.  Provision of refuse store and cycle parking to front garden."/>
    <s v="PF"/>
    <d v="2016-05-11T00:00:00"/>
    <d v="2016-07-06T00:00:00"/>
    <x v="0"/>
    <s v="Nil"/>
    <m/>
    <s v="BF"/>
    <s v="NB"/>
    <x v="0"/>
    <x v="5"/>
    <n v="4.9999998882412902E-3"/>
    <d v="2019-02-15T00:00:00"/>
    <x v="0"/>
    <d v="2020-03-31T00:00:00"/>
    <x v="0"/>
    <s v="M"/>
    <m/>
    <m/>
    <n v="0"/>
    <n v="0"/>
    <n v="0"/>
    <n v="0"/>
    <n v="0"/>
    <n v="1"/>
    <n v="0"/>
    <n v="0"/>
    <n v="0"/>
    <n v="0"/>
    <n v="0"/>
    <n v="0"/>
    <n v="1"/>
    <n v="0"/>
    <n v="0"/>
    <n v="0"/>
    <n v="0"/>
    <n v="0"/>
    <n v="0"/>
    <n v="0"/>
    <n v="0"/>
    <n v="0"/>
    <n v="0"/>
    <n v="0"/>
    <n v="0"/>
    <n v="0"/>
    <n v="0"/>
    <n v="0"/>
    <n v="0"/>
    <n v="0"/>
    <n v="0"/>
    <n v="0"/>
    <x v="0"/>
    <x v="0"/>
    <x v="0"/>
    <x v="0"/>
    <x v="0"/>
    <m/>
    <x v="0"/>
    <x v="0"/>
    <n v="1"/>
    <n v="1"/>
    <m/>
    <m/>
    <m/>
    <m/>
    <m/>
    <m/>
    <m/>
    <m/>
    <m/>
    <m/>
    <m/>
    <m/>
    <m/>
    <m/>
    <m/>
    <m/>
    <m/>
    <m/>
    <m/>
    <m/>
    <n v="0"/>
    <n v="0"/>
  </r>
  <r>
    <n v="6236"/>
    <x v="0"/>
    <s v="2016/2696"/>
    <s v="Keswick Heights 28, 28 Keswick Road"/>
    <m/>
    <n v="524331"/>
    <n v="174652"/>
    <x v="5"/>
    <d v="2018-11-05T00:00:00"/>
    <d v="2019-09-05T00:00:00"/>
    <n v="0"/>
    <n v="4"/>
    <n v="4"/>
    <n v="4"/>
    <n v="4"/>
    <x v="0"/>
    <s v="Erection of additional floor of accommodation to provide 3 x 1-bedroom and 1 x 2-bedroom flats with roof terrace and associated safety screening."/>
    <s v="PF"/>
    <d v="2016-05-23T00:00:00"/>
    <d v="2016-09-15T00:00:00"/>
    <x v="0"/>
    <s v="Nil"/>
    <m/>
    <s v="BF"/>
    <s v="NB"/>
    <x v="0"/>
    <x v="5"/>
    <n v="2.60000005364418E-2"/>
    <d v="2018-11-05T00:00:00"/>
    <x v="0"/>
    <d v="2019-09-05T00:00:00"/>
    <x v="0"/>
    <s v="M"/>
    <m/>
    <m/>
    <n v="0"/>
    <n v="0"/>
    <n v="0"/>
    <n v="0"/>
    <n v="0"/>
    <n v="3"/>
    <n v="1"/>
    <n v="0"/>
    <n v="0"/>
    <n v="0"/>
    <n v="0"/>
    <n v="0"/>
    <n v="3"/>
    <n v="1"/>
    <n v="0"/>
    <n v="0"/>
    <n v="0"/>
    <n v="0"/>
    <n v="0"/>
    <n v="0"/>
    <n v="0"/>
    <n v="0"/>
    <n v="0"/>
    <n v="0"/>
    <n v="0"/>
    <n v="0"/>
    <n v="0"/>
    <n v="0"/>
    <n v="0"/>
    <n v="0"/>
    <n v="0"/>
    <n v="0"/>
    <x v="0"/>
    <x v="0"/>
    <x v="0"/>
    <x v="0"/>
    <x v="0"/>
    <m/>
    <x v="0"/>
    <x v="0"/>
    <n v="1"/>
    <n v="4"/>
    <m/>
    <m/>
    <m/>
    <m/>
    <m/>
    <m/>
    <m/>
    <m/>
    <m/>
    <m/>
    <m/>
    <m/>
    <m/>
    <m/>
    <m/>
    <m/>
    <m/>
    <m/>
    <m/>
    <m/>
    <n v="0"/>
    <n v="0"/>
  </r>
  <r>
    <n v="6249"/>
    <x v="0"/>
    <s v="2016/2230"/>
    <s v="Grafton House (Brodrick Road), 197 Trinity Road"/>
    <m/>
    <n v="527514"/>
    <n v="173045"/>
    <x v="17"/>
    <d v="2017-03-31T00:00:00"/>
    <d v="2020-03-31T00:00:00"/>
    <n v="0"/>
    <n v="1"/>
    <n v="1"/>
    <n v="5"/>
    <n v="4"/>
    <x v="0"/>
    <s v="Demolition of existing garage and rear extension.  Erection of part two, part three-storey (basement to first floor) rear/side extensions, including formation of second floor rear roof terrace; excavation to create an enlarged basement including formation of front, side and rear lightwells. Works in connection with proposed conversion of the property into 5 residential units."/>
    <s v="PF"/>
    <d v="2016-05-13T00:00:00"/>
    <d v="2016-07-25T00:00:00"/>
    <x v="0"/>
    <s v="Nil"/>
    <m/>
    <s v="BF"/>
    <s v="MIX"/>
    <x v="0"/>
    <x v="5"/>
    <n v="6.0000000521540598E-3"/>
    <d v="2018-06-11T00:00:00"/>
    <x v="0"/>
    <d v="2020-03-31T00:00:00"/>
    <x v="0"/>
    <s v="M"/>
    <m/>
    <m/>
    <n v="0"/>
    <n v="0"/>
    <n v="0"/>
    <n v="0"/>
    <n v="0"/>
    <n v="0"/>
    <n v="0"/>
    <n v="1"/>
    <n v="0"/>
    <n v="0"/>
    <n v="0"/>
    <n v="0"/>
    <n v="0"/>
    <n v="0"/>
    <n v="0"/>
    <n v="0"/>
    <n v="0"/>
    <n v="0"/>
    <n v="0"/>
    <n v="0"/>
    <n v="0"/>
    <n v="1"/>
    <n v="0"/>
    <n v="0"/>
    <n v="0"/>
    <n v="0"/>
    <n v="0"/>
    <n v="0"/>
    <n v="0"/>
    <n v="0"/>
    <n v="0"/>
    <n v="0"/>
    <x v="0"/>
    <x v="0"/>
    <x v="0"/>
    <x v="0"/>
    <x v="0"/>
    <m/>
    <x v="0"/>
    <x v="0"/>
    <n v="12"/>
    <n v="1"/>
    <m/>
    <m/>
    <m/>
    <m/>
    <m/>
    <m/>
    <m/>
    <m/>
    <m/>
    <m/>
    <m/>
    <m/>
    <m/>
    <m/>
    <m/>
    <m/>
    <m/>
    <m/>
    <m/>
    <m/>
    <n v="0"/>
    <n v="0"/>
  </r>
  <r>
    <n v="6250"/>
    <x v="0"/>
    <s v="2016/2770"/>
    <s v="76-87 Arnal Crescent"/>
    <m/>
    <n v="524222"/>
    <n v="173822"/>
    <x v="18"/>
    <d v="2018-03-31T00:00:00"/>
    <d v="2019-04-25T00:00:00"/>
    <n v="0"/>
    <n v="2"/>
    <n v="2"/>
    <n v="2"/>
    <n v="2"/>
    <x v="0"/>
    <s v="Alterations including infilling of undercroft parking area to provide 1 x 1-bedroom and 1 x 2- bedroom flats with erection of railings and access ramp to east elevation."/>
    <s v="PF"/>
    <d v="2016-05-25T00:00:00"/>
    <d v="2016-09-15T00:00:00"/>
    <x v="0"/>
    <s v="Nil"/>
    <m/>
    <s v="BF"/>
    <s v="NB"/>
    <x v="0"/>
    <x v="5"/>
    <n v="1.30000002682209E-2"/>
    <d v="2018-03-31T00:00:00"/>
    <x v="0"/>
    <d v="2019-04-25T00:00:00"/>
    <x v="2"/>
    <s v="AC"/>
    <m/>
    <m/>
    <n v="2"/>
    <n v="0"/>
    <n v="2"/>
    <n v="0"/>
    <n v="0"/>
    <n v="1"/>
    <n v="1"/>
    <n v="0"/>
    <n v="0"/>
    <n v="0"/>
    <n v="0"/>
    <n v="0"/>
    <n v="1"/>
    <n v="1"/>
    <n v="0"/>
    <n v="0"/>
    <n v="0"/>
    <n v="0"/>
    <n v="0"/>
    <n v="0"/>
    <n v="0"/>
    <n v="0"/>
    <n v="0"/>
    <n v="0"/>
    <n v="0"/>
    <n v="0"/>
    <n v="0"/>
    <n v="0"/>
    <n v="0"/>
    <n v="0"/>
    <n v="0"/>
    <n v="0"/>
    <x v="0"/>
    <x v="0"/>
    <x v="0"/>
    <x v="0"/>
    <x v="0"/>
    <m/>
    <x v="0"/>
    <x v="0"/>
    <n v="1"/>
    <n v="2"/>
    <m/>
    <m/>
    <m/>
    <m/>
    <m/>
    <m/>
    <m/>
    <m/>
    <m/>
    <m/>
    <m/>
    <m/>
    <m/>
    <m/>
    <m/>
    <m/>
    <m/>
    <m/>
    <m/>
    <m/>
    <n v="0"/>
    <n v="0"/>
  </r>
  <r>
    <n v="6263"/>
    <x v="0"/>
    <s v="2016/2823"/>
    <s v="30 Harvard Mansions, St Johns Hill"/>
    <m/>
    <n v="526852"/>
    <n v="175075"/>
    <x v="2"/>
    <d v="2017-10-03T00:00:00"/>
    <d v="2019-04-01T00:00:00"/>
    <n v="1"/>
    <n v="2"/>
    <n v="1"/>
    <n v="2"/>
    <n v="1"/>
    <x v="0"/>
    <s v="Conversion of existing 4 x bed flat into 1 x 1-bedroom flat and 1 x studio flats."/>
    <s v="PF"/>
    <d v="2016-06-03T00:00:00"/>
    <d v="2016-07-28T00:00:00"/>
    <x v="0"/>
    <s v="Nil"/>
    <m/>
    <s v="BF"/>
    <s v="CON"/>
    <x v="0"/>
    <x v="0"/>
    <n v="4.0000001899898104E-3"/>
    <d v="2017-10-03T00:00:00"/>
    <x v="0"/>
    <d v="2019-04-01T00:00:00"/>
    <x v="0"/>
    <s v="M"/>
    <m/>
    <m/>
    <n v="0"/>
    <n v="0"/>
    <n v="0"/>
    <n v="0"/>
    <n v="1"/>
    <n v="1"/>
    <n v="0"/>
    <n v="0"/>
    <n v="-1"/>
    <n v="0"/>
    <n v="0"/>
    <n v="1"/>
    <n v="1"/>
    <n v="0"/>
    <n v="0"/>
    <n v="-1"/>
    <n v="0"/>
    <n v="0"/>
    <n v="0"/>
    <n v="0"/>
    <n v="0"/>
    <n v="0"/>
    <n v="0"/>
    <n v="0"/>
    <n v="0"/>
    <n v="0"/>
    <n v="0"/>
    <n v="0"/>
    <n v="0"/>
    <n v="0"/>
    <n v="0"/>
    <n v="0"/>
    <x v="0"/>
    <x v="0"/>
    <x v="0"/>
    <x v="0"/>
    <x v="0"/>
    <m/>
    <x v="0"/>
    <x v="0"/>
    <n v="12"/>
    <n v="1"/>
    <m/>
    <m/>
    <m/>
    <m/>
    <m/>
    <m/>
    <m/>
    <m/>
    <m/>
    <m/>
    <m/>
    <m/>
    <m/>
    <m/>
    <m/>
    <m/>
    <m/>
    <m/>
    <m/>
    <m/>
    <n v="0"/>
    <n v="0"/>
  </r>
  <r>
    <n v="6281"/>
    <x v="0"/>
    <s v="2016/3297"/>
    <s v="32 Malbrook Road"/>
    <m/>
    <n v="522932"/>
    <n v="175036"/>
    <x v="15"/>
    <d v="2018-03-31T00:00:00"/>
    <d v="2019-06-20T00:00:00"/>
    <n v="1"/>
    <n v="2"/>
    <n v="1"/>
    <n v="2"/>
    <n v="1"/>
    <x v="0"/>
    <s v="Demolition of existing house and erection of 2 x two-storey semi-detached houses with accommodation at basement and roof levels; rebuilding of front and side boundary walls and associated landscaping."/>
    <s v="PF"/>
    <d v="2016-06-07T00:00:00"/>
    <d v="2016-08-02T00:00:00"/>
    <x v="0"/>
    <s v="Nil"/>
    <m/>
    <s v="BF"/>
    <s v="NB"/>
    <x v="0"/>
    <x v="5"/>
    <n v="8.6000002920627594E-2"/>
    <d v="2018-03-31T00:00:00"/>
    <x v="0"/>
    <d v="2019-06-20T00:00:00"/>
    <x v="0"/>
    <s v="M"/>
    <m/>
    <m/>
    <n v="0"/>
    <n v="0"/>
    <n v="0"/>
    <n v="0"/>
    <n v="0"/>
    <n v="0"/>
    <n v="0"/>
    <n v="0"/>
    <n v="1"/>
    <n v="0"/>
    <n v="0"/>
    <n v="0"/>
    <n v="0"/>
    <n v="0"/>
    <n v="0"/>
    <n v="0"/>
    <n v="0"/>
    <n v="0"/>
    <n v="0"/>
    <n v="0"/>
    <n v="0"/>
    <n v="0"/>
    <n v="1"/>
    <n v="0"/>
    <n v="0"/>
    <n v="0"/>
    <n v="0"/>
    <n v="0"/>
    <n v="0"/>
    <n v="0"/>
    <n v="0"/>
    <n v="0"/>
    <x v="0"/>
    <x v="0"/>
    <x v="0"/>
    <x v="0"/>
    <x v="0"/>
    <m/>
    <x v="0"/>
    <x v="0"/>
    <n v="1"/>
    <n v="1"/>
    <m/>
    <m/>
    <m/>
    <m/>
    <m/>
    <m/>
    <m/>
    <m/>
    <m/>
    <m/>
    <m/>
    <m/>
    <m/>
    <m/>
    <m/>
    <m/>
    <m/>
    <m/>
    <m/>
    <m/>
    <n v="0"/>
    <n v="0"/>
  </r>
  <r>
    <n v="6282"/>
    <x v="0"/>
    <s v="2017/0466"/>
    <s v="25 West Hill Road"/>
    <m/>
    <n v="524759"/>
    <n v="174251"/>
    <x v="5"/>
    <d v="2020-03-31T00:00:00"/>
    <d v="2020-03-31T00:00:00"/>
    <n v="1"/>
    <n v="4"/>
    <n v="3"/>
    <n v="4"/>
    <n v="3"/>
    <x v="0"/>
    <s v="Demolition of existing house and erection of 4 x three-storey (including basement) 5-bedroom houses (2 x detached and 2 x semi-detached) with associated landscaping and provision of 4 off-street parking spaces (Amendments to planning refusal 2016/2724)."/>
    <s v="PF"/>
    <d v="2017-03-02T00:00:00"/>
    <d v="2017-05-18T00:00:00"/>
    <x v="0"/>
    <s v="Nil"/>
    <m/>
    <s v="BF"/>
    <s v="NB"/>
    <x v="0"/>
    <x v="5"/>
    <n v="0.193000003695488"/>
    <d v="2020-03-31T00:00:00"/>
    <x v="1"/>
    <d v="2020-03-31T00:00:00"/>
    <x v="0"/>
    <s v="M"/>
    <m/>
    <m/>
    <n v="0"/>
    <n v="0"/>
    <n v="0"/>
    <n v="0"/>
    <n v="0"/>
    <n v="0"/>
    <n v="0"/>
    <n v="0"/>
    <n v="0"/>
    <n v="3"/>
    <n v="0"/>
    <n v="0"/>
    <n v="0"/>
    <n v="0"/>
    <n v="0"/>
    <n v="0"/>
    <n v="0"/>
    <n v="0"/>
    <n v="0"/>
    <n v="0"/>
    <n v="0"/>
    <n v="0"/>
    <n v="0"/>
    <n v="3"/>
    <n v="0"/>
    <n v="0"/>
    <n v="0"/>
    <n v="0"/>
    <n v="0"/>
    <n v="0"/>
    <n v="0"/>
    <n v="0"/>
    <x v="0"/>
    <x v="0"/>
    <x v="0"/>
    <x v="0"/>
    <x v="0"/>
    <m/>
    <x v="0"/>
    <x v="0"/>
    <n v="1"/>
    <n v="3"/>
    <m/>
    <m/>
    <m/>
    <m/>
    <m/>
    <m/>
    <m/>
    <m/>
    <m/>
    <m/>
    <m/>
    <m/>
    <m/>
    <m/>
    <m/>
    <m/>
    <m/>
    <m/>
    <m/>
    <m/>
    <n v="0"/>
    <n v="0"/>
  </r>
  <r>
    <n v="6294"/>
    <x v="0"/>
    <s v="2018/1333"/>
    <s v="72 Gowrie Road"/>
    <m/>
    <n v="528226"/>
    <n v="175530"/>
    <x v="9"/>
    <d v="2018-10-14T00:00:00"/>
    <d v="2020-03-31T00:00:00"/>
    <n v="1"/>
    <n v="1"/>
    <n v="0"/>
    <n v="1"/>
    <n v="0"/>
    <x v="0"/>
    <s v="Demolition of existing dwellinghouse (except for front facade and front sections of the side facades) and erection of a replacement house, including excavation of basement with front and rear lightwells, increased ridge height by 350mm, front rooflights, erection of mansard roof extension to main rear roof and part single, part three-storey rear additions with a roof terrace and1.7m high surrounding screen."/>
    <s v="PF"/>
    <d v="2018-03-29T00:00:00"/>
    <d v="2018-07-20T00:00:00"/>
    <x v="0"/>
    <s v="Nil"/>
    <m/>
    <s v="BF"/>
    <s v="NB"/>
    <x v="0"/>
    <x v="5"/>
    <n v="1.09999999403954E-2"/>
    <d v="2018-10-14T00:00:00"/>
    <x v="0"/>
    <d v="2020-03-31T00:00:00"/>
    <x v="0"/>
    <s v="M"/>
    <m/>
    <m/>
    <n v="0"/>
    <n v="0"/>
    <n v="0"/>
    <n v="0"/>
    <n v="0"/>
    <n v="0"/>
    <n v="0"/>
    <n v="0"/>
    <n v="0"/>
    <n v="0"/>
    <n v="0"/>
    <n v="0"/>
    <n v="0"/>
    <n v="0"/>
    <n v="0"/>
    <n v="0"/>
    <n v="0"/>
    <n v="0"/>
    <n v="0"/>
    <n v="0"/>
    <n v="0"/>
    <n v="0"/>
    <n v="0"/>
    <n v="0"/>
    <n v="0"/>
    <n v="0"/>
    <n v="0"/>
    <n v="0"/>
    <n v="0"/>
    <n v="0"/>
    <n v="0"/>
    <n v="0"/>
    <x v="0"/>
    <x v="0"/>
    <x v="0"/>
    <x v="0"/>
    <x v="0"/>
    <m/>
    <x v="0"/>
    <x v="0"/>
    <n v="1"/>
    <n v="0"/>
    <m/>
    <m/>
    <m/>
    <m/>
    <m/>
    <m/>
    <m/>
    <m/>
    <m/>
    <m/>
    <m/>
    <m/>
    <m/>
    <m/>
    <m/>
    <m/>
    <m/>
    <m/>
    <m/>
    <m/>
    <n v="0"/>
    <n v="0"/>
  </r>
  <r>
    <n v="6303"/>
    <x v="0"/>
    <s v="2016/4081"/>
    <s v="Unit 5 Old School House, Bridge Lane"/>
    <m/>
    <n v="527362"/>
    <n v="176577"/>
    <x v="11"/>
    <d v="2019-04-01T00:00:00"/>
    <d v="2019-06-20T00:00:00"/>
    <n v="0"/>
    <n v="1"/>
    <n v="1"/>
    <n v="1"/>
    <n v="1"/>
    <x v="0"/>
    <s v="Determination as to whether prior approval is required for change of use of office   from (Class B1a) to residential (Class C3)"/>
    <s v="PAG"/>
    <d v="2016-07-11T00:00:00"/>
    <d v="2016-09-05T00:00:00"/>
    <x v="0"/>
    <s v="Nil"/>
    <m/>
    <s v="BF"/>
    <s v="COU"/>
    <x v="0"/>
    <x v="6"/>
    <n v="6.0000000521540598E-3"/>
    <d v="2019-04-01T00:00:00"/>
    <x v="1"/>
    <d v="2019-06-20T00:00:00"/>
    <x v="0"/>
    <s v="M"/>
    <m/>
    <m/>
    <n v="0"/>
    <n v="0"/>
    <n v="0"/>
    <n v="0"/>
    <n v="0"/>
    <n v="1"/>
    <n v="0"/>
    <n v="0"/>
    <n v="0"/>
    <n v="0"/>
    <n v="0"/>
    <n v="0"/>
    <n v="0"/>
    <n v="0"/>
    <n v="0"/>
    <n v="0"/>
    <n v="0"/>
    <n v="0"/>
    <n v="0"/>
    <n v="1"/>
    <n v="0"/>
    <n v="0"/>
    <n v="0"/>
    <n v="0"/>
    <n v="0"/>
    <n v="0"/>
    <n v="0"/>
    <n v="0"/>
    <n v="0"/>
    <n v="0"/>
    <n v="0"/>
    <n v="0"/>
    <x v="0"/>
    <x v="0"/>
    <x v="0"/>
    <x v="0"/>
    <x v="0"/>
    <m/>
    <x v="0"/>
    <x v="0"/>
    <n v="12"/>
    <n v="1"/>
    <m/>
    <m/>
    <m/>
    <m/>
    <m/>
    <m/>
    <m/>
    <m/>
    <m/>
    <m/>
    <m/>
    <m/>
    <m/>
    <m/>
    <m/>
    <m/>
    <m/>
    <m/>
    <m/>
    <m/>
    <n v="0"/>
    <n v="0"/>
  </r>
  <r>
    <n v="6308"/>
    <x v="0"/>
    <s v="2018/3248"/>
    <s v="38-40 Fernlea Road"/>
    <s v="38 Fernlea Road conversion"/>
    <n v="528835"/>
    <n v="173118"/>
    <x v="6"/>
    <d v="2017-10-11T00:00:00"/>
    <d v="2019-10-21T00:00:00"/>
    <n v="0"/>
    <n v="1"/>
    <n v="1"/>
    <n v="6"/>
    <n v="4"/>
    <x v="0"/>
    <s v="Conversion of basement, ground floor &amp; first floor flats to create 6 flats (2 x 2-bedroom and 4 x 1-bedroom). Lightwells to front with railings and bin and bicycle storage area to front. Alterations including erection of a part single-, part two-storey rear extension with terraces at ground floor level."/>
    <s v="PF"/>
    <d v="2018-08-07T00:00:00"/>
    <d v="2018-11-15T00:00:00"/>
    <x v="0"/>
    <s v="Nil"/>
    <m/>
    <s v="BF"/>
    <s v="MIX"/>
    <x v="0"/>
    <x v="0"/>
    <n v="4.9999998882412902E-3"/>
    <d v="2017-10-11T00:00:00"/>
    <x v="0"/>
    <d v="2019-10-2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308"/>
    <x v="0"/>
    <s v="2018/3248"/>
    <s v="38-40 Fernlea Road"/>
    <s v="38 Fernlea Road extn"/>
    <n v="528835"/>
    <n v="173118"/>
    <x v="6"/>
    <d v="2017-10-11T00:00:00"/>
    <d v="2019-10-21T00:00:00"/>
    <n v="2"/>
    <n v="1"/>
    <n v="-1"/>
    <n v="6"/>
    <n v="4"/>
    <x v="0"/>
    <s v="Conversion of basement, ground floor &amp; first floor flats to create 6 flats (2 x 2-bedroom and 4 x 1-bedroom). Lightwells to front with railings and bin and bicycle storage area to front. Alterations including erection of a part single-, part two-storey rear extension with terraces at ground floor level."/>
    <s v="PF"/>
    <d v="2018-08-07T00:00:00"/>
    <d v="2018-11-15T00:00:00"/>
    <x v="0"/>
    <s v="Nil"/>
    <m/>
    <s v="BF"/>
    <s v="MIX"/>
    <x v="0"/>
    <x v="3"/>
    <n v="8.0000003799796104E-3"/>
    <d v="2019-03-31T00:00:00"/>
    <x v="0"/>
    <d v="2019-10-21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6308"/>
    <x v="0"/>
    <s v="2018/3248"/>
    <s v="38-40 Fernlea Road"/>
    <s v="38-40 Fernlea Road 1st floor rear extn"/>
    <n v="528835"/>
    <n v="173118"/>
    <x v="6"/>
    <d v="2017-10-11T00:00:00"/>
    <d v="2019-10-21T00:00:00"/>
    <n v="0"/>
    <n v="1"/>
    <n v="1"/>
    <n v="6"/>
    <n v="4"/>
    <x v="0"/>
    <s v="Conversion of basement, ground floor &amp; first floor flats to create 6 flats (2 x 2-bedroom and 4 x 1-bedroom). Lightwells to front with railings and bin and bicycle storage area to front. Alterations including erection of a part single-, part two-storey rear extension with terraces at ground floor level."/>
    <s v="PF"/>
    <d v="2018-08-07T00:00:00"/>
    <d v="2018-11-15T00:00:00"/>
    <x v="0"/>
    <s v="Nil"/>
    <m/>
    <s v="BF"/>
    <s v="MIX"/>
    <x v="0"/>
    <x v="3"/>
    <n v="4.0000001899898104E-3"/>
    <d v="2019-03-31T00:00:00"/>
    <x v="0"/>
    <d v="2019-10-2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308"/>
    <x v="0"/>
    <s v="2018/3248"/>
    <s v="38-40 Fernlea Road"/>
    <s v="38-40 Fernlea Road extn 1st floor front"/>
    <n v="528835"/>
    <n v="173118"/>
    <x v="6"/>
    <d v="2017-10-11T00:00:00"/>
    <d v="2019-10-21T00:00:00"/>
    <n v="0"/>
    <n v="1"/>
    <n v="1"/>
    <n v="6"/>
    <n v="4"/>
    <x v="0"/>
    <s v="Conversion of basement, ground floor &amp; first floor flats to create 6 flats (2 x 2-bedroom and 4 x 1-bedroom). Lightwells to front with railings and bin and bicycle storage area to front. Alterations including erection of a part single-, part two-storey rear extension with terraces at ground floor level."/>
    <s v="PF"/>
    <d v="2018-08-07T00:00:00"/>
    <d v="2018-11-15T00:00:00"/>
    <x v="0"/>
    <s v="Nil"/>
    <m/>
    <s v="BF"/>
    <s v="MIX"/>
    <x v="0"/>
    <x v="3"/>
    <n v="4.9999998882412902E-3"/>
    <d v="2019-03-31T00:00:00"/>
    <x v="0"/>
    <d v="2019-10-2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308"/>
    <x v="0"/>
    <s v="2018/3248"/>
    <s v="38-40 Fernlea Road"/>
    <s v="40 Fernlea Road conversion"/>
    <n v="528835"/>
    <n v="173118"/>
    <x v="6"/>
    <d v="2017-10-11T00:00:00"/>
    <d v="2019-10-21T00:00:00"/>
    <n v="0"/>
    <n v="1"/>
    <n v="1"/>
    <n v="6"/>
    <n v="4"/>
    <x v="0"/>
    <s v="Conversion of basement, ground floor &amp; first floor flats to create 6 flats (2 x 2-bedroom and 4 x 1-bedroom). Lightwells to front with railings and bin and bicycle storage area to front. Alterations including erection of a part single-, part two-storey rear extension with terraces at ground floor level."/>
    <s v="PF"/>
    <d v="2018-08-07T00:00:00"/>
    <d v="2018-11-15T00:00:00"/>
    <x v="0"/>
    <s v="Nil"/>
    <m/>
    <s v="BF"/>
    <s v="MIX"/>
    <x v="0"/>
    <x v="9"/>
    <n v="4.0000001899898104E-3"/>
    <d v="2019-03-31T00:00:00"/>
    <x v="0"/>
    <d v="2019-10-2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308"/>
    <x v="0"/>
    <s v="2018/3248"/>
    <s v="38-40 Fernlea Road"/>
    <s v="40 Fernlea Road Extn"/>
    <n v="528835"/>
    <n v="173118"/>
    <x v="6"/>
    <d v="2017-10-11T00:00:00"/>
    <d v="2019-10-21T00:00:00"/>
    <n v="0"/>
    <n v="1"/>
    <n v="1"/>
    <n v="6"/>
    <n v="4"/>
    <x v="0"/>
    <s v="Conversion of basement, ground floor &amp; first floor flats to create 6 flats (2 x 2-bedroom and 4 x 1-bedroom). Lightwells to front with railings and bin and bicycle storage area to front. Alterations including erection of a part single-, part two-storey rear extension with terraces at ground floor level."/>
    <s v="PF"/>
    <d v="2018-08-07T00:00:00"/>
    <d v="2018-11-15T00:00:00"/>
    <x v="0"/>
    <s v="Nil"/>
    <m/>
    <s v="BF"/>
    <s v="MIX"/>
    <x v="0"/>
    <x v="3"/>
    <n v="8.0000003799796104E-3"/>
    <d v="2019-03-31T00:00:00"/>
    <x v="0"/>
    <d v="2019-10-21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6356"/>
    <x v="0"/>
    <s v="2016/5245"/>
    <s v="Garages south of 19-27, 19 Skelbrook Road"/>
    <m/>
    <n v="525993"/>
    <n v="172744"/>
    <x v="8"/>
    <d v="2017-03-31T00:00:00"/>
    <d v="2019-05-13T00:00:00"/>
    <n v="0"/>
    <n v="2"/>
    <n v="2"/>
    <n v="2"/>
    <n v="2"/>
    <x v="0"/>
    <s v="Demolition of existing garages and erection of  2 x 2-storey, 3-bedroom houses with associated landscaping and 2 x off-street parking spaces with access from Summerley Street."/>
    <s v="PF"/>
    <d v="2016-09-06T00:00:00"/>
    <d v="2016-10-31T00:00:00"/>
    <x v="0"/>
    <s v="Nil"/>
    <m/>
    <s v="BF"/>
    <s v="NB"/>
    <x v="0"/>
    <x v="5"/>
    <n v="2.4000000208616298E-2"/>
    <d v="2017-03-31T00:00:00"/>
    <x v="0"/>
    <d v="2019-05-13T00:00:00"/>
    <x v="0"/>
    <s v="M"/>
    <m/>
    <m/>
    <n v="0"/>
    <n v="0"/>
    <n v="0"/>
    <n v="0"/>
    <n v="0"/>
    <n v="0"/>
    <n v="0"/>
    <n v="2"/>
    <n v="0"/>
    <n v="0"/>
    <n v="0"/>
    <n v="0"/>
    <n v="0"/>
    <n v="0"/>
    <n v="0"/>
    <n v="0"/>
    <n v="0"/>
    <n v="0"/>
    <n v="0"/>
    <n v="0"/>
    <n v="0"/>
    <n v="2"/>
    <n v="0"/>
    <n v="0"/>
    <n v="0"/>
    <n v="0"/>
    <n v="0"/>
    <n v="0"/>
    <n v="0"/>
    <n v="0"/>
    <n v="0"/>
    <n v="0"/>
    <x v="0"/>
    <x v="0"/>
    <x v="0"/>
    <x v="0"/>
    <x v="0"/>
    <m/>
    <x v="0"/>
    <x v="0"/>
    <n v="1"/>
    <n v="2"/>
    <m/>
    <m/>
    <m/>
    <m/>
    <m/>
    <m/>
    <m/>
    <m/>
    <m/>
    <m/>
    <m/>
    <m/>
    <m/>
    <m/>
    <m/>
    <m/>
    <m/>
    <m/>
    <m/>
    <m/>
    <n v="0"/>
    <n v="0"/>
  </r>
  <r>
    <n v="6362"/>
    <x v="0"/>
    <s v="2016/5139"/>
    <s v="85 Elspeth Road"/>
    <m/>
    <n v="527854"/>
    <n v="175303"/>
    <x v="9"/>
    <d v="2017-03-31T00:00:00"/>
    <d v="2019-05-03T00:00:00"/>
    <n v="1"/>
    <n v="3"/>
    <n v="2"/>
    <n v="3"/>
    <n v="2"/>
    <x v="0"/>
    <s v="Erection of mansard extension to main rear roof and formation of roof terrace with 1.7m glazed screen surround; excavation to enlarge basement including formation of front and rear lightwells with grille over; alterations in connection with conversion of property into 1 x 3-bedroom and 2 x 1-bedroom flats."/>
    <s v="PF"/>
    <d v="2016-08-30T00:00:00"/>
    <d v="2016-11-28T00:00:00"/>
    <x v="0"/>
    <s v="Nil"/>
    <m/>
    <s v="BF"/>
    <s v="MIX"/>
    <x v="0"/>
    <x v="2"/>
    <n v="1.09999999403954E-2"/>
    <d v="2017-03-31T00:00:00"/>
    <x v="0"/>
    <d v="2019-05-03T00:00:00"/>
    <x v="0"/>
    <s v="M"/>
    <m/>
    <m/>
    <n v="0"/>
    <n v="0"/>
    <n v="0"/>
    <n v="0"/>
    <n v="0"/>
    <n v="2"/>
    <n v="0"/>
    <n v="1"/>
    <n v="-1"/>
    <n v="0"/>
    <n v="0"/>
    <n v="0"/>
    <n v="2"/>
    <n v="0"/>
    <n v="1"/>
    <n v="0"/>
    <n v="0"/>
    <n v="0"/>
    <n v="0"/>
    <n v="0"/>
    <n v="0"/>
    <n v="0"/>
    <n v="-1"/>
    <n v="0"/>
    <n v="0"/>
    <n v="0"/>
    <n v="0"/>
    <n v="0"/>
    <n v="0"/>
    <n v="0"/>
    <n v="0"/>
    <n v="0"/>
    <x v="0"/>
    <x v="0"/>
    <x v="0"/>
    <x v="0"/>
    <x v="0"/>
    <m/>
    <x v="0"/>
    <x v="0"/>
    <n v="12"/>
    <n v="2"/>
    <m/>
    <m/>
    <m/>
    <m/>
    <m/>
    <m/>
    <m/>
    <m/>
    <m/>
    <m/>
    <m/>
    <m/>
    <m/>
    <m/>
    <m/>
    <m/>
    <m/>
    <m/>
    <m/>
    <m/>
    <n v="0"/>
    <n v="0"/>
  </r>
  <r>
    <n v="6363"/>
    <x v="0"/>
    <s v="2016/5168"/>
    <s v="Land at  (west of HM Prison), Heathfield Square"/>
    <m/>
    <n v="526647"/>
    <n v="173996"/>
    <x v="17"/>
    <d v="2017-09-01T00:00:00"/>
    <d v="2019-04-30T00:00:00"/>
    <n v="0"/>
    <n v="14"/>
    <n v="14"/>
    <n v="18"/>
    <n v="18"/>
    <x v="1"/>
    <s v="Redevelopment of the site to provide 18 residential units, comprising six 4-bedroomed houses and 12 flats (3 x one-bedroom, 5 x two-bedroom and 4 x three-bedroom), including 4 shared ownership units, in buildings ranging between two and four-storeys high, with additional accommodation with the roofspace, and including balconies and terraces, with 18 associated off-street parking spaces, cycle parking, access and landscaping works."/>
    <s v="PFLA"/>
    <d v="2016-09-01T00:00:00"/>
    <d v="2017-06-13T00:00:00"/>
    <x v="0"/>
    <s v="Nil"/>
    <m/>
    <s v="BF"/>
    <s v="NB"/>
    <x v="1"/>
    <x v="7"/>
    <n v="0.29100000858306901"/>
    <d v="2017-09-01T00:00:00"/>
    <x v="0"/>
    <d v="2019-04-30T00:00:00"/>
    <x v="0"/>
    <s v="M"/>
    <s v="9.4"/>
    <m/>
    <n v="0"/>
    <n v="14"/>
    <n v="0"/>
    <n v="0"/>
    <n v="0"/>
    <n v="2"/>
    <n v="3"/>
    <n v="3"/>
    <n v="6"/>
    <n v="0"/>
    <n v="0"/>
    <n v="0"/>
    <n v="2"/>
    <n v="3"/>
    <n v="3"/>
    <n v="0"/>
    <n v="0"/>
    <n v="0"/>
    <n v="0"/>
    <n v="0"/>
    <n v="0"/>
    <n v="0"/>
    <n v="6"/>
    <n v="0"/>
    <n v="0"/>
    <n v="0"/>
    <n v="0"/>
    <n v="0"/>
    <n v="0"/>
    <n v="0"/>
    <n v="0"/>
    <n v="0"/>
    <x v="0"/>
    <x v="0"/>
    <x v="0"/>
    <x v="0"/>
    <x v="0"/>
    <m/>
    <x v="0"/>
    <x v="0"/>
    <n v="1"/>
    <n v="14"/>
    <m/>
    <m/>
    <m/>
    <m/>
    <m/>
    <m/>
    <m/>
    <m/>
    <m/>
    <m/>
    <m/>
    <m/>
    <m/>
    <m/>
    <m/>
    <m/>
    <m/>
    <m/>
    <m/>
    <m/>
    <n v="0"/>
    <n v="0"/>
  </r>
  <r>
    <n v="6363"/>
    <x v="0"/>
    <s v="2016/5168"/>
    <s v="Land at  (west of HM Prison), Heathfield Square"/>
    <m/>
    <n v="526647"/>
    <n v="173996"/>
    <x v="17"/>
    <d v="2017-09-01T00:00:00"/>
    <d v="2019-04-30T00:00:00"/>
    <n v="0"/>
    <n v="4"/>
    <n v="4"/>
    <n v="18"/>
    <n v="18"/>
    <x v="1"/>
    <s v="Redevelopment of the site to provide 18 residential units, comprising six 4-bedroomed houses and 12 flats (3 x one-bedroom, 5 x two-bedroom and 4 x three-bedroom), including 4 shared ownership units, in buildings ranging between two and four-storeys high, with additional accommodation with the roofspace, and including balconies and terraces, with 18 associated off-street parking spaces, cycle parking, access and landscaping works."/>
    <s v="PFLA"/>
    <d v="2016-09-01T00:00:00"/>
    <d v="2017-06-13T00:00:00"/>
    <x v="0"/>
    <s v="Nil"/>
    <m/>
    <s v="BF"/>
    <s v="NB"/>
    <x v="1"/>
    <x v="7"/>
    <n v="8.2999996840953799E-2"/>
    <d v="2017-09-01T00:00:00"/>
    <x v="0"/>
    <d v="2019-04-30T00:00:00"/>
    <x v="1"/>
    <s v="ISO"/>
    <s v="9.4"/>
    <m/>
    <n v="0"/>
    <n v="4"/>
    <n v="0"/>
    <n v="0"/>
    <n v="0"/>
    <n v="1"/>
    <n v="2"/>
    <n v="1"/>
    <n v="0"/>
    <n v="0"/>
    <n v="0"/>
    <n v="0"/>
    <n v="1"/>
    <n v="2"/>
    <n v="1"/>
    <n v="0"/>
    <n v="0"/>
    <n v="0"/>
    <n v="0"/>
    <n v="0"/>
    <n v="0"/>
    <n v="0"/>
    <n v="0"/>
    <n v="0"/>
    <n v="0"/>
    <n v="0"/>
    <n v="0"/>
    <n v="0"/>
    <n v="0"/>
    <n v="0"/>
    <n v="0"/>
    <n v="0"/>
    <x v="0"/>
    <x v="0"/>
    <x v="0"/>
    <x v="0"/>
    <x v="0"/>
    <m/>
    <x v="0"/>
    <x v="0"/>
    <n v="1"/>
    <n v="4"/>
    <m/>
    <m/>
    <m/>
    <m/>
    <m/>
    <m/>
    <m/>
    <m/>
    <m/>
    <m/>
    <m/>
    <m/>
    <m/>
    <m/>
    <m/>
    <m/>
    <m/>
    <m/>
    <m/>
    <m/>
    <n v="0"/>
    <n v="0"/>
  </r>
  <r>
    <n v="6371"/>
    <x v="0"/>
    <s v="2016/6533"/>
    <s v="523 Old York Road"/>
    <m/>
    <n v="525949"/>
    <n v="174999"/>
    <x v="2"/>
    <d v="2017-09-05T00:00:00"/>
    <d v="2019-09-27T00:00:00"/>
    <n v="0"/>
    <n v="3"/>
    <n v="3"/>
    <n v="3"/>
    <n v="3"/>
    <x v="0"/>
    <s v="Erection of replacement part single-part two storey rear extensions, erection of mansard roof extension, erection of a front dormer, erection of a mansard roof extension above the back addition including formation of roof terrace with glazed screen surround, change of use of first floor and part of the ground floor office space, excavation to enlarge basement including formation of rear lightwells and alterations to provide 1 x 1-bedroom, 1 x 2-bedroom and 1 x 3-bedroom flats."/>
    <s v="PF"/>
    <d v="2016-11-09T00:00:00"/>
    <d v="2017-03-29T00:00:00"/>
    <x v="0"/>
    <s v="Nil"/>
    <m/>
    <s v="BF"/>
    <s v="MIX"/>
    <x v="0"/>
    <x v="6"/>
    <n v="7.0000002160668399E-3"/>
    <d v="2017-09-05T00:00:00"/>
    <x v="0"/>
    <d v="2019-09-27T00:00:00"/>
    <x v="0"/>
    <s v="M"/>
    <m/>
    <m/>
    <n v="0"/>
    <n v="0"/>
    <n v="0"/>
    <n v="0"/>
    <n v="0"/>
    <n v="1"/>
    <n v="1"/>
    <n v="1"/>
    <n v="0"/>
    <n v="0"/>
    <n v="0"/>
    <n v="0"/>
    <n v="1"/>
    <n v="1"/>
    <n v="1"/>
    <n v="0"/>
    <n v="0"/>
    <n v="0"/>
    <n v="0"/>
    <n v="0"/>
    <n v="0"/>
    <n v="0"/>
    <n v="0"/>
    <n v="0"/>
    <n v="0"/>
    <n v="0"/>
    <n v="0"/>
    <n v="0"/>
    <n v="0"/>
    <n v="0"/>
    <n v="0"/>
    <n v="0"/>
    <x v="0"/>
    <x v="0"/>
    <x v="0"/>
    <x v="0"/>
    <x v="0"/>
    <m/>
    <x v="0"/>
    <x v="0"/>
    <n v="12"/>
    <n v="3"/>
    <m/>
    <m/>
    <m/>
    <m/>
    <m/>
    <m/>
    <m/>
    <m/>
    <m/>
    <m/>
    <m/>
    <m/>
    <m/>
    <m/>
    <m/>
    <m/>
    <m/>
    <m/>
    <m/>
    <m/>
    <n v="0"/>
    <n v="0"/>
  </r>
  <r>
    <n v="6376"/>
    <x v="0"/>
    <s v="2016/7163"/>
    <s v="Ground and basement 190a, 190a Trinity Road"/>
    <m/>
    <n v="527524"/>
    <n v="173106"/>
    <x v="3"/>
    <d v="2019-04-26T00:00:00"/>
    <d v="2019-07-03T00:00:00"/>
    <n v="1"/>
    <n v="2"/>
    <n v="1"/>
    <n v="2"/>
    <n v="1"/>
    <x v="0"/>
    <s v="Excavation to extend basement including formation of front and rear lightwells, and erection of single storey plus basement level rear extension, in association with subdivision of property into a 1 x two-bedroom and 1 x one-bedroom flats (amendments to application ref. 2016/1652 proposing revised design to rear extension and changes to front lightwell)."/>
    <s v="PF"/>
    <d v="2016-12-12T00:00:00"/>
    <d v="2017-02-27T00:00:00"/>
    <x v="0"/>
    <s v="Nil"/>
    <m/>
    <s v="BF"/>
    <s v="CON"/>
    <x v="0"/>
    <x v="0"/>
    <n v="8.0000003799796104E-3"/>
    <d v="2019-04-26T00:00:00"/>
    <x v="1"/>
    <d v="2019-07-03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388"/>
    <x v="0"/>
    <s v="2016/6183"/>
    <s v="167B, 167 Latchmere Road"/>
    <m/>
    <n v="527765"/>
    <n v="175737"/>
    <x v="9"/>
    <d v="2018-09-03T00:00:00"/>
    <d v="2019-08-08T00:00:00"/>
    <n v="1"/>
    <n v="1"/>
    <n v="0"/>
    <n v="2"/>
    <n v="1"/>
    <x v="0"/>
    <s v="Erection of mansard roof extension to main rear roof and above part of three storey back addition including formation of roof terrace with 1.7m high safety balustrade surround to create 1 x 2-bedroom unit."/>
    <s v="PF"/>
    <d v="2016-10-25T00:00:00"/>
    <d v="2016-12-20T00:00:00"/>
    <x v="0"/>
    <s v="Nil"/>
    <m/>
    <s v="BF"/>
    <s v="MIX"/>
    <x v="0"/>
    <x v="0"/>
    <n v="7.0000002160668399E-3"/>
    <d v="2018-09-21T00:00:00"/>
    <x v="0"/>
    <d v="2019-08-08T00:00:00"/>
    <x v="0"/>
    <s v="M"/>
    <m/>
    <m/>
    <n v="0"/>
    <n v="0"/>
    <n v="0"/>
    <n v="0"/>
    <n v="0"/>
    <n v="0"/>
    <n v="-1"/>
    <n v="1"/>
    <n v="0"/>
    <n v="0"/>
    <n v="0"/>
    <n v="0"/>
    <n v="0"/>
    <n v="-1"/>
    <n v="1"/>
    <n v="0"/>
    <n v="0"/>
    <n v="0"/>
    <n v="0"/>
    <n v="0"/>
    <n v="0"/>
    <n v="0"/>
    <n v="0"/>
    <n v="0"/>
    <n v="0"/>
    <n v="0"/>
    <n v="0"/>
    <n v="0"/>
    <n v="0"/>
    <n v="0"/>
    <n v="0"/>
    <n v="0"/>
    <x v="0"/>
    <x v="0"/>
    <x v="0"/>
    <x v="0"/>
    <x v="0"/>
    <m/>
    <x v="0"/>
    <x v="0"/>
    <n v="12"/>
    <n v="0"/>
    <m/>
    <m/>
    <m/>
    <m/>
    <m/>
    <m/>
    <m/>
    <m/>
    <m/>
    <m/>
    <m/>
    <m/>
    <m/>
    <m/>
    <m/>
    <m/>
    <m/>
    <m/>
    <m/>
    <m/>
    <n v="0"/>
    <n v="0"/>
  </r>
  <r>
    <n v="6392"/>
    <x v="0"/>
    <s v="2016/6355"/>
    <s v="122 Clapham Common West Side"/>
    <m/>
    <n v="528007"/>
    <n v="175012"/>
    <x v="4"/>
    <d v="2019-04-01T00:00:00"/>
    <d v="2020-03-31T00:00:00"/>
    <n v="2"/>
    <n v="2"/>
    <n v="0"/>
    <n v="2"/>
    <n v="0"/>
    <x v="0"/>
    <s v="Alterations including erection of single storey side/rear extension, replacement windows, and bin store to front area in connection with conversion of building into 2 x 3-bedroom flats."/>
    <s v="PF"/>
    <d v="2016-10-31T00:00:00"/>
    <d v="2016-12-22T00:00:00"/>
    <x v="0"/>
    <s v="Nil"/>
    <m/>
    <s v="BF"/>
    <s v="MIX"/>
    <x v="0"/>
    <x v="2"/>
    <n v="1.9999999552965199E-2"/>
    <d v="2019-04-01T00:00:00"/>
    <x v="1"/>
    <d v="2020-03-31T00:00:00"/>
    <x v="0"/>
    <s v="M"/>
    <m/>
    <m/>
    <n v="0"/>
    <n v="0"/>
    <n v="0"/>
    <n v="0"/>
    <n v="-1"/>
    <n v="0"/>
    <n v="0"/>
    <n v="2"/>
    <n v="-1"/>
    <n v="0"/>
    <n v="0"/>
    <n v="-1"/>
    <n v="0"/>
    <n v="0"/>
    <n v="2"/>
    <n v="0"/>
    <n v="0"/>
    <n v="0"/>
    <n v="0"/>
    <n v="0"/>
    <n v="0"/>
    <n v="0"/>
    <n v="-1"/>
    <n v="0"/>
    <n v="0"/>
    <n v="0"/>
    <n v="0"/>
    <n v="0"/>
    <n v="0"/>
    <n v="0"/>
    <n v="0"/>
    <n v="0"/>
    <x v="0"/>
    <x v="0"/>
    <x v="0"/>
    <x v="0"/>
    <x v="0"/>
    <m/>
    <x v="0"/>
    <x v="0"/>
    <n v="12"/>
    <n v="0"/>
    <m/>
    <m/>
    <m/>
    <m/>
    <m/>
    <m/>
    <m/>
    <m/>
    <m/>
    <m/>
    <m/>
    <m/>
    <m/>
    <m/>
    <m/>
    <m/>
    <m/>
    <m/>
    <m/>
    <m/>
    <n v="0"/>
    <n v="0"/>
  </r>
  <r>
    <n v="6401"/>
    <x v="0"/>
    <s v="2017/2906"/>
    <s v="228 Mitcham Road"/>
    <m/>
    <n v="527976"/>
    <n v="170842"/>
    <x v="10"/>
    <d v="2018-11-01T00:00:00"/>
    <d v="2020-01-10T00:00:00"/>
    <n v="1"/>
    <n v="5"/>
    <n v="4"/>
    <n v="5"/>
    <n v="4"/>
    <x v="0"/>
    <s v="Alterations including erection of a three-storey rear extension plus mansard roof extension to main rear roof and over rear extension, erection of a single storey rear/side extension, enlargement of basement including formation of front lighwell and excavation of rear garden, landscaping works and alterations in connection with conversion of building into 3 x 3-bedroom and 2 x 2-bedroom flats."/>
    <s v="PF"/>
    <d v="2017-05-22T00:00:00"/>
    <d v="2017-09-25T00:00:00"/>
    <x v="0"/>
    <s v="Nil"/>
    <m/>
    <s v="BF"/>
    <s v="MIX"/>
    <x v="0"/>
    <x v="2"/>
    <n v="3.29999998211861E-2"/>
    <d v="2018-11-01T00:00:00"/>
    <x v="0"/>
    <d v="2020-01-10T00:00:00"/>
    <x v="0"/>
    <s v="M"/>
    <m/>
    <m/>
    <n v="0"/>
    <n v="0"/>
    <n v="0"/>
    <n v="0"/>
    <n v="0"/>
    <n v="0"/>
    <n v="2"/>
    <n v="3"/>
    <n v="0"/>
    <n v="-1"/>
    <n v="0"/>
    <n v="0"/>
    <n v="0"/>
    <n v="2"/>
    <n v="3"/>
    <n v="0"/>
    <n v="0"/>
    <n v="0"/>
    <n v="0"/>
    <n v="0"/>
    <n v="0"/>
    <n v="0"/>
    <n v="0"/>
    <n v="-1"/>
    <n v="0"/>
    <n v="0"/>
    <n v="0"/>
    <n v="0"/>
    <n v="0"/>
    <n v="0"/>
    <n v="0"/>
    <n v="0"/>
    <x v="0"/>
    <x v="0"/>
    <x v="0"/>
    <x v="0"/>
    <x v="0"/>
    <m/>
    <x v="0"/>
    <x v="0"/>
    <n v="12"/>
    <n v="4"/>
    <m/>
    <m/>
    <m/>
    <m/>
    <m/>
    <m/>
    <m/>
    <m/>
    <m/>
    <m/>
    <m/>
    <m/>
    <m/>
    <m/>
    <m/>
    <m/>
    <m/>
    <m/>
    <m/>
    <m/>
    <n v="0"/>
    <n v="0"/>
  </r>
  <r>
    <n v="6406"/>
    <x v="0"/>
    <s v="2016/6876"/>
    <s v="Ground floor flat, 38a Upper Richmond Road"/>
    <m/>
    <n v="524844"/>
    <n v="174634"/>
    <x v="5"/>
    <d v="2020-03-31T00:00:00"/>
    <d v="2020-03-31T00:00:00"/>
    <n v="0"/>
    <n v="1"/>
    <n v="1"/>
    <n v="1"/>
    <n v="1"/>
    <x v="0"/>
    <s v="Determination as to whether prior approval is required for change of use from retail (Class A1) to 1 x 1-bedroom flat (Class C3)."/>
    <s v="PANR"/>
    <d v="2016-12-02T00:00:00"/>
    <d v="2017-01-26T00:00:00"/>
    <x v="0"/>
    <s v="Nil"/>
    <m/>
    <s v="BF"/>
    <s v="COU"/>
    <x v="0"/>
    <x v="4"/>
    <n v="4.0000001899898104E-3"/>
    <d v="2020-03-31T00:00:00"/>
    <x v="1"/>
    <d v="2020-03-3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417"/>
    <x v="0"/>
    <s v="2016/5554"/>
    <s v="298 Battersea Park Road"/>
    <m/>
    <n v="527317"/>
    <n v="176327"/>
    <x v="11"/>
    <d v="2019-03-31T00:00:00"/>
    <d v="2020-03-31T00:00:00"/>
    <n v="0"/>
    <n v="1"/>
    <n v="1"/>
    <n v="1"/>
    <n v="1"/>
    <x v="0"/>
    <s v="Erection of front, side and rear mansard roof extension (with a dormer window to the rear elevation) to provided an additional floor of accommodation, in connection with the creation of 1 x 1-bedroom flat."/>
    <s v="PF"/>
    <d v="2016-09-21T00:00:00"/>
    <d v="2017-02-27T00:00:00"/>
    <x v="0"/>
    <s v="Nil"/>
    <m/>
    <s v="BF"/>
    <s v="EXT"/>
    <x v="0"/>
    <x v="3"/>
    <n v="3.0000000260770299E-3"/>
    <d v="2019-03-31T00:00:00"/>
    <x v="0"/>
    <d v="2020-03-3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431"/>
    <x v="0"/>
    <s v="2016/6119"/>
    <s v="56 Keswick Road"/>
    <m/>
    <n v="524445"/>
    <n v="174363"/>
    <x v="5"/>
    <d v="2017-03-31T00:00:00"/>
    <d v="2019-12-11T00:00:00"/>
    <n v="1"/>
    <n v="9"/>
    <n v="8"/>
    <n v="9"/>
    <n v="8"/>
    <x v="0"/>
    <s v="Demolition of existing dwelling and erection of two-storey building (with accommodation at roof and basement levels), to provide 4 x 3-bedroom, 4 x 2-bedroom and 1 x 1-bedroom flats with associated roof terraces to north, east and south elevations; cycle and refuse storage, five car parking spaces and associated landscaping. Erection of replacement front and side boundary wall and railings with pedestrian and vehicular gates up to 1.3m high."/>
    <s v="PF"/>
    <d v="2016-10-20T00:00:00"/>
    <d v="2017-03-24T00:00:00"/>
    <x v="0"/>
    <s v="Nil"/>
    <m/>
    <s v="BF"/>
    <s v="NB"/>
    <x v="0"/>
    <x v="5"/>
    <n v="7.8000001609325395E-2"/>
    <d v="2017-03-31T00:00:00"/>
    <x v="0"/>
    <d v="2019-12-11T00:00:00"/>
    <x v="0"/>
    <s v="M"/>
    <m/>
    <m/>
    <n v="0"/>
    <n v="0"/>
    <n v="0"/>
    <n v="0"/>
    <n v="0"/>
    <n v="1"/>
    <n v="4"/>
    <n v="4"/>
    <n v="-1"/>
    <n v="0"/>
    <n v="0"/>
    <n v="0"/>
    <n v="1"/>
    <n v="4"/>
    <n v="4"/>
    <n v="0"/>
    <n v="0"/>
    <n v="0"/>
    <n v="0"/>
    <n v="0"/>
    <n v="0"/>
    <n v="0"/>
    <n v="-1"/>
    <n v="0"/>
    <n v="0"/>
    <n v="0"/>
    <n v="0"/>
    <n v="0"/>
    <n v="0"/>
    <n v="0"/>
    <n v="0"/>
    <n v="0"/>
    <x v="0"/>
    <x v="0"/>
    <x v="0"/>
    <x v="0"/>
    <x v="0"/>
    <m/>
    <x v="0"/>
    <x v="0"/>
    <n v="1"/>
    <n v="8"/>
    <m/>
    <m/>
    <m/>
    <m/>
    <m/>
    <m/>
    <m/>
    <m/>
    <m/>
    <m/>
    <m/>
    <m/>
    <m/>
    <m/>
    <m/>
    <m/>
    <m/>
    <m/>
    <m/>
    <m/>
    <n v="0"/>
    <n v="0"/>
  </r>
  <r>
    <n v="6433"/>
    <x v="0"/>
    <s v="2019/1716"/>
    <s v="Heathmere School Keeper's House, Alton Road"/>
    <m/>
    <n v="522309"/>
    <n v="173207"/>
    <x v="13"/>
    <d v="2018-03-31T00:00:00"/>
    <d v="2019-04-20T00:00:00"/>
    <n v="0"/>
    <n v="6"/>
    <n v="6"/>
    <n v="6"/>
    <n v="6"/>
    <x v="0"/>
    <s v="Variation of condition 2 (in accordance with approved drawings) pursuant to planning permission dated 24/03/2017 ref 2016/7179 (Erection of new three storey building comprising of 6 new residential dwellings (3 x two-bedroom duplex apartments at ground and first floor level, all with private external area to the rear, and 3 x one-bedroom loft apartments with rear balconies at second floor level). Associated landscaping, boundary treatment and cycle and refuse storage) to allow for second bedrooms and mezzanine in second floor apartments and insertion of additional windows in the rear elevation at third floor level.  [Updated Description and additonal drawing submitted]."/>
    <s v="S73"/>
    <d v="2019-06-03T00:00:00"/>
    <d v="2019-10-29T00:00:00"/>
    <x v="1"/>
    <s v="Nil"/>
    <m/>
    <s v="BF"/>
    <s v="NB"/>
    <x v="0"/>
    <x v="5"/>
    <n v="3.20000015199184E-2"/>
    <d v="2018-03-31T00:00:00"/>
    <x v="0"/>
    <d v="2019-04-20T00:00:00"/>
    <x v="0"/>
    <s v="M"/>
    <m/>
    <m/>
    <n v="0"/>
    <n v="0"/>
    <n v="0"/>
    <n v="0"/>
    <n v="0"/>
    <n v="0"/>
    <n v="6"/>
    <n v="0"/>
    <n v="0"/>
    <n v="0"/>
    <n v="0"/>
    <n v="0"/>
    <n v="0"/>
    <n v="6"/>
    <n v="0"/>
    <n v="0"/>
    <n v="0"/>
    <n v="0"/>
    <n v="0"/>
    <n v="0"/>
    <n v="0"/>
    <n v="0"/>
    <n v="0"/>
    <n v="0"/>
    <n v="0"/>
    <n v="0"/>
    <n v="0"/>
    <n v="0"/>
    <n v="0"/>
    <n v="0"/>
    <n v="0"/>
    <n v="0"/>
    <x v="0"/>
    <x v="0"/>
    <x v="0"/>
    <x v="0"/>
    <x v="0"/>
    <m/>
    <x v="0"/>
    <x v="0"/>
    <n v="1"/>
    <n v="6"/>
    <m/>
    <m/>
    <m/>
    <m/>
    <m/>
    <m/>
    <m/>
    <m/>
    <m/>
    <m/>
    <m/>
    <m/>
    <m/>
    <m/>
    <m/>
    <m/>
    <m/>
    <m/>
    <m/>
    <m/>
    <n v="0"/>
    <n v="0"/>
  </r>
  <r>
    <n v="6452"/>
    <x v="0"/>
    <s v="2017/2903"/>
    <s v="528-536 Garratt Lane"/>
    <m/>
    <n v="526112"/>
    <n v="172454"/>
    <x v="8"/>
    <d v="2018-04-20T00:00:00"/>
    <d v="2019-10-31T00:00:00"/>
    <n v="0"/>
    <n v="8"/>
    <n v="8"/>
    <n v="8"/>
    <n v="8"/>
    <x v="0"/>
    <s v="Demolition of existing building and erection of a part three, part four-storey building to provide retail unit at ground floor (Class A1) and 6 x 2-bedroom and 2 x 1-bedroom flats (Class C3) on the upper floors with balconies and terraces and provision for associated cycle parking, refuse storage and boundary treatment. [Amendments to fourth storey]."/>
    <s v="PF"/>
    <d v="2017-05-22T00:00:00"/>
    <d v="2017-11-24T00:00:00"/>
    <x v="0"/>
    <s v="Nil"/>
    <m/>
    <s v="BF"/>
    <s v="NB"/>
    <x v="0"/>
    <x v="5"/>
    <n v="2.5000000372528999E-2"/>
    <d v="2018-04-20T00:00:00"/>
    <x v="0"/>
    <d v="2019-10-31T00:00:00"/>
    <x v="0"/>
    <s v="M"/>
    <m/>
    <m/>
    <n v="0"/>
    <n v="0"/>
    <n v="0"/>
    <n v="0"/>
    <n v="0"/>
    <n v="2"/>
    <n v="6"/>
    <n v="0"/>
    <n v="0"/>
    <n v="0"/>
    <n v="0"/>
    <n v="0"/>
    <n v="2"/>
    <n v="6"/>
    <n v="0"/>
    <n v="0"/>
    <n v="0"/>
    <n v="0"/>
    <n v="0"/>
    <n v="0"/>
    <n v="0"/>
    <n v="0"/>
    <n v="0"/>
    <n v="0"/>
    <n v="0"/>
    <n v="0"/>
    <n v="0"/>
    <n v="0"/>
    <n v="0"/>
    <n v="0"/>
    <n v="0"/>
    <n v="0"/>
    <x v="0"/>
    <x v="0"/>
    <x v="0"/>
    <x v="0"/>
    <x v="0"/>
    <m/>
    <x v="0"/>
    <x v="1"/>
    <n v="1"/>
    <n v="8"/>
    <m/>
    <m/>
    <m/>
    <m/>
    <m/>
    <m/>
    <m/>
    <m/>
    <m/>
    <m/>
    <m/>
    <m/>
    <m/>
    <m/>
    <m/>
    <m/>
    <m/>
    <m/>
    <m/>
    <m/>
    <n v="0"/>
    <n v="0"/>
  </r>
  <r>
    <n v="6483"/>
    <x v="0"/>
    <s v="2017/1585"/>
    <s v="Flats 508 and 509, 334 Queenstown Road"/>
    <m/>
    <n v="528690"/>
    <n v="177176"/>
    <x v="12"/>
    <d v="2018-04-01T00:00:00"/>
    <d v="2019-04-23T00:00:00"/>
    <n v="2"/>
    <n v="1"/>
    <n v="-1"/>
    <n v="1"/>
    <n v="-1"/>
    <x v="0"/>
    <s v="Conversion of two flats into one single dwelling."/>
    <s v="PF"/>
    <d v="2017-03-21T00:00:00"/>
    <d v="2017-05-11T00:00:00"/>
    <x v="0"/>
    <s v="Nil"/>
    <m/>
    <s v="BF"/>
    <s v="CON"/>
    <x v="0"/>
    <x v="10"/>
    <n v="3.5000000149011598E-2"/>
    <d v="2018-04-01T00:00:00"/>
    <x v="0"/>
    <d v="2019-04-23T00:00:00"/>
    <x v="0"/>
    <s v="M"/>
    <m/>
    <m/>
    <n v="0"/>
    <n v="0"/>
    <n v="0"/>
    <n v="0"/>
    <n v="0"/>
    <n v="0"/>
    <n v="-2"/>
    <n v="0"/>
    <n v="1"/>
    <n v="0"/>
    <n v="0"/>
    <n v="0"/>
    <n v="0"/>
    <n v="-2"/>
    <n v="0"/>
    <n v="1"/>
    <n v="0"/>
    <n v="0"/>
    <n v="0"/>
    <n v="0"/>
    <n v="0"/>
    <n v="0"/>
    <n v="0"/>
    <n v="0"/>
    <n v="0"/>
    <n v="0"/>
    <n v="0"/>
    <n v="0"/>
    <n v="0"/>
    <n v="0"/>
    <n v="0"/>
    <n v="0"/>
    <x v="0"/>
    <x v="1"/>
    <x v="0"/>
    <x v="0"/>
    <x v="0"/>
    <m/>
    <x v="0"/>
    <x v="0"/>
    <n v="12"/>
    <n v="-1"/>
    <m/>
    <m/>
    <m/>
    <m/>
    <m/>
    <m/>
    <m/>
    <m/>
    <m/>
    <m/>
    <m/>
    <m/>
    <m/>
    <m/>
    <m/>
    <m/>
    <m/>
    <m/>
    <m/>
    <m/>
    <n v="0"/>
    <n v="0"/>
  </r>
  <r>
    <n v="6511"/>
    <x v="0"/>
    <s v="2016/6473"/>
    <s v="521 Old York Road"/>
    <m/>
    <n v="525953"/>
    <n v="175002"/>
    <x v="2"/>
    <d v="2018-01-22T00:00:00"/>
    <d v="2019-10-12T00:00:00"/>
    <n v="2"/>
    <n v="4"/>
    <n v="2"/>
    <n v="4"/>
    <n v="2"/>
    <x v="0"/>
    <s v="Erection of replacement two-storey rear extension; erection of mansard roof extension to main rear roof, insertion of front dormer and formation of rear roof terrace with screen surround; excavation to enlarge basement including formation of rear lightwell with grille over; alterations to rear and above retail unit to provide 3 x 2-bedroom and 1 x 1-bedroom flats."/>
    <s v="PF"/>
    <d v="2016-11-09T00:00:00"/>
    <d v="2017-06-02T00:00:00"/>
    <x v="0"/>
    <s v="Nil"/>
    <m/>
    <s v="BF"/>
    <s v="MIX"/>
    <x v="0"/>
    <x v="6"/>
    <n v="9.9999997764825804E-3"/>
    <d v="2018-01-22T00:00:00"/>
    <x v="0"/>
    <d v="2019-10-12T00:00:00"/>
    <x v="0"/>
    <s v="M"/>
    <m/>
    <m/>
    <n v="0"/>
    <n v="0"/>
    <n v="0"/>
    <n v="0"/>
    <n v="0"/>
    <n v="1"/>
    <n v="3"/>
    <n v="0"/>
    <n v="0"/>
    <n v="0"/>
    <n v="-2"/>
    <n v="0"/>
    <n v="1"/>
    <n v="3"/>
    <n v="0"/>
    <n v="0"/>
    <n v="0"/>
    <n v="-2"/>
    <n v="0"/>
    <n v="0"/>
    <n v="0"/>
    <n v="0"/>
    <n v="0"/>
    <n v="0"/>
    <n v="0"/>
    <n v="0"/>
    <n v="0"/>
    <n v="0"/>
    <n v="0"/>
    <n v="0"/>
    <n v="0"/>
    <n v="0"/>
    <x v="0"/>
    <x v="0"/>
    <x v="0"/>
    <x v="0"/>
    <x v="0"/>
    <m/>
    <x v="0"/>
    <x v="0"/>
    <n v="12"/>
    <n v="2"/>
    <m/>
    <m/>
    <m/>
    <m/>
    <m/>
    <m/>
    <m/>
    <m/>
    <m/>
    <m/>
    <m/>
    <m/>
    <m/>
    <m/>
    <m/>
    <m/>
    <m/>
    <m/>
    <m/>
    <m/>
    <n v="0"/>
    <n v="0"/>
  </r>
  <r>
    <n v="6517"/>
    <x v="0"/>
    <s v="2017/0090"/>
    <s v="Land at Wandsworth Riverside Quarter Phase 3 (Building 6B), Point Pleasant/Osiers Road"/>
    <m/>
    <n v="525437"/>
    <n v="175256"/>
    <x v="0"/>
    <d v="2018-01-10T00:00:00"/>
    <m/>
    <n v="0"/>
    <n v="93"/>
    <n v="93"/>
    <n v="172"/>
    <n v="172"/>
    <x v="1"/>
    <s v="Erection of a mixed use development in a building ranging between 11 storeys (ground plus mezzanine and 10 upper storeys) on the southern part of the site, rising up to 15 storeys (ground plus mezzanine and 14 upper storeys) at the northern end of the site adjacent to the river Thames frontage (the proposed development is on the site of the previously consented 9 storey building 6B, approved under application ref. 2009/3372). The development is to provide 918sq.m. (GIA) of commercial use on the ground floor, comprising 322 sq.m. of flexible B1 (business)/A1 (retail)/A3 (food and drink) floorspace, 174sqm of A3/A4 (food and drink) floorspace, and 422sq.m. of D2 (assembly and leisure) floorspace, with 172 residential units (of private and affordable tenure) on the upper floors, together with basement levels with 72 car and 340 cycle parking spaces, and associated amenity space provision including roof terraces and balconies, together with landscaping/areas of public realm, including space for outside seating and a riverside promenade. An Environmental Statement has been submitted with the application under the Town and Country Planning (Environmental Impact Assessment) Regulations 2011 (as amended)."/>
    <s v="PFLA"/>
    <d v="2017-01-09T00:00:00"/>
    <d v="2017-12-21T00:00:00"/>
    <x v="0"/>
    <s v="Nil"/>
    <m/>
    <s v="BF"/>
    <s v="NB"/>
    <x v="1"/>
    <x v="7"/>
    <n v="2.1600000560283699E-2"/>
    <d v="2018-01-10T00:00:00"/>
    <x v="0"/>
    <d v="2020-02-01T00:00:00"/>
    <x v="1"/>
    <s v="ISO"/>
    <s v="3.3.1"/>
    <m/>
    <n v="0"/>
    <n v="84"/>
    <n v="0"/>
    <n v="9"/>
    <n v="1"/>
    <n v="21"/>
    <n v="71"/>
    <n v="0"/>
    <n v="0"/>
    <n v="0"/>
    <n v="0"/>
    <n v="1"/>
    <n v="21"/>
    <n v="71"/>
    <n v="0"/>
    <n v="0"/>
    <n v="0"/>
    <n v="0"/>
    <n v="0"/>
    <n v="0"/>
    <n v="0"/>
    <n v="0"/>
    <n v="0"/>
    <n v="0"/>
    <n v="0"/>
    <n v="0"/>
    <n v="0"/>
    <n v="0"/>
    <n v="0"/>
    <n v="0"/>
    <n v="0"/>
    <n v="0"/>
    <x v="0"/>
    <x v="0"/>
    <x v="1"/>
    <x v="0"/>
    <x v="0"/>
    <m/>
    <x v="0"/>
    <x v="0"/>
    <n v="1"/>
    <n v="93"/>
    <m/>
    <m/>
    <m/>
    <m/>
    <m/>
    <m/>
    <m/>
    <m/>
    <m/>
    <m/>
    <m/>
    <m/>
    <m/>
    <m/>
    <m/>
    <m/>
    <m/>
    <m/>
    <m/>
    <m/>
    <n v="0"/>
    <n v="0"/>
  </r>
  <r>
    <n v="6517"/>
    <x v="0"/>
    <s v="2017/0090"/>
    <s v="Land at Wandsworth Riverside Quarter Phase 3 (Building 6B), Point Pleasant/Osiers Road"/>
    <m/>
    <n v="525437"/>
    <n v="175256"/>
    <x v="0"/>
    <d v="2018-01-10T00:00:00"/>
    <m/>
    <n v="0"/>
    <n v="79"/>
    <n v="79"/>
    <n v="172"/>
    <n v="172"/>
    <x v="1"/>
    <s v="Erection of a mixed use development in a building ranging between 11 storeys (ground plus mezzanine and 10 upper storeys) on the southern part of the site, rising up to 15 storeys (ground plus mezzanine and 14 upper storeys) at the northern end of the site adjacent to the river Thames frontage (the proposed development is on the site of the previously consented 9 storey building 6B, approved under application ref. 2009/3372). The development is to provide 918sq.m. (GIA) of commercial use on the ground floor, comprising 322 sq.m. of flexible B1 (business)/A1 (retail)/A3 (food and drink) floorspace, 174sqm of A3/A4 (food and drink) floorspace, and 422sq.m. of D2 (assembly and leisure) floorspace, with 172 residential units (of private and affordable tenure) on the upper floors, together with basement levels with 72 car and 340 cycle parking spaces, and associated amenity space provision including roof terraces and balconies, together with landscaping/areas of public realm, including space for outside seating and a riverside promenade. An Environmental Statement has been submitted with the application under the Town and Country Planning (Environmental Impact Assessment) Regulations 2011 (as amended)."/>
    <s v="PFLA"/>
    <d v="2017-01-09T00:00:00"/>
    <d v="2017-12-21T00:00:00"/>
    <x v="0"/>
    <s v="Nil"/>
    <m/>
    <s v="BF"/>
    <s v="NB"/>
    <x v="1"/>
    <x v="7"/>
    <n v="0.222000002861023"/>
    <d v="2018-01-10T00:00:00"/>
    <x v="0"/>
    <d v="2020-02-01T00:00:00"/>
    <x v="0"/>
    <s v="M"/>
    <s v="3.3.1"/>
    <m/>
    <n v="0"/>
    <n v="71"/>
    <n v="0"/>
    <n v="8"/>
    <n v="0"/>
    <n v="6"/>
    <n v="73"/>
    <n v="0"/>
    <n v="0"/>
    <n v="0"/>
    <n v="0"/>
    <n v="0"/>
    <n v="6"/>
    <n v="73"/>
    <n v="0"/>
    <n v="0"/>
    <n v="0"/>
    <n v="0"/>
    <n v="0"/>
    <n v="0"/>
    <n v="0"/>
    <n v="0"/>
    <n v="0"/>
    <n v="0"/>
    <n v="0"/>
    <n v="0"/>
    <n v="0"/>
    <n v="0"/>
    <n v="0"/>
    <n v="0"/>
    <n v="0"/>
    <n v="0"/>
    <x v="0"/>
    <x v="0"/>
    <x v="1"/>
    <x v="0"/>
    <x v="0"/>
    <m/>
    <x v="0"/>
    <x v="0"/>
    <n v="1"/>
    <n v="79"/>
    <m/>
    <m/>
    <m/>
    <m/>
    <m/>
    <m/>
    <m/>
    <m/>
    <m/>
    <m/>
    <m/>
    <m/>
    <m/>
    <m/>
    <m/>
    <m/>
    <m/>
    <m/>
    <m/>
    <m/>
    <n v="0"/>
    <n v="0"/>
  </r>
  <r>
    <n v="6518"/>
    <x v="0"/>
    <s v="2017/0724"/>
    <s v="152 Ramsden Road"/>
    <m/>
    <n v="528325"/>
    <n v="173875"/>
    <x v="6"/>
    <d v="2018-09-05T00:00:00"/>
    <d v="2019-10-25T00:00:00"/>
    <n v="0"/>
    <n v="2"/>
    <n v="2"/>
    <n v="3"/>
    <n v="2"/>
    <x v="0"/>
    <s v="Alterations including erection of roof extension with rear terrace to create two additional storeys of accomodation in connection with creation of additional 1 x 1-bedroom and 2 x 2-bedroom flats; installation of replacement windows and doors; erection of replacement garage."/>
    <s v="PF"/>
    <d v="2017-02-13T00:00:00"/>
    <d v="2017-07-03T00:00:00"/>
    <x v="0"/>
    <s v="Nil"/>
    <m/>
    <s v="BF"/>
    <s v="EXT"/>
    <x v="0"/>
    <x v="3"/>
    <n v="2.60000005364418E-2"/>
    <d v="2018-09-05T00:00:00"/>
    <x v="0"/>
    <d v="2019-10-25T00:00:00"/>
    <x v="0"/>
    <s v="M"/>
    <m/>
    <m/>
    <n v="0"/>
    <n v="0"/>
    <n v="0"/>
    <n v="0"/>
    <n v="0"/>
    <n v="1"/>
    <n v="1"/>
    <n v="0"/>
    <n v="0"/>
    <n v="0"/>
    <n v="0"/>
    <n v="0"/>
    <n v="1"/>
    <n v="1"/>
    <n v="0"/>
    <n v="0"/>
    <n v="0"/>
    <n v="0"/>
    <n v="0"/>
    <n v="0"/>
    <n v="0"/>
    <n v="0"/>
    <n v="0"/>
    <n v="0"/>
    <n v="0"/>
    <n v="0"/>
    <n v="0"/>
    <n v="0"/>
    <n v="0"/>
    <n v="0"/>
    <n v="0"/>
    <n v="0"/>
    <x v="0"/>
    <x v="0"/>
    <x v="0"/>
    <x v="0"/>
    <x v="0"/>
    <m/>
    <x v="0"/>
    <x v="0"/>
    <n v="12"/>
    <n v="2"/>
    <m/>
    <m/>
    <m/>
    <m/>
    <m/>
    <m/>
    <m/>
    <m/>
    <m/>
    <m/>
    <m/>
    <m/>
    <m/>
    <m/>
    <m/>
    <m/>
    <m/>
    <m/>
    <m/>
    <m/>
    <n v="0"/>
    <n v="0"/>
  </r>
  <r>
    <n v="6518"/>
    <x v="0"/>
    <s v="2017/0724"/>
    <s v="152 Ramsden Road"/>
    <m/>
    <n v="528325"/>
    <n v="173875"/>
    <x v="6"/>
    <d v="2018-09-05T00:00:00"/>
    <d v="2019-10-25T00:00:00"/>
    <n v="1"/>
    <n v="1"/>
    <n v="0"/>
    <n v="3"/>
    <n v="2"/>
    <x v="0"/>
    <s v="Alterations including erection of roof extension with rear terrace to create two additional storeys of accomodation in connection with creation of additional 1 x 1-bedroom and 2 x 2-bedroom flats; installation of replacement windows and doors; erection of replacement garage."/>
    <s v="PF"/>
    <d v="2017-02-13T00:00:00"/>
    <d v="2017-07-03T00:00:00"/>
    <x v="0"/>
    <s v="Nil"/>
    <m/>
    <s v="BF"/>
    <s v="EXT"/>
    <x v="0"/>
    <x v="10"/>
    <n v="1.30000002682209E-2"/>
    <d v="2018-09-05T00:00:00"/>
    <x v="0"/>
    <d v="2019-10-25T00:00:00"/>
    <x v="0"/>
    <s v="M"/>
    <m/>
    <m/>
    <n v="0"/>
    <n v="0"/>
    <n v="0"/>
    <n v="0"/>
    <n v="0"/>
    <n v="1"/>
    <n v="-1"/>
    <n v="0"/>
    <n v="0"/>
    <n v="0"/>
    <n v="0"/>
    <n v="0"/>
    <n v="1"/>
    <n v="-1"/>
    <n v="0"/>
    <n v="0"/>
    <n v="0"/>
    <n v="0"/>
    <n v="0"/>
    <n v="0"/>
    <n v="0"/>
    <n v="0"/>
    <n v="0"/>
    <n v="0"/>
    <n v="0"/>
    <n v="0"/>
    <n v="0"/>
    <n v="0"/>
    <n v="0"/>
    <n v="0"/>
    <n v="0"/>
    <n v="0"/>
    <x v="0"/>
    <x v="0"/>
    <x v="0"/>
    <x v="0"/>
    <x v="0"/>
    <m/>
    <x v="0"/>
    <x v="0"/>
    <n v="12"/>
    <n v="0"/>
    <m/>
    <m/>
    <m/>
    <m/>
    <m/>
    <m/>
    <m/>
    <m/>
    <m/>
    <m/>
    <m/>
    <m/>
    <m/>
    <m/>
    <m/>
    <m/>
    <m/>
    <m/>
    <m/>
    <m/>
    <n v="0"/>
    <n v="0"/>
  </r>
  <r>
    <n v="6522"/>
    <x v="0"/>
    <s v="2016/7237"/>
    <s v="118 Putney High Street"/>
    <m/>
    <n v="523995"/>
    <n v="175261"/>
    <x v="0"/>
    <d v="2018-05-21T00:00:00"/>
    <d v="2020-03-31T00:00:00"/>
    <n v="2"/>
    <n v="2"/>
    <n v="0"/>
    <n v="3"/>
    <n v="1"/>
    <x v="0"/>
    <s v="Alterations including erection of additional storey of accommodation to form 1 x 1-bedroom flat (with French doors, roof terrace and safety railings), erection of a two-storey rear/side extension at first and second floors in connection with the conversion from 2 x 1 bedroom flats to form 2 x 2-bedroom flats. Installation of a bin and cycle storage to rear/side and enclose rear courtyard to form retail storage and staff area. Installation of 1 x air conditioning units and timber enclosure at rear first floor level."/>
    <s v="PF"/>
    <d v="2017-01-20T00:00:00"/>
    <d v="2017-08-04T00:00:00"/>
    <x v="0"/>
    <s v="Nil"/>
    <m/>
    <s v="BF"/>
    <s v="MIX"/>
    <x v="0"/>
    <x v="0"/>
    <n v="4.0000001899898104E-3"/>
    <d v="2018-05-21T00:00:00"/>
    <x v="0"/>
    <d v="2020-03-31T00:00:00"/>
    <x v="0"/>
    <s v="M"/>
    <m/>
    <m/>
    <n v="0"/>
    <n v="0"/>
    <n v="0"/>
    <n v="0"/>
    <n v="0"/>
    <n v="-2"/>
    <n v="2"/>
    <n v="0"/>
    <n v="0"/>
    <n v="0"/>
    <n v="0"/>
    <n v="0"/>
    <n v="-2"/>
    <n v="2"/>
    <n v="0"/>
    <n v="0"/>
    <n v="0"/>
    <n v="0"/>
    <n v="0"/>
    <n v="0"/>
    <n v="0"/>
    <n v="0"/>
    <n v="0"/>
    <n v="0"/>
    <n v="0"/>
    <n v="0"/>
    <n v="0"/>
    <n v="0"/>
    <n v="0"/>
    <n v="0"/>
    <n v="0"/>
    <n v="0"/>
    <x v="2"/>
    <x v="0"/>
    <x v="0"/>
    <x v="0"/>
    <x v="0"/>
    <m/>
    <x v="0"/>
    <x v="0"/>
    <n v="12"/>
    <n v="0"/>
    <m/>
    <m/>
    <m/>
    <m/>
    <m/>
    <m/>
    <m/>
    <m/>
    <m/>
    <m/>
    <m/>
    <m/>
    <m/>
    <m/>
    <m/>
    <m/>
    <m/>
    <m/>
    <m/>
    <m/>
    <n v="0"/>
    <n v="0"/>
  </r>
  <r>
    <n v="6522"/>
    <x v="0"/>
    <s v="2016/7237"/>
    <s v="118 Putney High Street"/>
    <m/>
    <n v="523995"/>
    <n v="175261"/>
    <x v="0"/>
    <d v="2018-05-21T00:00:00"/>
    <d v="2020-03-31T00:00:00"/>
    <n v="0"/>
    <n v="1"/>
    <n v="1"/>
    <n v="3"/>
    <n v="1"/>
    <x v="0"/>
    <s v="Alterations including erection of additional storey of accommodation to form 1 x 1-bedroom flat (with French doors, roof terrace and safety railings), erection of a two-storey rear/side extension at first and second floors in connection with the conversion from 2 x 1 bedroom flats to form 2 x 2-bedroom flats. Installation of a bin and cycle storage to rear/side and enclose rear courtyard to form retail storage and staff area. Installation of 1 x air conditioning units and timber enclosure at rear first floor level."/>
    <s v="PF"/>
    <d v="2017-01-20T00:00:00"/>
    <d v="2017-08-04T00:00:00"/>
    <x v="0"/>
    <s v="Nil"/>
    <m/>
    <s v="BF"/>
    <s v="MIX"/>
    <x v="0"/>
    <x v="5"/>
    <n v="4.0000001899898104E-3"/>
    <d v="2018-05-21T00:00:00"/>
    <x v="0"/>
    <d v="2020-03-31T00:00:00"/>
    <x v="0"/>
    <s v="M"/>
    <m/>
    <m/>
    <n v="0"/>
    <n v="0"/>
    <n v="0"/>
    <n v="0"/>
    <n v="0"/>
    <n v="1"/>
    <n v="0"/>
    <n v="0"/>
    <n v="0"/>
    <n v="0"/>
    <n v="0"/>
    <n v="0"/>
    <n v="1"/>
    <n v="0"/>
    <n v="0"/>
    <n v="0"/>
    <n v="0"/>
    <n v="0"/>
    <n v="0"/>
    <n v="0"/>
    <n v="0"/>
    <n v="0"/>
    <n v="0"/>
    <n v="0"/>
    <n v="0"/>
    <n v="0"/>
    <n v="0"/>
    <n v="0"/>
    <n v="0"/>
    <n v="0"/>
    <n v="0"/>
    <n v="0"/>
    <x v="2"/>
    <x v="0"/>
    <x v="0"/>
    <x v="0"/>
    <x v="0"/>
    <m/>
    <x v="0"/>
    <x v="0"/>
    <n v="12"/>
    <n v="1"/>
    <m/>
    <m/>
    <m/>
    <m/>
    <m/>
    <m/>
    <m/>
    <m/>
    <m/>
    <m/>
    <m/>
    <m/>
    <m/>
    <m/>
    <m/>
    <m/>
    <m/>
    <m/>
    <m/>
    <m/>
    <n v="0"/>
    <n v="0"/>
  </r>
  <r>
    <n v="6524"/>
    <x v="0"/>
    <s v="2017/6508"/>
    <s v="88A Northcote Road"/>
    <m/>
    <n v="527505"/>
    <n v="174791"/>
    <x v="4"/>
    <d v="2019-04-01T00:00:00"/>
    <d v="2020-03-31T00:00:00"/>
    <n v="1"/>
    <n v="2"/>
    <n v="1"/>
    <n v="2"/>
    <n v="1"/>
    <x v="0"/>
    <s v="Alterations including erection of mansard roof extension to main rear roof. Erection of first floor and second floor rear extensions; formation of roof terraces at first and second floor levels and conversion of flat into 1 x 1-bedroom &amp; 1 x 2-bedroom flats."/>
    <s v="PF"/>
    <d v="2017-11-24T00:00:00"/>
    <d v="2018-01-19T00:00:00"/>
    <x v="0"/>
    <s v="Nil"/>
    <m/>
    <s v="BF"/>
    <s v="MIX"/>
    <x v="0"/>
    <x v="0"/>
    <n v="8.0000003799796104E-3"/>
    <d v="2019-04-01T00:00:00"/>
    <x v="1"/>
    <d v="2020-03-31T00:00:00"/>
    <x v="0"/>
    <s v="M"/>
    <m/>
    <m/>
    <n v="0"/>
    <n v="0"/>
    <n v="0"/>
    <n v="0"/>
    <n v="0"/>
    <n v="1"/>
    <n v="0"/>
    <n v="0"/>
    <n v="0"/>
    <n v="0"/>
    <n v="0"/>
    <n v="0"/>
    <n v="1"/>
    <n v="0"/>
    <n v="0"/>
    <n v="0"/>
    <n v="0"/>
    <n v="0"/>
    <n v="0"/>
    <n v="0"/>
    <n v="0"/>
    <n v="0"/>
    <n v="0"/>
    <n v="0"/>
    <n v="0"/>
    <n v="0"/>
    <n v="0"/>
    <n v="0"/>
    <n v="0"/>
    <n v="0"/>
    <n v="0"/>
    <n v="0"/>
    <x v="1"/>
    <x v="0"/>
    <x v="0"/>
    <x v="0"/>
    <x v="0"/>
    <m/>
    <x v="0"/>
    <x v="0"/>
    <n v="12"/>
    <n v="1"/>
    <m/>
    <m/>
    <m/>
    <m/>
    <m/>
    <m/>
    <m/>
    <m/>
    <m/>
    <m/>
    <m/>
    <m/>
    <m/>
    <m/>
    <m/>
    <m/>
    <m/>
    <m/>
    <m/>
    <m/>
    <n v="0"/>
    <n v="0"/>
  </r>
  <r>
    <n v="6548"/>
    <x v="0"/>
    <s v="2017/1589"/>
    <s v="19-21 St Andrews Court"/>
    <m/>
    <n v="526176"/>
    <n v="172864"/>
    <x v="8"/>
    <d v="2018-03-31T00:00:00"/>
    <d v="2019-10-22T00:00:00"/>
    <n v="3"/>
    <n v="9"/>
    <n v="6"/>
    <n v="9"/>
    <n v="6"/>
    <x v="0"/>
    <s v="Demolition of existing building and erection of a three-storey (plus basement and roof accomodation) building to provide 3 x 1-bedroom, 5 x 2-bedroom and 1 x 3-bedroom flats. Provision of cycle parking and refuse storage. Associated landscaping."/>
    <s v="PF"/>
    <d v="2017-03-16T00:00:00"/>
    <d v="2017-07-26T00:00:00"/>
    <x v="0"/>
    <s v="Nil"/>
    <m/>
    <s v="BF"/>
    <s v="NB"/>
    <x v="0"/>
    <x v="5"/>
    <n v="4.39999997615814E-2"/>
    <d v="2018-03-31T00:00:00"/>
    <x v="0"/>
    <d v="2019-10-22T00:00:00"/>
    <x v="0"/>
    <s v="M"/>
    <m/>
    <m/>
    <n v="0"/>
    <n v="0"/>
    <n v="0"/>
    <n v="0"/>
    <n v="1"/>
    <n v="2"/>
    <n v="5"/>
    <n v="1"/>
    <n v="-3"/>
    <n v="0"/>
    <n v="0"/>
    <n v="1"/>
    <n v="2"/>
    <n v="5"/>
    <n v="1"/>
    <n v="-3"/>
    <n v="0"/>
    <n v="0"/>
    <n v="0"/>
    <n v="0"/>
    <n v="0"/>
    <n v="0"/>
    <n v="0"/>
    <n v="0"/>
    <n v="0"/>
    <n v="0"/>
    <n v="0"/>
    <n v="0"/>
    <n v="0"/>
    <n v="0"/>
    <n v="0"/>
    <n v="0"/>
    <x v="0"/>
    <x v="0"/>
    <x v="0"/>
    <x v="0"/>
    <x v="0"/>
    <m/>
    <x v="0"/>
    <x v="0"/>
    <n v="1"/>
    <n v="6"/>
    <m/>
    <m/>
    <m/>
    <m/>
    <m/>
    <m/>
    <m/>
    <m/>
    <m/>
    <m/>
    <m/>
    <m/>
    <m/>
    <m/>
    <m/>
    <m/>
    <m/>
    <m/>
    <m/>
    <m/>
    <n v="0"/>
    <n v="0"/>
  </r>
  <r>
    <n v="6564"/>
    <x v="0"/>
    <s v="2017/4356"/>
    <s v="Units 11-13 &amp; 24-25 Blades Court, 121 Deodar Road"/>
    <m/>
    <n v="524601"/>
    <n v="175314"/>
    <x v="0"/>
    <d v="2019-01-02T00:00:00"/>
    <d v="2020-03-13T00:00:00"/>
    <n v="0"/>
    <n v="15"/>
    <n v="15"/>
    <n v="15"/>
    <n v="15"/>
    <x v="1"/>
    <s v="Determination as to whether prior approval is required for change of use from offices (Class B1a) to residential (Class C3) to provide 12 x 1 bedroom  and 3 x 2-bedroom flats."/>
    <s v="PANR"/>
    <d v="2017-08-03T00:00:00"/>
    <d v="2017-09-27T00:00:00"/>
    <x v="0"/>
    <s v="Nil"/>
    <m/>
    <s v="BF"/>
    <s v="COU"/>
    <x v="2"/>
    <x v="7"/>
    <n v="3.0999999493360499E-2"/>
    <d v="2019-01-02T00:00:00"/>
    <x v="0"/>
    <d v="2020-03-13T00:00:00"/>
    <x v="0"/>
    <s v="M"/>
    <m/>
    <m/>
    <n v="0"/>
    <n v="0"/>
    <n v="0"/>
    <n v="0"/>
    <n v="0"/>
    <n v="12"/>
    <n v="3"/>
    <n v="0"/>
    <n v="0"/>
    <n v="0"/>
    <n v="0"/>
    <n v="0"/>
    <n v="12"/>
    <n v="3"/>
    <n v="0"/>
    <n v="0"/>
    <n v="0"/>
    <n v="0"/>
    <n v="0"/>
    <n v="0"/>
    <n v="0"/>
    <n v="0"/>
    <n v="0"/>
    <n v="0"/>
    <n v="0"/>
    <n v="0"/>
    <n v="0"/>
    <n v="0"/>
    <n v="0"/>
    <n v="0"/>
    <n v="0"/>
    <n v="0"/>
    <x v="0"/>
    <x v="0"/>
    <x v="0"/>
    <x v="0"/>
    <x v="0"/>
    <m/>
    <x v="1"/>
    <x v="0"/>
    <n v="12"/>
    <n v="15"/>
    <m/>
    <m/>
    <m/>
    <m/>
    <m/>
    <m/>
    <m/>
    <m/>
    <m/>
    <m/>
    <m/>
    <m/>
    <m/>
    <m/>
    <m/>
    <m/>
    <m/>
    <m/>
    <m/>
    <m/>
    <n v="0"/>
    <n v="0"/>
  </r>
  <r>
    <n v="6566"/>
    <x v="0"/>
    <s v="2017/6216"/>
    <s v="17 Strathblaine Road"/>
    <s v="Extension to existing"/>
    <n v="527021"/>
    <n v="175153"/>
    <x v="2"/>
    <d v="2018-04-10T00:00:00"/>
    <d v="2019-10-01T00:00:00"/>
    <n v="0"/>
    <n v="1"/>
    <n v="1"/>
    <n v="3"/>
    <n v="1"/>
    <x v="0"/>
    <s v="Alterations including erection of mansard roof extension to main rear roof (with French doors and safety railings) including raising the ridge by 0.15m and extension above three-storey back addition including formation of rear roof terrace at third floor level; railings to the first floor roof terrace to be replaced with a glazed balustrade; erection of single-storey rear/side extension;  All works in relation to the conversion of the building into 1 x 1 bedroomed and 2 x 3 bedroomed flats."/>
    <s v="PF"/>
    <d v="2017-11-15T00:00:00"/>
    <d v="2018-03-05T00:00:00"/>
    <x v="0"/>
    <s v="Nil"/>
    <m/>
    <s v="BF"/>
    <s v="MIX"/>
    <x v="0"/>
    <x v="5"/>
    <n v="2.0000000949949E-3"/>
    <d v="2018-04-10T00:00:00"/>
    <x v="0"/>
    <d v="2019-10-0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566"/>
    <x v="0"/>
    <s v="2017/6216"/>
    <s v="17 Strathblaine Road"/>
    <m/>
    <n v="527021"/>
    <n v="175153"/>
    <x v="2"/>
    <d v="2018-04-10T00:00:00"/>
    <d v="2019-10-01T00:00:00"/>
    <n v="2"/>
    <n v="2"/>
    <n v="0"/>
    <n v="3"/>
    <n v="1"/>
    <x v="0"/>
    <s v="Alterations including erection of mansard roof extension to main rear roof (with French doors and safety railings) including raising the ridge by 0.15m and extension above three-storey back addition including formation of rear roof terrace at third floor level; railings to the first floor roof terrace to be replaced with a glazed balustrade; erection of single-storey rear/side extension;  All works in relation to the conversion of the building into 1 x 1 bedroomed and 2 x 3 bedroomed flats."/>
    <s v="PF"/>
    <d v="2017-11-15T00:00:00"/>
    <d v="2018-03-05T00:00:00"/>
    <x v="0"/>
    <s v="Nil"/>
    <m/>
    <s v="BF"/>
    <s v="MIX"/>
    <x v="0"/>
    <x v="0"/>
    <n v="8.9999996125698107E-3"/>
    <d v="2018-04-10T00:00:00"/>
    <x v="0"/>
    <d v="2019-10-01T00:00:00"/>
    <x v="0"/>
    <s v="M"/>
    <m/>
    <m/>
    <n v="0"/>
    <n v="0"/>
    <n v="0"/>
    <n v="0"/>
    <n v="0"/>
    <n v="0"/>
    <n v="0"/>
    <n v="1"/>
    <n v="-1"/>
    <n v="0"/>
    <n v="0"/>
    <n v="0"/>
    <n v="0"/>
    <n v="0"/>
    <n v="1"/>
    <n v="-1"/>
    <n v="0"/>
    <n v="0"/>
    <n v="0"/>
    <n v="0"/>
    <n v="0"/>
    <n v="0"/>
    <n v="0"/>
    <n v="0"/>
    <n v="0"/>
    <n v="0"/>
    <n v="0"/>
    <n v="0"/>
    <n v="0"/>
    <n v="0"/>
    <n v="0"/>
    <n v="0"/>
    <x v="0"/>
    <x v="0"/>
    <x v="0"/>
    <x v="0"/>
    <x v="0"/>
    <m/>
    <x v="0"/>
    <x v="0"/>
    <n v="12"/>
    <n v="0"/>
    <m/>
    <m/>
    <m/>
    <m/>
    <m/>
    <m/>
    <m/>
    <m/>
    <m/>
    <m/>
    <m/>
    <m/>
    <m/>
    <m/>
    <m/>
    <m/>
    <m/>
    <m/>
    <m/>
    <m/>
    <n v="0"/>
    <n v="0"/>
  </r>
  <r>
    <n v="6585"/>
    <x v="0"/>
    <s v="2017/6920"/>
    <s v="10 Sisters Avenue"/>
    <m/>
    <n v="527915"/>
    <n v="175487"/>
    <x v="9"/>
    <d v="2018-09-17T00:00:00"/>
    <d v="2020-03-30T00:00:00"/>
    <n v="2"/>
    <n v="3"/>
    <n v="1"/>
    <n v="5"/>
    <n v="2"/>
    <x v="0"/>
    <s v="Alterations including erection of dormer roof extension to the side and rear (with balcony) of the main roof; erection of a part two-storey, part three storey rear extension to lower, ground and first floors and internal alterations in connection with the further conversion of the property from three flats into five flats (2 x 3 bedroom, 1 x 2 bedroom 1 x 1 bedroom and 1 studio flat) . Provision of bike and bin store to front garden and replacement of existing windows."/>
    <s v="PF"/>
    <d v="2018-01-08T00:00:00"/>
    <d v="2018-04-23T00:00:00"/>
    <x v="0"/>
    <s v="Nil"/>
    <m/>
    <s v="BF"/>
    <s v="MIX"/>
    <x v="0"/>
    <x v="5"/>
    <n v="1.2000000104308101E-2"/>
    <d v="2018-09-17T00:00:00"/>
    <x v="0"/>
    <d v="2020-03-30T00:00:00"/>
    <x v="0"/>
    <s v="M"/>
    <m/>
    <m/>
    <n v="0"/>
    <n v="0"/>
    <n v="0"/>
    <n v="0"/>
    <n v="1"/>
    <n v="-2"/>
    <n v="0"/>
    <n v="2"/>
    <n v="0"/>
    <n v="0"/>
    <n v="0"/>
    <n v="1"/>
    <n v="-2"/>
    <n v="0"/>
    <n v="2"/>
    <n v="0"/>
    <n v="0"/>
    <n v="0"/>
    <n v="0"/>
    <n v="0"/>
    <n v="0"/>
    <n v="0"/>
    <n v="0"/>
    <n v="0"/>
    <n v="0"/>
    <n v="0"/>
    <n v="0"/>
    <n v="0"/>
    <n v="0"/>
    <n v="0"/>
    <n v="0"/>
    <n v="0"/>
    <x v="0"/>
    <x v="0"/>
    <x v="0"/>
    <x v="0"/>
    <x v="0"/>
    <m/>
    <x v="0"/>
    <x v="0"/>
    <n v="12"/>
    <n v="1"/>
    <m/>
    <m/>
    <m/>
    <m/>
    <m/>
    <m/>
    <m/>
    <m/>
    <m/>
    <m/>
    <m/>
    <m/>
    <m/>
    <m/>
    <m/>
    <m/>
    <m/>
    <m/>
    <m/>
    <m/>
    <n v="0"/>
    <n v="0"/>
  </r>
  <r>
    <n v="6585"/>
    <x v="0"/>
    <s v="2017/6920"/>
    <s v="10 Sisters Avenue"/>
    <m/>
    <n v="527915"/>
    <n v="175487"/>
    <x v="9"/>
    <d v="2018-09-17T00:00:00"/>
    <d v="2020-03-30T00:00:00"/>
    <n v="1"/>
    <n v="2"/>
    <n v="1"/>
    <n v="5"/>
    <n v="2"/>
    <x v="0"/>
    <s v="Alterations including erection of dormer roof extension to the side and rear (with balcony) of the main roof; erection of a part two-storey, part three storey rear extension to lower, ground and first floors and internal alterations in connection with the further conversion of the property from three flats into five flats (2 x 3 bedroom, 1 x 2 bedroom 1 x 1 bedroom and 1 studio flat) . Provision of bike and bin store to front garden and replacement of existing windows."/>
    <s v="PF"/>
    <d v="2018-01-08T00:00:00"/>
    <d v="2018-04-23T00:00:00"/>
    <x v="0"/>
    <s v="Nil"/>
    <m/>
    <s v="BF"/>
    <s v="MIX"/>
    <x v="0"/>
    <x v="0"/>
    <n v="8.9999996125698107E-3"/>
    <d v="2018-09-17T00:00:00"/>
    <x v="0"/>
    <d v="2020-03-30T00:00:00"/>
    <x v="0"/>
    <s v="M"/>
    <m/>
    <m/>
    <n v="0"/>
    <n v="0"/>
    <n v="0"/>
    <n v="0"/>
    <n v="0"/>
    <n v="1"/>
    <n v="1"/>
    <n v="0"/>
    <n v="-1"/>
    <n v="0"/>
    <n v="0"/>
    <n v="0"/>
    <n v="1"/>
    <n v="1"/>
    <n v="0"/>
    <n v="-1"/>
    <n v="0"/>
    <n v="0"/>
    <n v="0"/>
    <n v="0"/>
    <n v="0"/>
    <n v="0"/>
    <n v="0"/>
    <n v="0"/>
    <n v="0"/>
    <n v="0"/>
    <n v="0"/>
    <n v="0"/>
    <n v="0"/>
    <n v="0"/>
    <n v="0"/>
    <n v="0"/>
    <x v="0"/>
    <x v="0"/>
    <x v="0"/>
    <x v="0"/>
    <x v="0"/>
    <m/>
    <x v="0"/>
    <x v="0"/>
    <n v="12"/>
    <n v="1"/>
    <m/>
    <m/>
    <m/>
    <m/>
    <m/>
    <m/>
    <m/>
    <m/>
    <m/>
    <m/>
    <m/>
    <m/>
    <m/>
    <m/>
    <m/>
    <m/>
    <m/>
    <m/>
    <m/>
    <m/>
    <n v="0"/>
    <n v="0"/>
  </r>
  <r>
    <n v="6603"/>
    <x v="0"/>
    <s v="2017/2623"/>
    <s v="141 Sellincourt Road"/>
    <m/>
    <n v="527511"/>
    <n v="170980"/>
    <x v="10"/>
    <d v="2019-03-25T00:00:00"/>
    <d v="2019-10-21T00:00:00"/>
    <n v="0"/>
    <n v="1"/>
    <n v="1"/>
    <n v="1"/>
    <n v="1"/>
    <x v="0"/>
    <s v="Alterations including erection of mansard roof extension to main rear roof (with French doors and safety railings) and extension above part of two-story back addition; formation of roof terrace above two-storey back addition with 1.8m high screen surround in connection with creation of a self-contained unit at roof level."/>
    <s v="PF"/>
    <d v="2017-05-05T00:00:00"/>
    <d v="2017-08-31T00:00:00"/>
    <x v="0"/>
    <s v="Nil"/>
    <m/>
    <s v="BF"/>
    <s v="MIX"/>
    <x v="0"/>
    <x v="5"/>
    <n v="4.9999998882412902E-3"/>
    <d v="2019-03-25T00:00:00"/>
    <x v="0"/>
    <d v="2019-10-2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617"/>
    <x v="0"/>
    <s v="2017/5495"/>
    <s v="57 Louisville Road"/>
    <m/>
    <n v="528284"/>
    <n v="172328"/>
    <x v="19"/>
    <d v="2018-11-05T00:00:00"/>
    <d v="2020-03-04T00:00:00"/>
    <n v="0"/>
    <n v="3"/>
    <n v="3"/>
    <n v="3"/>
    <n v="3"/>
    <x v="0"/>
    <s v="Alterations including erection of mansard roof extension (with French doors and safety railings) and erection of single-storey side/rear extension in connection with the change of use of the property from HMO (Class Sui Generis) into 1 x 1-bedroom, 1 x 2-bedroom and 1 x 3-bedroom flats (Class C3) with associated cycle and refuse storage.  Alterations and restoration of front elevation and front boundary treatment."/>
    <s v="PF"/>
    <d v="2017-10-03T00:00:00"/>
    <d v="2018-01-29T00:00:00"/>
    <x v="0"/>
    <s v="Nil"/>
    <m/>
    <s v="BF"/>
    <s v="MIX"/>
    <x v="0"/>
    <x v="10"/>
    <n v="1.60000007599592E-2"/>
    <d v="2018-11-05T00:00:00"/>
    <x v="0"/>
    <d v="2020-03-04T00:00:00"/>
    <x v="0"/>
    <s v="M"/>
    <m/>
    <m/>
    <n v="0"/>
    <n v="0"/>
    <n v="0"/>
    <n v="0"/>
    <n v="0"/>
    <n v="1"/>
    <n v="1"/>
    <n v="1"/>
    <n v="0"/>
    <n v="0"/>
    <n v="0"/>
    <n v="0"/>
    <n v="1"/>
    <n v="1"/>
    <n v="1"/>
    <n v="0"/>
    <n v="0"/>
    <n v="0"/>
    <n v="0"/>
    <n v="0"/>
    <n v="0"/>
    <n v="0"/>
    <n v="0"/>
    <n v="0"/>
    <n v="0"/>
    <n v="0"/>
    <n v="0"/>
    <n v="0"/>
    <n v="0"/>
    <n v="0"/>
    <n v="0"/>
    <n v="0"/>
    <x v="0"/>
    <x v="0"/>
    <x v="0"/>
    <x v="0"/>
    <x v="0"/>
    <m/>
    <x v="0"/>
    <x v="0"/>
    <n v="12"/>
    <n v="3"/>
    <m/>
    <m/>
    <m/>
    <m/>
    <m/>
    <m/>
    <m/>
    <m/>
    <m/>
    <m/>
    <m/>
    <m/>
    <m/>
    <m/>
    <m/>
    <m/>
    <m/>
    <m/>
    <m/>
    <m/>
    <n v="0"/>
    <n v="0"/>
  </r>
  <r>
    <n v="6621"/>
    <x v="0"/>
    <s v="2017/3002"/>
    <s v="37 Fanthorpe Street"/>
    <m/>
    <n v="523351"/>
    <n v="175746"/>
    <x v="0"/>
    <d v="2018-03-31T00:00:00"/>
    <d v="2019-04-18T00:00:00"/>
    <n v="2"/>
    <n v="1"/>
    <n v="-1"/>
    <n v="1"/>
    <n v="-1"/>
    <x v="0"/>
    <s v="Alterations including erection of hip to gable and rear mansard roof extension (with French doors and safety railings) and erection of extension above two-storey rear addition.  Erection of single-storey rear/side extension in connection with the use of the property as a 5-bedroom house."/>
    <s v="PF"/>
    <d v="2017-06-09T00:00:00"/>
    <d v="2017-08-04T00:00:00"/>
    <x v="0"/>
    <s v="Nil"/>
    <m/>
    <s v="BF"/>
    <s v="MIX"/>
    <x v="0"/>
    <x v="8"/>
    <n v="1.2000000104308101E-2"/>
    <d v="2018-03-31T00:00:00"/>
    <x v="0"/>
    <d v="2019-04-18T00:00:00"/>
    <x v="0"/>
    <s v="M"/>
    <m/>
    <m/>
    <n v="0"/>
    <n v="0"/>
    <n v="0"/>
    <n v="0"/>
    <n v="0"/>
    <n v="-1"/>
    <n v="0"/>
    <n v="-1"/>
    <n v="0"/>
    <n v="1"/>
    <n v="0"/>
    <n v="0"/>
    <n v="-1"/>
    <n v="0"/>
    <n v="-1"/>
    <n v="0"/>
    <n v="0"/>
    <n v="0"/>
    <n v="0"/>
    <n v="0"/>
    <n v="0"/>
    <n v="0"/>
    <n v="0"/>
    <n v="1"/>
    <n v="0"/>
    <n v="0"/>
    <n v="0"/>
    <n v="0"/>
    <n v="0"/>
    <n v="0"/>
    <n v="0"/>
    <n v="0"/>
    <x v="0"/>
    <x v="0"/>
    <x v="0"/>
    <x v="0"/>
    <x v="0"/>
    <m/>
    <x v="0"/>
    <x v="0"/>
    <n v="12"/>
    <n v="-1"/>
    <m/>
    <m/>
    <m/>
    <m/>
    <m/>
    <m/>
    <m/>
    <m/>
    <m/>
    <m/>
    <m/>
    <m/>
    <m/>
    <m/>
    <m/>
    <m/>
    <m/>
    <m/>
    <m/>
    <m/>
    <n v="0"/>
    <n v="0"/>
  </r>
  <r>
    <n v="6626"/>
    <x v="0"/>
    <s v="2018/0300"/>
    <s v="The Queens Arms P.H., 139 St Philip Street"/>
    <m/>
    <n v="528645"/>
    <n v="175982"/>
    <x v="12"/>
    <d v="2019-03-31T00:00:00"/>
    <d v="2020-01-07T00:00:00"/>
    <n v="0"/>
    <n v="4"/>
    <n v="4"/>
    <n v="5"/>
    <n v="5"/>
    <x v="0"/>
    <s v="Use of the basement and ground floors as a public house (Use Class A4), an additional storey through a roof extension to create a 1 x 3-bedroom flat, a single storey side extension at first floor level and conversion of the first and second floors into 3 x 2-bedroom flats and 1 x studio flat."/>
    <s v="PF"/>
    <d v="2018-01-23T00:00:00"/>
    <d v="2018-08-23T00:00:00"/>
    <x v="0"/>
    <s v="Nil"/>
    <m/>
    <s v="BF"/>
    <s v="MIX"/>
    <x v="0"/>
    <x v="1"/>
    <n v="1.2000000104308101E-2"/>
    <d v="2019-03-31T00:00:00"/>
    <x v="0"/>
    <d v="2020-01-07T00:00:00"/>
    <x v="0"/>
    <s v="M"/>
    <m/>
    <m/>
    <n v="0"/>
    <n v="0"/>
    <n v="0"/>
    <n v="0"/>
    <n v="1"/>
    <n v="0"/>
    <n v="3"/>
    <n v="0"/>
    <n v="0"/>
    <n v="0"/>
    <n v="0"/>
    <n v="1"/>
    <n v="0"/>
    <n v="3"/>
    <n v="0"/>
    <n v="0"/>
    <n v="0"/>
    <n v="0"/>
    <n v="0"/>
    <n v="0"/>
    <n v="0"/>
    <n v="0"/>
    <n v="0"/>
    <n v="0"/>
    <n v="0"/>
    <n v="0"/>
    <n v="0"/>
    <n v="0"/>
    <n v="0"/>
    <n v="0"/>
    <n v="0"/>
    <n v="0"/>
    <x v="0"/>
    <x v="0"/>
    <x v="0"/>
    <x v="0"/>
    <x v="0"/>
    <m/>
    <x v="0"/>
    <x v="0"/>
    <n v="12"/>
    <n v="4"/>
    <m/>
    <m/>
    <m/>
    <m/>
    <m/>
    <m/>
    <m/>
    <m/>
    <m/>
    <m/>
    <m/>
    <m/>
    <m/>
    <m/>
    <m/>
    <m/>
    <m/>
    <m/>
    <m/>
    <m/>
    <n v="0"/>
    <n v="0"/>
  </r>
  <r>
    <n v="6626"/>
    <x v="0"/>
    <s v="2018/0300"/>
    <s v="The Queens Arms P.H., 139 St Philip Street"/>
    <m/>
    <n v="528645"/>
    <n v="175982"/>
    <x v="12"/>
    <d v="2019-03-31T00:00:00"/>
    <d v="2020-01-07T00:00:00"/>
    <n v="0"/>
    <n v="1"/>
    <n v="1"/>
    <n v="5"/>
    <n v="5"/>
    <x v="0"/>
    <s v="Use of the basement and ground floors as a public house (Use Class A4), an additional storey through a roof extension to create a 1 x 3-bedroom flat, a single storey side extension at first floor level and conversion of the first and second floors into 3 x 2-bedroom flats and 1 x studio flat."/>
    <s v="PF"/>
    <d v="2018-01-23T00:00:00"/>
    <d v="2018-08-23T00:00:00"/>
    <x v="0"/>
    <s v="Nil"/>
    <m/>
    <s v="BF"/>
    <s v="MIX"/>
    <x v="0"/>
    <x v="3"/>
    <n v="2.0000000949949E-3"/>
    <d v="2019-03-31T00:00:00"/>
    <x v="0"/>
    <d v="2020-01-07T00:00:00"/>
    <x v="0"/>
    <s v="M"/>
    <m/>
    <m/>
    <n v="0"/>
    <n v="0"/>
    <n v="0"/>
    <n v="0"/>
    <n v="0"/>
    <n v="0"/>
    <n v="0"/>
    <n v="1"/>
    <n v="0"/>
    <n v="0"/>
    <n v="0"/>
    <n v="0"/>
    <n v="0"/>
    <n v="0"/>
    <n v="1"/>
    <n v="0"/>
    <n v="0"/>
    <n v="0"/>
    <n v="0"/>
    <n v="0"/>
    <n v="0"/>
    <n v="0"/>
    <n v="0"/>
    <n v="0"/>
    <n v="0"/>
    <n v="0"/>
    <n v="0"/>
    <n v="0"/>
    <n v="0"/>
    <n v="0"/>
    <n v="0"/>
    <n v="0"/>
    <x v="0"/>
    <x v="0"/>
    <x v="0"/>
    <x v="0"/>
    <x v="0"/>
    <m/>
    <x v="0"/>
    <x v="0"/>
    <n v="12"/>
    <n v="1"/>
    <m/>
    <m/>
    <m/>
    <m/>
    <m/>
    <m/>
    <m/>
    <m/>
    <m/>
    <m/>
    <m/>
    <m/>
    <m/>
    <m/>
    <m/>
    <m/>
    <m/>
    <m/>
    <m/>
    <m/>
    <n v="0"/>
    <n v="0"/>
  </r>
  <r>
    <n v="6653"/>
    <x v="0"/>
    <s v="2018/2936"/>
    <s v="83 Garratt Terrace"/>
    <m/>
    <n v="527197"/>
    <n v="171575"/>
    <x v="1"/>
    <d v="2018-01-01T00:00:00"/>
    <d v="2019-04-01T00:00:00"/>
    <n v="1"/>
    <n v="4"/>
    <n v="3"/>
    <n v="4"/>
    <n v="3"/>
    <x v="0"/>
    <s v="Alterations including erection of mansard roof extensions to main rear roof including raising the ridge by 200mm; Installation of 8no. rooflights to front roofslope; Erection of extension above three-storey back addition; Installation of french doors and safety railings at first, second and third floor levels at rear elevation; Erection of extension to first floor back addition to create flat roof, in connection with creation of 1 x 3-bedroom, 1 x 2-bedroom, 1 x 1-bedroom and 1 x studio flats."/>
    <s v="RP"/>
    <d v="2018-06-12T00:00:00"/>
    <d v="2018-08-07T00:00:00"/>
    <x v="0"/>
    <s v="APG"/>
    <d v="2019-02-05T00:00:00"/>
    <s v="BF"/>
    <s v="MIX"/>
    <x v="0"/>
    <x v="2"/>
    <n v="2.0999999716877899E-2"/>
    <d v="2018-01-01T00:00:00"/>
    <x v="0"/>
    <d v="2019-04-01T00:00:00"/>
    <x v="0"/>
    <s v="M"/>
    <m/>
    <m/>
    <n v="0"/>
    <n v="0"/>
    <n v="0"/>
    <n v="0"/>
    <n v="2"/>
    <n v="0"/>
    <n v="1"/>
    <n v="1"/>
    <n v="0"/>
    <n v="-1"/>
    <n v="0"/>
    <n v="2"/>
    <n v="0"/>
    <n v="1"/>
    <n v="1"/>
    <n v="0"/>
    <n v="0"/>
    <n v="0"/>
    <n v="0"/>
    <n v="0"/>
    <n v="0"/>
    <n v="0"/>
    <n v="0"/>
    <n v="-1"/>
    <n v="0"/>
    <n v="0"/>
    <n v="0"/>
    <n v="0"/>
    <n v="0"/>
    <n v="0"/>
    <n v="0"/>
    <n v="0"/>
    <x v="0"/>
    <x v="0"/>
    <x v="0"/>
    <x v="0"/>
    <x v="0"/>
    <m/>
    <x v="0"/>
    <x v="0"/>
    <n v="12"/>
    <n v="3"/>
    <m/>
    <m/>
    <m/>
    <m/>
    <m/>
    <m/>
    <m/>
    <m/>
    <m/>
    <m/>
    <m/>
    <m/>
    <m/>
    <m/>
    <m/>
    <m/>
    <m/>
    <m/>
    <m/>
    <m/>
    <n v="0"/>
    <n v="0"/>
  </r>
  <r>
    <n v="6673"/>
    <x v="0"/>
    <s v="2017/4231"/>
    <s v="78 Tooting Bec Road"/>
    <m/>
    <n v="528235"/>
    <n v="172221"/>
    <x v="19"/>
    <d v="2019-01-21T00:00:00"/>
    <d v="2019-10-14T00:00:00"/>
    <n v="0"/>
    <n v="1"/>
    <n v="1"/>
    <n v="1"/>
    <n v="1"/>
    <x v="0"/>
    <s v="Alterations including erection of mansard roof extension to main rear roof (with French doors and safety railings) and extension above part of two-storey back addition; formation of roof terrace above two-storey back addition with 1.7m high screen surround in connection with conversion of property into 1 x 1-bedroom flat."/>
    <s v="PF"/>
    <d v="2017-08-04T00:00:00"/>
    <d v="2017-09-26T00:00:00"/>
    <x v="0"/>
    <s v="Nil"/>
    <m/>
    <s v="BF"/>
    <s v="EXT"/>
    <x v="0"/>
    <x v="3"/>
    <n v="4.9999998882412902E-3"/>
    <d v="2019-01-21T00:00:00"/>
    <x v="0"/>
    <d v="2019-10-14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674"/>
    <x v="0"/>
    <s v="2017/5308"/>
    <s v="96 Moyser Road"/>
    <m/>
    <n v="528839"/>
    <n v="171136"/>
    <x v="7"/>
    <d v="2018-05-14T00:00:00"/>
    <d v="2019-11-12T00:00:00"/>
    <n v="0"/>
    <n v="2"/>
    <n v="2"/>
    <n v="3"/>
    <n v="3"/>
    <x v="0"/>
    <s v="Alterations including the demolition of existing single storey rear commercial unit and construction of new single storey rear addition to create two x 1 bedroom single storey dwellings and the change of use of the ground floor and basement of no. 96 Moyser Road from retail (Use Class A1) to a two bedroom flat (Use Class C3). Excavation works to create a two lightwells (one to the front and one to the side of no 96 Moyser Road) and associated cycle parking and refuse facilities."/>
    <s v="PF"/>
    <d v="2017-09-25T00:00:00"/>
    <d v="2017-11-20T00:00:00"/>
    <x v="0"/>
    <s v="Nil"/>
    <m/>
    <s v="BF"/>
    <s v="MIX"/>
    <x v="0"/>
    <x v="5"/>
    <n v="4.9999998882412902E-3"/>
    <d v="2018-05-14T00:00:00"/>
    <x v="0"/>
    <d v="2019-11-12T00:00:00"/>
    <x v="0"/>
    <s v="M"/>
    <m/>
    <m/>
    <n v="0"/>
    <n v="0"/>
    <n v="0"/>
    <n v="0"/>
    <n v="0"/>
    <n v="2"/>
    <n v="0"/>
    <n v="0"/>
    <n v="0"/>
    <n v="0"/>
    <n v="0"/>
    <n v="0"/>
    <n v="2"/>
    <n v="0"/>
    <n v="0"/>
    <n v="0"/>
    <n v="0"/>
    <n v="0"/>
    <n v="0"/>
    <n v="0"/>
    <n v="0"/>
    <n v="0"/>
    <n v="0"/>
    <n v="0"/>
    <n v="0"/>
    <n v="0"/>
    <n v="0"/>
    <n v="0"/>
    <n v="0"/>
    <n v="0"/>
    <n v="0"/>
    <n v="0"/>
    <x v="0"/>
    <x v="0"/>
    <x v="0"/>
    <x v="0"/>
    <x v="0"/>
    <m/>
    <x v="0"/>
    <x v="0"/>
    <n v="12"/>
    <n v="2"/>
    <m/>
    <m/>
    <m/>
    <m/>
    <m/>
    <m/>
    <m/>
    <m/>
    <m/>
    <m/>
    <m/>
    <m/>
    <m/>
    <m/>
    <m/>
    <m/>
    <m/>
    <m/>
    <m/>
    <m/>
    <n v="0"/>
    <n v="0"/>
  </r>
  <r>
    <n v="6674"/>
    <x v="0"/>
    <s v="2017/5308"/>
    <s v="96 Moyser Road"/>
    <m/>
    <n v="528839"/>
    <n v="171136"/>
    <x v="7"/>
    <d v="2018-05-14T00:00:00"/>
    <d v="2019-11-12T00:00:00"/>
    <n v="0"/>
    <n v="1"/>
    <n v="1"/>
    <n v="3"/>
    <n v="3"/>
    <x v="0"/>
    <s v="Alterations including the demolition of existing single storey rear commercial unit and construction of new single storey rear addition to create two x 1 bedroom single storey dwellings and the change of use of the ground floor and basement of no. 96 Moyser Road from retail (Use Class A1) to a two bedroom flat (Use Class C3). Excavation works to create a two lightwells (one to the front and one to the side of no 96 Moyser Road) and associated cycle parking and refuse facilities."/>
    <s v="PF"/>
    <d v="2017-09-25T00:00:00"/>
    <d v="2017-11-20T00:00:00"/>
    <x v="0"/>
    <s v="Nil"/>
    <m/>
    <s v="BF"/>
    <s v="MIX"/>
    <x v="0"/>
    <x v="4"/>
    <n v="4.0000001899898104E-3"/>
    <d v="2018-05-14T00:00:00"/>
    <x v="0"/>
    <d v="2019-11-12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6677"/>
    <x v="0"/>
    <s v="2017/3856"/>
    <s v="123a Falcon Road"/>
    <m/>
    <n v="527272"/>
    <n v="175730"/>
    <x v="16"/>
    <d v="2018-03-31T00:00:00"/>
    <d v="2020-03-31T00:00:00"/>
    <n v="1"/>
    <n v="2"/>
    <n v="1"/>
    <n v="2"/>
    <n v="1"/>
    <x v="0"/>
    <s v="Alterations including mansard extension to main rear roof and extension over back-addition in connection with conversion of existing flat into 1 x 1-bedroom and 1 x 2-bedroom flats."/>
    <s v="PF"/>
    <d v="2017-07-25T00:00:00"/>
    <d v="2017-09-19T00:00:00"/>
    <x v="0"/>
    <s v="Nil"/>
    <m/>
    <s v="BF"/>
    <s v="MIX"/>
    <x v="0"/>
    <x v="0"/>
    <n v="6.0000000521540598E-3"/>
    <d v="2018-03-31T00:00:00"/>
    <x v="0"/>
    <d v="2020-03-31T00:00:00"/>
    <x v="0"/>
    <s v="M"/>
    <m/>
    <m/>
    <n v="0"/>
    <n v="0"/>
    <n v="0"/>
    <n v="0"/>
    <n v="0"/>
    <n v="1"/>
    <n v="1"/>
    <n v="-1"/>
    <n v="0"/>
    <n v="0"/>
    <n v="0"/>
    <n v="0"/>
    <n v="1"/>
    <n v="1"/>
    <n v="-1"/>
    <n v="0"/>
    <n v="0"/>
    <n v="0"/>
    <n v="0"/>
    <n v="0"/>
    <n v="0"/>
    <n v="0"/>
    <n v="0"/>
    <n v="0"/>
    <n v="0"/>
    <n v="0"/>
    <n v="0"/>
    <n v="0"/>
    <n v="0"/>
    <n v="0"/>
    <n v="0"/>
    <n v="0"/>
    <x v="0"/>
    <x v="0"/>
    <x v="0"/>
    <x v="0"/>
    <x v="0"/>
    <m/>
    <x v="0"/>
    <x v="0"/>
    <n v="12"/>
    <n v="1"/>
    <m/>
    <m/>
    <m/>
    <m/>
    <m/>
    <m/>
    <m/>
    <m/>
    <m/>
    <m/>
    <m/>
    <m/>
    <m/>
    <m/>
    <m/>
    <m/>
    <m/>
    <m/>
    <m/>
    <m/>
    <n v="0"/>
    <n v="0"/>
  </r>
  <r>
    <n v="6714"/>
    <x v="0"/>
    <s v="2019/2859"/>
    <s v="13 Upper Tooting Road"/>
    <m/>
    <n v="527984"/>
    <n v="172301"/>
    <x v="19"/>
    <d v="2018-08-01T00:00:00"/>
    <d v="2019-11-28T00:00:00"/>
    <n v="2"/>
    <n v="4"/>
    <n v="2"/>
    <n v="4"/>
    <n v="2"/>
    <x v="0"/>
    <s v="Alterations including erection of mansard roof extension over main rear roof; erection of a two-storey rear/side extension at first and second floors; erection of single storey extension of existing back addition;  in connection with the conversion of the upper floors to 1x 2 bed and 3 x 1 bed flats."/>
    <s v="PF"/>
    <d v="2019-10-07T00:00:00"/>
    <d v="2019-11-28T00:00:00"/>
    <x v="1"/>
    <s v="Nil"/>
    <m/>
    <s v="BF"/>
    <s v="MIX"/>
    <x v="0"/>
    <x v="0"/>
    <n v="8.9999996125698107E-3"/>
    <d v="2018-08-01T00:00:00"/>
    <x v="0"/>
    <d v="2019-11-28T00:00:00"/>
    <x v="0"/>
    <s v="M"/>
    <m/>
    <m/>
    <n v="0"/>
    <n v="0"/>
    <n v="0"/>
    <n v="0"/>
    <n v="1"/>
    <n v="0"/>
    <n v="1"/>
    <n v="0"/>
    <n v="0"/>
    <n v="0"/>
    <n v="0"/>
    <n v="1"/>
    <n v="0"/>
    <n v="1"/>
    <n v="0"/>
    <n v="0"/>
    <n v="0"/>
    <n v="0"/>
    <n v="0"/>
    <n v="0"/>
    <n v="0"/>
    <n v="0"/>
    <n v="0"/>
    <n v="0"/>
    <n v="0"/>
    <n v="0"/>
    <n v="0"/>
    <n v="0"/>
    <n v="0"/>
    <n v="0"/>
    <n v="0"/>
    <n v="0"/>
    <x v="0"/>
    <x v="0"/>
    <x v="0"/>
    <x v="0"/>
    <x v="0"/>
    <m/>
    <x v="0"/>
    <x v="0"/>
    <n v="12"/>
    <n v="2"/>
    <m/>
    <m/>
    <m/>
    <m/>
    <m/>
    <m/>
    <m/>
    <m/>
    <m/>
    <m/>
    <m/>
    <m/>
    <m/>
    <m/>
    <m/>
    <m/>
    <m/>
    <m/>
    <m/>
    <m/>
    <n v="0"/>
    <n v="0"/>
  </r>
  <r>
    <n v="6722"/>
    <x v="0"/>
    <s v="2017/5589"/>
    <s v="32/32a Hoyle Road"/>
    <m/>
    <n v="527248"/>
    <n v="171364"/>
    <x v="1"/>
    <d v="2018-03-31T00:00:00"/>
    <d v="2019-04-03T00:00:00"/>
    <n v="2"/>
    <n v="3"/>
    <n v="1"/>
    <n v="3"/>
    <n v="1"/>
    <x v="0"/>
    <s v="Alterations and extensions including the enlargement of the three-storey back addition, enlargement of the existing two storey extension and erection of a single storey ground floor extension in connection with conversion of property into 1 x 1 bedroom, 1 x 2 bedroom and 1 x 3 bedroom flats with associated landscaping and cycle/bin storage."/>
    <s v="PF"/>
    <d v="2017-10-13T00:00:00"/>
    <d v="2018-01-18T00:00:00"/>
    <x v="0"/>
    <s v="Nil"/>
    <m/>
    <s v="BF"/>
    <s v="MIX"/>
    <x v="0"/>
    <x v="0"/>
    <n v="9.9999997764825804E-3"/>
    <d v="2018-03-31T00:00:00"/>
    <x v="0"/>
    <d v="2019-04-03T00:00:00"/>
    <x v="0"/>
    <s v="M"/>
    <m/>
    <m/>
    <n v="0"/>
    <n v="0"/>
    <n v="0"/>
    <n v="0"/>
    <n v="0"/>
    <n v="1"/>
    <n v="0"/>
    <n v="1"/>
    <n v="-1"/>
    <n v="0"/>
    <n v="0"/>
    <n v="0"/>
    <n v="1"/>
    <n v="0"/>
    <n v="1"/>
    <n v="-1"/>
    <n v="0"/>
    <n v="0"/>
    <n v="0"/>
    <n v="0"/>
    <n v="0"/>
    <n v="0"/>
    <n v="0"/>
    <n v="0"/>
    <n v="0"/>
    <n v="0"/>
    <n v="0"/>
    <n v="0"/>
    <n v="0"/>
    <n v="0"/>
    <n v="0"/>
    <n v="0"/>
    <x v="0"/>
    <x v="0"/>
    <x v="0"/>
    <x v="0"/>
    <x v="0"/>
    <m/>
    <x v="0"/>
    <x v="0"/>
    <n v="12"/>
    <n v="1"/>
    <m/>
    <m/>
    <m/>
    <m/>
    <m/>
    <m/>
    <m/>
    <m/>
    <m/>
    <m/>
    <m/>
    <m/>
    <m/>
    <m/>
    <m/>
    <m/>
    <m/>
    <m/>
    <m/>
    <m/>
    <n v="0"/>
    <n v="0"/>
  </r>
  <r>
    <n v="6731"/>
    <x v="0"/>
    <s v="2017/5935"/>
    <s v="204a Upper Richmond Road"/>
    <m/>
    <n v="523924"/>
    <n v="175082"/>
    <x v="0"/>
    <d v="2019-07-01T00:00:00"/>
    <d v="2020-02-27T00:00:00"/>
    <n v="1"/>
    <n v="2"/>
    <n v="1"/>
    <n v="2"/>
    <n v="1"/>
    <x v="0"/>
    <s v="Alterations in connection with conversion of upper floors into 1 x 2-bedroom and 1 x 1-bedroom flats."/>
    <s v="PF"/>
    <d v="2017-10-26T00:00:00"/>
    <d v="2017-12-19T00:00:00"/>
    <x v="0"/>
    <s v="Nil"/>
    <m/>
    <s v="BF"/>
    <s v="CON"/>
    <x v="0"/>
    <x v="0"/>
    <n v="6.0000000521540598E-3"/>
    <d v="2019-07-01T00:00:00"/>
    <x v="1"/>
    <d v="2020-02-27T00:00:00"/>
    <x v="0"/>
    <s v="M"/>
    <m/>
    <m/>
    <n v="0"/>
    <n v="0"/>
    <n v="0"/>
    <n v="0"/>
    <n v="0"/>
    <n v="1"/>
    <n v="1"/>
    <n v="-1"/>
    <n v="0"/>
    <n v="0"/>
    <n v="0"/>
    <n v="0"/>
    <n v="1"/>
    <n v="1"/>
    <n v="-1"/>
    <n v="0"/>
    <n v="0"/>
    <n v="0"/>
    <n v="0"/>
    <n v="0"/>
    <n v="0"/>
    <n v="0"/>
    <n v="0"/>
    <n v="0"/>
    <n v="0"/>
    <n v="0"/>
    <n v="0"/>
    <n v="0"/>
    <n v="0"/>
    <n v="0"/>
    <n v="0"/>
    <n v="0"/>
    <x v="2"/>
    <x v="0"/>
    <x v="0"/>
    <x v="0"/>
    <x v="0"/>
    <m/>
    <x v="0"/>
    <x v="0"/>
    <n v="12"/>
    <n v="1"/>
    <m/>
    <m/>
    <m/>
    <m/>
    <m/>
    <m/>
    <m/>
    <m/>
    <m/>
    <m/>
    <m/>
    <m/>
    <m/>
    <m/>
    <m/>
    <m/>
    <m/>
    <m/>
    <m/>
    <m/>
    <n v="0"/>
    <n v="0"/>
  </r>
  <r>
    <n v="6735"/>
    <x v="0"/>
    <s v="2017/5648"/>
    <s v="2 Eardley Road"/>
    <m/>
    <n v="529413"/>
    <n v="171159"/>
    <x v="7"/>
    <d v="2019-03-31T00:00:00"/>
    <d v="2019-12-23T00:00:00"/>
    <n v="0"/>
    <n v="1"/>
    <n v="1"/>
    <n v="2"/>
    <n v="0"/>
    <x v="0"/>
    <s v="Alterations including amalgamation of flats A and B, enlargement of window opening and installation of french doors. Demolition of existing garages and erection of two-storey (plus roof level) 3-bedroom detached house with associated landscaping, cycle and refuse storage."/>
    <s v="PF"/>
    <d v="2017-10-18T00:00:00"/>
    <d v="2018-04-03T00:00:00"/>
    <x v="0"/>
    <s v="Nil"/>
    <m/>
    <s v="BF"/>
    <s v="MIX"/>
    <x v="0"/>
    <x v="5"/>
    <n v="2.79999990016222E-3"/>
    <d v="2019-03-31T00:00:00"/>
    <x v="0"/>
    <d v="2019-12-23T00:00:00"/>
    <x v="0"/>
    <s v="M"/>
    <m/>
    <m/>
    <n v="0"/>
    <n v="0"/>
    <n v="0"/>
    <n v="0"/>
    <n v="0"/>
    <n v="0"/>
    <n v="0"/>
    <n v="1"/>
    <n v="0"/>
    <n v="0"/>
    <n v="0"/>
    <n v="0"/>
    <n v="0"/>
    <n v="0"/>
    <n v="0"/>
    <n v="0"/>
    <n v="0"/>
    <n v="0"/>
    <n v="0"/>
    <n v="0"/>
    <n v="0"/>
    <n v="1"/>
    <n v="0"/>
    <n v="0"/>
    <n v="0"/>
    <n v="0"/>
    <n v="0"/>
    <n v="0"/>
    <n v="0"/>
    <n v="0"/>
    <n v="0"/>
    <n v="0"/>
    <x v="0"/>
    <x v="0"/>
    <x v="0"/>
    <x v="0"/>
    <x v="0"/>
    <m/>
    <x v="0"/>
    <x v="0"/>
    <n v="12"/>
    <n v="1"/>
    <m/>
    <m/>
    <m/>
    <m/>
    <m/>
    <m/>
    <m/>
    <m/>
    <m/>
    <m/>
    <m/>
    <m/>
    <m/>
    <m/>
    <m/>
    <m/>
    <m/>
    <m/>
    <m/>
    <m/>
    <n v="0"/>
    <n v="0"/>
  </r>
  <r>
    <n v="6735"/>
    <x v="0"/>
    <s v="2017/5648"/>
    <s v="2 Eardley Road"/>
    <m/>
    <n v="529413"/>
    <n v="171159"/>
    <x v="7"/>
    <d v="2019-03-31T00:00:00"/>
    <d v="2019-12-23T00:00:00"/>
    <n v="2"/>
    <n v="1"/>
    <n v="-1"/>
    <n v="2"/>
    <n v="0"/>
    <x v="0"/>
    <s v="Alterations including amalgamation of flats A and B, enlargement of window opening and installation of french doors. Demolition of existing garages and erection of two-storey (plus roof level) 3-bedroom detached house with associated landscaping, cycle and refuse storage."/>
    <s v="PF"/>
    <d v="2017-10-18T00:00:00"/>
    <d v="2018-04-03T00:00:00"/>
    <x v="0"/>
    <s v="Nil"/>
    <m/>
    <s v="BF"/>
    <s v="MIX"/>
    <x v="0"/>
    <x v="10"/>
    <n v="4.9999998882412902E-3"/>
    <d v="2019-03-31T00:00:00"/>
    <x v="0"/>
    <d v="2019-12-23T00:00:00"/>
    <x v="0"/>
    <s v="M"/>
    <m/>
    <m/>
    <n v="0"/>
    <n v="0"/>
    <n v="0"/>
    <n v="0"/>
    <n v="-1"/>
    <n v="0"/>
    <n v="0"/>
    <n v="0"/>
    <n v="0"/>
    <n v="0"/>
    <n v="0"/>
    <n v="-1"/>
    <n v="0"/>
    <n v="0"/>
    <n v="0"/>
    <n v="0"/>
    <n v="0"/>
    <n v="0"/>
    <n v="0"/>
    <n v="0"/>
    <n v="0"/>
    <n v="0"/>
    <n v="0"/>
    <n v="0"/>
    <n v="0"/>
    <n v="0"/>
    <n v="0"/>
    <n v="0"/>
    <n v="0"/>
    <n v="0"/>
    <n v="0"/>
    <n v="0"/>
    <x v="0"/>
    <x v="0"/>
    <x v="0"/>
    <x v="0"/>
    <x v="0"/>
    <m/>
    <x v="0"/>
    <x v="0"/>
    <n v="12"/>
    <n v="-1"/>
    <m/>
    <m/>
    <m/>
    <m/>
    <m/>
    <m/>
    <m/>
    <m/>
    <m/>
    <m/>
    <m/>
    <m/>
    <m/>
    <m/>
    <m/>
    <m/>
    <m/>
    <m/>
    <m/>
    <m/>
    <n v="0"/>
    <n v="0"/>
  </r>
  <r>
    <n v="6748"/>
    <x v="0"/>
    <s v="2017/6286"/>
    <s v="121-135 Putney High Street"/>
    <m/>
    <n v="524016"/>
    <n v="175204"/>
    <x v="0"/>
    <d v="2018-06-25T00:00:00"/>
    <d v="2020-03-31T00:00:00"/>
    <n v="5"/>
    <n v="5"/>
    <n v="0"/>
    <n v="9"/>
    <n v="4"/>
    <x v="0"/>
    <s v="Alterations including erection of front and rear mansard roof extensions to provide additional floor of accommodation; first floor level rear extensions with roof terraces above and rear access walkway in connection with reconfiguration of six flats to create 5 x 1-bed, 6 x 2-bed and 5 x 3-bed flats; refuse and cycle stores at rear."/>
    <s v="PF"/>
    <d v="2017-11-17T00:00:00"/>
    <d v="2018-01-12T00:00:00"/>
    <x v="0"/>
    <s v="Nil"/>
    <m/>
    <s v="BF"/>
    <s v="MIX"/>
    <x v="0"/>
    <x v="0"/>
    <n v="4.3000001460313797E-2"/>
    <d v="2018-06-25T00:00:00"/>
    <x v="0"/>
    <d v="2020-03-31T00:00:00"/>
    <x v="0"/>
    <s v="M"/>
    <m/>
    <m/>
    <n v="0"/>
    <n v="0"/>
    <n v="0"/>
    <n v="0"/>
    <n v="0"/>
    <n v="-4"/>
    <n v="3"/>
    <n v="1"/>
    <n v="0"/>
    <n v="0"/>
    <n v="0"/>
    <n v="0"/>
    <n v="-4"/>
    <n v="3"/>
    <n v="1"/>
    <n v="0"/>
    <n v="0"/>
    <n v="0"/>
    <n v="0"/>
    <n v="0"/>
    <n v="0"/>
    <n v="0"/>
    <n v="0"/>
    <n v="0"/>
    <n v="0"/>
    <n v="0"/>
    <n v="0"/>
    <n v="0"/>
    <n v="0"/>
    <n v="0"/>
    <n v="0"/>
    <n v="0"/>
    <x v="2"/>
    <x v="0"/>
    <x v="0"/>
    <x v="0"/>
    <x v="0"/>
    <m/>
    <x v="0"/>
    <x v="0"/>
    <n v="12"/>
    <n v="0"/>
    <m/>
    <m/>
    <m/>
    <m/>
    <m/>
    <m/>
    <m/>
    <m/>
    <m/>
    <m/>
    <m/>
    <m/>
    <m/>
    <m/>
    <m/>
    <m/>
    <m/>
    <m/>
    <m/>
    <m/>
    <n v="0"/>
    <n v="0"/>
  </r>
  <r>
    <n v="6748"/>
    <x v="0"/>
    <s v="2017/6286"/>
    <s v="121-135 Putney High Street"/>
    <m/>
    <n v="524016"/>
    <n v="175204"/>
    <x v="0"/>
    <d v="2018-06-25T00:00:00"/>
    <d v="2020-03-31T00:00:00"/>
    <n v="0"/>
    <n v="4"/>
    <n v="4"/>
    <n v="9"/>
    <n v="4"/>
    <x v="0"/>
    <s v="Alterations including erection of front and rear mansard roof extensions to provide additional floor of accommodation; first floor level rear extensions with roof terraces above and rear access walkway in connection with reconfiguration of six flats to create 5 x 1-bed, 6 x 2-bed and 5 x 3-bed flats; refuse and cycle stores at rear."/>
    <s v="PF"/>
    <d v="2017-11-17T00:00:00"/>
    <d v="2018-01-12T00:00:00"/>
    <x v="0"/>
    <s v="Nil"/>
    <m/>
    <s v="BF"/>
    <s v="MIX"/>
    <x v="0"/>
    <x v="3"/>
    <n v="3.4000001847744002E-2"/>
    <d v="2018-06-25T00:00:00"/>
    <x v="0"/>
    <d v="2020-03-31T00:00:00"/>
    <x v="0"/>
    <s v="M"/>
    <m/>
    <m/>
    <n v="0"/>
    <n v="0"/>
    <n v="0"/>
    <n v="0"/>
    <n v="0"/>
    <n v="0"/>
    <n v="3"/>
    <n v="1"/>
    <n v="0"/>
    <n v="0"/>
    <n v="0"/>
    <n v="0"/>
    <n v="0"/>
    <n v="3"/>
    <n v="1"/>
    <n v="0"/>
    <n v="0"/>
    <n v="0"/>
    <n v="0"/>
    <n v="0"/>
    <n v="0"/>
    <n v="0"/>
    <n v="0"/>
    <n v="0"/>
    <n v="0"/>
    <n v="0"/>
    <n v="0"/>
    <n v="0"/>
    <n v="0"/>
    <n v="0"/>
    <n v="0"/>
    <n v="0"/>
    <x v="2"/>
    <x v="0"/>
    <x v="0"/>
    <x v="0"/>
    <x v="0"/>
    <m/>
    <x v="0"/>
    <x v="0"/>
    <n v="12"/>
    <n v="4"/>
    <m/>
    <m/>
    <m/>
    <m/>
    <m/>
    <m/>
    <m/>
    <m/>
    <m/>
    <m/>
    <m/>
    <m/>
    <m/>
    <m/>
    <m/>
    <m/>
    <m/>
    <m/>
    <m/>
    <m/>
    <n v="0"/>
    <n v="0"/>
  </r>
  <r>
    <n v="6751"/>
    <x v="0"/>
    <s v="2017/5993"/>
    <s v="30 Sisters Avenue"/>
    <m/>
    <n v="527935"/>
    <n v="175416"/>
    <x v="9"/>
    <d v="2018-04-01T00:00:00"/>
    <d v="2019-05-10T00:00:00"/>
    <n v="0"/>
    <n v="7"/>
    <n v="7"/>
    <n v="7"/>
    <n v="7"/>
    <x v="0"/>
    <s v="Alterations including the erection of mansard extension to main rear roof including raising the ridge; erection of extension above part of rear addition, and raising of the eaves of the rear addition; formation of roof terrace above rear addition; single-storey side and rear extension, excavation of basement with formation of front and rear lightwells (with stairs) in connection with change of use of the property into 5 x 1-bedroom and 2 x 2 bedroom flats with associated cycle parking and refuse store."/>
    <s v="PF"/>
    <d v="2017-11-21T00:00:00"/>
    <d v="2018-03-05T00:00:00"/>
    <x v="0"/>
    <s v="Nil"/>
    <m/>
    <s v="BF"/>
    <s v="MIX"/>
    <x v="0"/>
    <x v="1"/>
    <n v="2.0999999716877899E-2"/>
    <d v="2018-04-01T00:00:00"/>
    <x v="0"/>
    <d v="2019-05-10T00:00:00"/>
    <x v="0"/>
    <s v="M"/>
    <m/>
    <m/>
    <n v="0"/>
    <n v="0"/>
    <n v="0"/>
    <n v="0"/>
    <n v="4"/>
    <n v="1"/>
    <n v="2"/>
    <n v="0"/>
    <n v="0"/>
    <n v="0"/>
    <n v="0"/>
    <n v="4"/>
    <n v="1"/>
    <n v="2"/>
    <n v="0"/>
    <n v="0"/>
    <n v="0"/>
    <n v="0"/>
    <n v="0"/>
    <n v="0"/>
    <n v="0"/>
    <n v="0"/>
    <n v="0"/>
    <n v="0"/>
    <n v="0"/>
    <n v="0"/>
    <n v="0"/>
    <n v="0"/>
    <n v="0"/>
    <n v="0"/>
    <n v="0"/>
    <n v="0"/>
    <x v="0"/>
    <x v="0"/>
    <x v="0"/>
    <x v="0"/>
    <x v="0"/>
    <m/>
    <x v="0"/>
    <x v="0"/>
    <n v="12"/>
    <n v="7"/>
    <m/>
    <m/>
    <m/>
    <m/>
    <m/>
    <m/>
    <m/>
    <m/>
    <m/>
    <m/>
    <m/>
    <m/>
    <m/>
    <m/>
    <m/>
    <m/>
    <m/>
    <m/>
    <m/>
    <m/>
    <n v="0"/>
    <n v="0"/>
  </r>
  <r>
    <n v="6755"/>
    <x v="0"/>
    <s v="2017/5244"/>
    <s v="Garages west of 1a, 1a Isis Street"/>
    <m/>
    <n v="526150"/>
    <n v="172704"/>
    <x v="8"/>
    <d v="2019-10-28T00:00:00"/>
    <d v="2020-03-26T00:00:00"/>
    <n v="0"/>
    <n v="1"/>
    <n v="1"/>
    <n v="1"/>
    <n v="1"/>
    <x v="0"/>
    <s v="The demolition of existing garages and the erection of a two-storey 1-bedroom dwelling."/>
    <s v="PF"/>
    <d v="2017-10-19T00:00:00"/>
    <d v="2017-12-14T00:00:00"/>
    <x v="0"/>
    <s v="Nil"/>
    <m/>
    <s v="BF"/>
    <s v="NB"/>
    <x v="0"/>
    <x v="5"/>
    <n v="7.0000002160668399E-3"/>
    <d v="2019-10-28T00:00:00"/>
    <x v="1"/>
    <d v="2020-03-26T00:00:00"/>
    <x v="0"/>
    <s v="M"/>
    <m/>
    <m/>
    <n v="0"/>
    <n v="0"/>
    <n v="0"/>
    <n v="0"/>
    <n v="0"/>
    <n v="1"/>
    <n v="0"/>
    <n v="0"/>
    <n v="0"/>
    <n v="0"/>
    <n v="0"/>
    <n v="0"/>
    <n v="0"/>
    <n v="0"/>
    <n v="0"/>
    <n v="0"/>
    <n v="0"/>
    <n v="0"/>
    <n v="0"/>
    <n v="1"/>
    <n v="0"/>
    <n v="0"/>
    <n v="0"/>
    <n v="0"/>
    <n v="0"/>
    <n v="0"/>
    <n v="0"/>
    <n v="0"/>
    <n v="0"/>
    <n v="0"/>
    <n v="0"/>
    <n v="0"/>
    <x v="0"/>
    <x v="0"/>
    <x v="0"/>
    <x v="0"/>
    <x v="0"/>
    <m/>
    <x v="0"/>
    <x v="0"/>
    <n v="1"/>
    <n v="1"/>
    <m/>
    <m/>
    <m/>
    <m/>
    <m/>
    <m/>
    <m/>
    <m/>
    <m/>
    <m/>
    <m/>
    <m/>
    <m/>
    <m/>
    <m/>
    <m/>
    <m/>
    <m/>
    <m/>
    <m/>
    <n v="0"/>
    <n v="0"/>
  </r>
  <r>
    <n v="6782"/>
    <x v="0"/>
    <s v="2018/2953"/>
    <s v="113-115 Falcon road"/>
    <m/>
    <n v="527260"/>
    <n v="175759"/>
    <x v="16"/>
    <d v="2019-02-04T00:00:00"/>
    <d v="2020-03-31T00:00:00"/>
    <n v="0"/>
    <n v="1"/>
    <n v="1"/>
    <n v="1"/>
    <n v="1"/>
    <x v="0"/>
    <s v="Alterations including demolition of existing rear extension and erection of three-storey rear extension to provide 1 x 2-bedroom flat and roof terrace with 1.8m high screen surround."/>
    <s v="PF"/>
    <d v="2018-06-13T00:00:00"/>
    <d v="2018-09-10T00:00:00"/>
    <x v="0"/>
    <s v="Nil"/>
    <m/>
    <s v="BF"/>
    <s v="NB"/>
    <x v="0"/>
    <x v="5"/>
    <n v="2.0000000949949E-3"/>
    <d v="2019-02-04T00:00:00"/>
    <x v="0"/>
    <d v="2020-03-31T00:00:00"/>
    <x v="0"/>
    <s v="M"/>
    <m/>
    <m/>
    <n v="0"/>
    <n v="0"/>
    <n v="0"/>
    <n v="0"/>
    <n v="0"/>
    <n v="0"/>
    <n v="1"/>
    <n v="0"/>
    <n v="0"/>
    <n v="0"/>
    <n v="0"/>
    <n v="0"/>
    <n v="0"/>
    <n v="0"/>
    <n v="0"/>
    <n v="0"/>
    <n v="0"/>
    <n v="0"/>
    <n v="0"/>
    <n v="0"/>
    <n v="1"/>
    <n v="0"/>
    <n v="0"/>
    <n v="0"/>
    <n v="0"/>
    <n v="0"/>
    <n v="0"/>
    <n v="0"/>
    <n v="0"/>
    <n v="0"/>
    <n v="0"/>
    <n v="0"/>
    <x v="0"/>
    <x v="0"/>
    <x v="0"/>
    <x v="0"/>
    <x v="0"/>
    <m/>
    <x v="0"/>
    <x v="0"/>
    <n v="1"/>
    <n v="1"/>
    <m/>
    <m/>
    <m/>
    <m/>
    <m/>
    <m/>
    <m/>
    <m/>
    <m/>
    <m/>
    <m/>
    <m/>
    <m/>
    <m/>
    <m/>
    <m/>
    <m/>
    <m/>
    <m/>
    <m/>
    <n v="0"/>
    <n v="0"/>
  </r>
  <r>
    <n v="6783"/>
    <x v="0"/>
    <s v="2017/6849"/>
    <s v="62 St Johns Road"/>
    <m/>
    <n v="527377"/>
    <n v="175261"/>
    <x v="4"/>
    <d v="2019-01-21T00:00:00"/>
    <d v="2019-09-25T00:00:00"/>
    <n v="0"/>
    <n v="3"/>
    <n v="3"/>
    <n v="3"/>
    <n v="3"/>
    <x v="0"/>
    <s v="Alterations including infill of lower and upper ground floor lightwells, and first floor rear extension to allow the change of use of upper levels from Shop (Class A1) to 3 no. residential units (Class C3)."/>
    <s v="PF"/>
    <d v="2018-01-05T00:00:00"/>
    <d v="2018-03-29T00:00:00"/>
    <x v="0"/>
    <s v="Nil"/>
    <m/>
    <s v="BF"/>
    <s v="MIX"/>
    <x v="0"/>
    <x v="4"/>
    <n v="4.0000001899898104E-3"/>
    <d v="2019-01-21T00:00:00"/>
    <x v="0"/>
    <d v="2019-09-25T00:00:00"/>
    <x v="0"/>
    <s v="M"/>
    <m/>
    <m/>
    <n v="0"/>
    <n v="0"/>
    <n v="0"/>
    <n v="0"/>
    <n v="0"/>
    <n v="2"/>
    <n v="1"/>
    <n v="0"/>
    <n v="0"/>
    <n v="0"/>
    <n v="0"/>
    <n v="0"/>
    <n v="2"/>
    <n v="1"/>
    <n v="0"/>
    <n v="0"/>
    <n v="0"/>
    <n v="0"/>
    <n v="0"/>
    <n v="0"/>
    <n v="0"/>
    <n v="0"/>
    <n v="0"/>
    <n v="0"/>
    <n v="0"/>
    <n v="0"/>
    <n v="0"/>
    <n v="0"/>
    <n v="0"/>
    <n v="0"/>
    <n v="0"/>
    <n v="0"/>
    <x v="1"/>
    <x v="0"/>
    <x v="0"/>
    <x v="0"/>
    <x v="0"/>
    <m/>
    <x v="0"/>
    <x v="0"/>
    <n v="12"/>
    <n v="3"/>
    <m/>
    <m/>
    <m/>
    <m/>
    <m/>
    <m/>
    <m/>
    <m/>
    <m/>
    <m/>
    <m/>
    <m/>
    <m/>
    <m/>
    <m/>
    <m/>
    <m/>
    <m/>
    <m/>
    <m/>
    <n v="0"/>
    <n v="0"/>
  </r>
  <r>
    <n v="6788"/>
    <x v="0"/>
    <s v="2018/0117"/>
    <s v="66 Mellison Road"/>
    <m/>
    <n v="527519"/>
    <n v="171164"/>
    <x v="10"/>
    <d v="2019-03-24T00:00:00"/>
    <d v="2019-10-21T00:00:00"/>
    <n v="0"/>
    <n v="1"/>
    <n v="1"/>
    <n v="1"/>
    <n v="1"/>
    <x v="0"/>
    <s v="Erection of roof extension to main rear roof (with French doors and safety railings) including raising the ridge by 200mm and extension above part of two-storey back addition; formation of roof terrace above two-storey back addition with 1.7m high screen surround in connection with converting existing self-contained flat into 1 x 2-bedroom and 1 x 1-bedroom units."/>
    <s v="PF"/>
    <d v="2018-01-12T00:00:00"/>
    <d v="2018-03-07T00:00:00"/>
    <x v="0"/>
    <s v="Nil"/>
    <m/>
    <s v="BF"/>
    <s v="MIX"/>
    <x v="0"/>
    <x v="5"/>
    <n v="6.0000000521540598E-3"/>
    <d v="2019-03-24T00:00:00"/>
    <x v="0"/>
    <d v="2019-10-2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796"/>
    <x v="0"/>
    <s v="2018/0209"/>
    <s v="150 Elsenham Street"/>
    <m/>
    <n v="524850"/>
    <n v="172813"/>
    <x v="14"/>
    <d v="2018-06-27T00:00:00"/>
    <d v="2019-12-12T00:00:00"/>
    <n v="1"/>
    <n v="3"/>
    <n v="2"/>
    <n v="3"/>
    <n v="2"/>
    <x v="0"/>
    <s v="Conversion of property into 1 x 3-bedroom and 2 x 2-bedroom flats, retention of the increased roof ridge by 100mm and recladding of rear dormer to main roof (AMENDED DESCRIPTION/PLANS)"/>
    <s v="PF"/>
    <d v="2018-01-19T00:00:00"/>
    <d v="2018-06-27T00:00:00"/>
    <x v="0"/>
    <s v="Nil"/>
    <m/>
    <s v="BF"/>
    <s v="CON"/>
    <x v="0"/>
    <x v="2"/>
    <n v="2.4000000208616298E-2"/>
    <d v="2018-06-27T00:00:00"/>
    <x v="0"/>
    <d v="2019-12-12T00:00:00"/>
    <x v="0"/>
    <s v="M"/>
    <m/>
    <m/>
    <n v="0"/>
    <n v="0"/>
    <n v="0"/>
    <n v="0"/>
    <n v="0"/>
    <n v="0"/>
    <n v="2"/>
    <n v="1"/>
    <n v="0"/>
    <n v="-1"/>
    <n v="0"/>
    <n v="0"/>
    <n v="0"/>
    <n v="2"/>
    <n v="1"/>
    <n v="0"/>
    <n v="0"/>
    <n v="0"/>
    <n v="0"/>
    <n v="0"/>
    <n v="0"/>
    <n v="0"/>
    <n v="0"/>
    <n v="-1"/>
    <n v="0"/>
    <n v="0"/>
    <n v="0"/>
    <n v="0"/>
    <n v="0"/>
    <n v="0"/>
    <n v="0"/>
    <n v="0"/>
    <x v="0"/>
    <x v="0"/>
    <x v="0"/>
    <x v="0"/>
    <x v="0"/>
    <m/>
    <x v="0"/>
    <x v="0"/>
    <n v="12"/>
    <n v="2"/>
    <m/>
    <m/>
    <m/>
    <m/>
    <m/>
    <m/>
    <m/>
    <m/>
    <m/>
    <m/>
    <m/>
    <m/>
    <m/>
    <m/>
    <m/>
    <m/>
    <m/>
    <m/>
    <m/>
    <m/>
    <n v="0"/>
    <n v="0"/>
  </r>
  <r>
    <n v="6802"/>
    <x v="0"/>
    <s v="2018/0569"/>
    <s v="Store rear of 27, 27 Webbs Road"/>
    <m/>
    <n v="527680"/>
    <n v="174924"/>
    <x v="4"/>
    <d v="2019-07-01T00:00:00"/>
    <d v="2020-03-31T00:00:00"/>
    <n v="0"/>
    <n v="1"/>
    <n v="1"/>
    <n v="1"/>
    <n v="1"/>
    <x v="0"/>
    <s v="Determination as to whether prior approval is required for change of use from storage (Class B8) to residential (Class C3) to provide 1 x studio flat."/>
    <s v="PAG"/>
    <d v="2018-02-02T00:00:00"/>
    <d v="2018-03-26T00:00:00"/>
    <x v="0"/>
    <s v="Nil"/>
    <m/>
    <s v="BF"/>
    <s v="COU"/>
    <x v="0"/>
    <x v="1"/>
    <n v="2.0000000949949E-3"/>
    <d v="2019-07-01T00:00:00"/>
    <x v="1"/>
    <d v="2020-03-31T00:00:00"/>
    <x v="0"/>
    <s v="M"/>
    <m/>
    <m/>
    <n v="0"/>
    <n v="0"/>
    <n v="0"/>
    <n v="0"/>
    <n v="1"/>
    <n v="0"/>
    <n v="0"/>
    <n v="0"/>
    <n v="0"/>
    <n v="0"/>
    <n v="0"/>
    <n v="1"/>
    <n v="0"/>
    <n v="0"/>
    <n v="0"/>
    <n v="0"/>
    <n v="0"/>
    <n v="0"/>
    <n v="0"/>
    <n v="0"/>
    <n v="0"/>
    <n v="0"/>
    <n v="0"/>
    <n v="0"/>
    <n v="0"/>
    <n v="0"/>
    <n v="0"/>
    <n v="0"/>
    <n v="0"/>
    <n v="0"/>
    <n v="0"/>
    <n v="0"/>
    <x v="0"/>
    <x v="0"/>
    <x v="0"/>
    <x v="0"/>
    <x v="0"/>
    <m/>
    <x v="0"/>
    <x v="0"/>
    <n v="12"/>
    <n v="1"/>
    <m/>
    <m/>
    <m/>
    <m/>
    <m/>
    <m/>
    <m/>
    <m/>
    <m/>
    <m/>
    <m/>
    <m/>
    <m/>
    <m/>
    <m/>
    <m/>
    <m/>
    <m/>
    <m/>
    <m/>
    <n v="0"/>
    <n v="0"/>
  </r>
  <r>
    <n v="6811"/>
    <x v="0"/>
    <s v="2019/1175"/>
    <s v="130 Brookwood Road"/>
    <s v="CoU"/>
    <n v="525229"/>
    <n v="173182"/>
    <x v="14"/>
    <d v="2019-07-01T00:00:00"/>
    <d v="2020-01-23T00:00:00"/>
    <n v="0"/>
    <n v="1"/>
    <n v="1"/>
    <n v="2"/>
    <n v="1"/>
    <x v="0"/>
    <s v="Alterations in connection with change of use from offices (Class A2) to residential (Class C3) to provide 1 x 3-bedroom flat and enlarge existing flat, with associated refuse and cycle storage."/>
    <s v="PF"/>
    <d v="2019-04-03T00:00:00"/>
    <d v="2019-06-18T00:00:00"/>
    <x v="1"/>
    <s v="Nil"/>
    <m/>
    <s v="BF"/>
    <s v="MIX"/>
    <x v="0"/>
    <x v="6"/>
    <n v="8.0000003799796104E-3"/>
    <d v="2019-07-01T00:00:00"/>
    <x v="1"/>
    <d v="2020-01-23T00:00:00"/>
    <x v="0"/>
    <s v="M"/>
    <m/>
    <m/>
    <n v="0"/>
    <n v="0"/>
    <n v="0"/>
    <n v="0"/>
    <n v="0"/>
    <n v="0"/>
    <n v="0"/>
    <n v="1"/>
    <n v="0"/>
    <n v="0"/>
    <n v="0"/>
    <n v="0"/>
    <n v="0"/>
    <n v="0"/>
    <n v="1"/>
    <n v="0"/>
    <n v="0"/>
    <n v="0"/>
    <n v="0"/>
    <n v="0"/>
    <n v="0"/>
    <n v="0"/>
    <n v="0"/>
    <n v="0"/>
    <n v="0"/>
    <n v="0"/>
    <n v="0"/>
    <n v="0"/>
    <n v="0"/>
    <n v="0"/>
    <n v="0"/>
    <n v="0"/>
    <x v="0"/>
    <x v="0"/>
    <x v="0"/>
    <x v="0"/>
    <x v="0"/>
    <m/>
    <x v="0"/>
    <x v="0"/>
    <n v="12"/>
    <n v="1"/>
    <m/>
    <m/>
    <m/>
    <m/>
    <m/>
    <m/>
    <m/>
    <m/>
    <m/>
    <m/>
    <m/>
    <m/>
    <m/>
    <m/>
    <m/>
    <m/>
    <m/>
    <m/>
    <m/>
    <m/>
    <n v="0"/>
    <n v="0"/>
  </r>
  <r>
    <n v="6811"/>
    <x v="0"/>
    <s v="2019/1175"/>
    <s v="130 Brookwood Road"/>
    <s v="extn"/>
    <n v="525229"/>
    <n v="173182"/>
    <x v="14"/>
    <d v="2019-07-01T00:00:00"/>
    <d v="2020-01-23T00:00:00"/>
    <n v="1"/>
    <n v="1"/>
    <n v="0"/>
    <n v="2"/>
    <n v="1"/>
    <x v="0"/>
    <s v="Alterations in connection with change of use from offices (Class A2) to residential (Class C3) to provide 1 x 3-bedroom flat and enlarge existing flat, with associated refuse and cycle storage."/>
    <s v="PF"/>
    <d v="2019-04-03T00:00:00"/>
    <d v="2019-06-18T00:00:00"/>
    <x v="1"/>
    <s v="Nil"/>
    <m/>
    <s v="BF"/>
    <s v="MIX"/>
    <x v="0"/>
    <x v="3"/>
    <n v="6.0000000521540598E-3"/>
    <d v="2019-07-01T00:00:00"/>
    <x v="1"/>
    <d v="2020-01-23T00:00:00"/>
    <x v="0"/>
    <s v="M"/>
    <m/>
    <m/>
    <n v="0"/>
    <n v="0"/>
    <n v="0"/>
    <n v="0"/>
    <n v="0"/>
    <n v="-1"/>
    <n v="1"/>
    <n v="0"/>
    <n v="0"/>
    <n v="0"/>
    <n v="0"/>
    <n v="0"/>
    <n v="-1"/>
    <n v="1"/>
    <n v="0"/>
    <n v="0"/>
    <n v="0"/>
    <n v="0"/>
    <n v="0"/>
    <n v="0"/>
    <n v="0"/>
    <n v="0"/>
    <n v="0"/>
    <n v="0"/>
    <n v="0"/>
    <n v="0"/>
    <n v="0"/>
    <n v="0"/>
    <n v="0"/>
    <n v="0"/>
    <n v="0"/>
    <n v="0"/>
    <x v="0"/>
    <x v="0"/>
    <x v="0"/>
    <x v="0"/>
    <x v="0"/>
    <m/>
    <x v="0"/>
    <x v="0"/>
    <n v="12"/>
    <n v="0"/>
    <m/>
    <m/>
    <m/>
    <m/>
    <m/>
    <m/>
    <m/>
    <m/>
    <m/>
    <m/>
    <m/>
    <m/>
    <m/>
    <m/>
    <m/>
    <m/>
    <m/>
    <m/>
    <m/>
    <m/>
    <n v="0"/>
    <n v="0"/>
  </r>
  <r>
    <n v="6820"/>
    <x v="0"/>
    <s v="2018/0793"/>
    <s v="1 &amp; 1a, 1 Nepean Street"/>
    <m/>
    <n v="522422"/>
    <n v="173974"/>
    <x v="13"/>
    <d v="2018-09-20T00:00:00"/>
    <d v="2019-06-27T00:00:00"/>
    <n v="2"/>
    <n v="1"/>
    <n v="-1"/>
    <n v="1"/>
    <n v="-1"/>
    <x v="0"/>
    <s v="Alterations including erection of rear dormer, front rooflights and extension above two-storey back addition which would exceed the main ridge height by 0.8m; erection of single-storey rear and side extensions in connection with use as a single dwelling house."/>
    <s v="PF"/>
    <d v="2018-02-22T00:00:00"/>
    <d v="2018-04-09T00:00:00"/>
    <x v="0"/>
    <s v="Nil"/>
    <m/>
    <s v="BF"/>
    <s v="MIX"/>
    <x v="0"/>
    <x v="8"/>
    <n v="4.6000000089407002E-2"/>
    <d v="2018-09-20T00:00:00"/>
    <x v="0"/>
    <d v="2019-06-27T00:00:00"/>
    <x v="0"/>
    <s v="M"/>
    <m/>
    <m/>
    <n v="0"/>
    <n v="0"/>
    <n v="0"/>
    <n v="0"/>
    <n v="0"/>
    <n v="0"/>
    <n v="-1"/>
    <n v="-1"/>
    <n v="0"/>
    <n v="1"/>
    <n v="0"/>
    <n v="0"/>
    <n v="0"/>
    <n v="-1"/>
    <n v="-1"/>
    <n v="0"/>
    <n v="0"/>
    <n v="0"/>
    <n v="0"/>
    <n v="0"/>
    <n v="0"/>
    <n v="0"/>
    <n v="0"/>
    <n v="1"/>
    <n v="0"/>
    <n v="0"/>
    <n v="0"/>
    <n v="0"/>
    <n v="0"/>
    <n v="0"/>
    <n v="0"/>
    <n v="0"/>
    <x v="0"/>
    <x v="0"/>
    <x v="0"/>
    <x v="0"/>
    <x v="0"/>
    <m/>
    <x v="0"/>
    <x v="0"/>
    <n v="12"/>
    <n v="-1"/>
    <m/>
    <m/>
    <m/>
    <m/>
    <m/>
    <m/>
    <m/>
    <m/>
    <m/>
    <m/>
    <m/>
    <m/>
    <m/>
    <m/>
    <m/>
    <m/>
    <m/>
    <m/>
    <m/>
    <m/>
    <n v="0"/>
    <n v="0"/>
  </r>
  <r>
    <n v="6821"/>
    <x v="0"/>
    <s v="2018/0807"/>
    <s v="Unit 31 Ransomes Dock Business Centre, 35-37 Parkgate Road (Ransomes Dock Business Centre)"/>
    <m/>
    <n v="527311"/>
    <n v="177194"/>
    <x v="11"/>
    <m/>
    <d v="2019-06-17T00:00:00"/>
    <n v="0"/>
    <n v="2"/>
    <n v="2"/>
    <n v="2"/>
    <n v="2"/>
    <x v="0"/>
    <s v="Determination as to whether prior approval is required for change of use from office at ground floor level (Use Class B1(a)) to residential (Use Class C3) to provide 1 x 1 bedroom and 1 x 2 bedroom flats."/>
    <s v="PANR"/>
    <d v="2018-02-20T00:00:00"/>
    <d v="2018-05-04T00:00:00"/>
    <x v="0"/>
    <s v="Nil"/>
    <m/>
    <s v="BF"/>
    <s v="COU"/>
    <x v="0"/>
    <x v="6"/>
    <n v="1.4000000432133701E-2"/>
    <m/>
    <x v="0"/>
    <d v="2019-06-17T00:00:00"/>
    <x v="0"/>
    <s v="M"/>
    <m/>
    <m/>
    <n v="0"/>
    <n v="0"/>
    <n v="0"/>
    <n v="0"/>
    <n v="0"/>
    <n v="1"/>
    <n v="1"/>
    <n v="0"/>
    <n v="0"/>
    <n v="0"/>
    <n v="0"/>
    <n v="0"/>
    <n v="1"/>
    <n v="1"/>
    <n v="0"/>
    <n v="0"/>
    <n v="0"/>
    <n v="0"/>
    <n v="0"/>
    <n v="0"/>
    <n v="0"/>
    <n v="0"/>
    <n v="0"/>
    <n v="0"/>
    <n v="0"/>
    <n v="0"/>
    <n v="0"/>
    <n v="0"/>
    <n v="0"/>
    <n v="0"/>
    <n v="0"/>
    <n v="0"/>
    <x v="0"/>
    <x v="0"/>
    <x v="0"/>
    <x v="0"/>
    <x v="0"/>
    <m/>
    <x v="1"/>
    <x v="0"/>
    <n v="12"/>
    <n v="2"/>
    <m/>
    <m/>
    <m/>
    <m/>
    <m/>
    <m/>
    <m/>
    <m/>
    <m/>
    <m/>
    <m/>
    <m/>
    <m/>
    <m/>
    <m/>
    <m/>
    <m/>
    <m/>
    <m/>
    <m/>
    <n v="0"/>
    <n v="0"/>
  </r>
  <r>
    <n v="6844"/>
    <x v="0"/>
    <s v="2018/1169"/>
    <s v="43 Leverson Street"/>
    <m/>
    <n v="529391"/>
    <n v="170726"/>
    <x v="7"/>
    <d v="2019-09-16T00:00:00"/>
    <d v="2020-03-31T00:00:00"/>
    <n v="0"/>
    <n v="1"/>
    <n v="1"/>
    <n v="1"/>
    <n v="1"/>
    <x v="0"/>
    <s v="Conversion of the ground floor property from retail (Class A1) to a one-bedroom flat (Class C3 Residential) with access to the rear garden and alterations including new shopfront."/>
    <s v="PF"/>
    <d v="2018-03-15T00:00:00"/>
    <d v="2018-05-03T00:00:00"/>
    <x v="0"/>
    <s v="Nil"/>
    <m/>
    <s v="BF"/>
    <s v="COU"/>
    <x v="0"/>
    <x v="4"/>
    <n v="4.9999998882412902E-3"/>
    <d v="2019-09-16T00:00:00"/>
    <x v="1"/>
    <d v="2020-03-3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883"/>
    <x v="0"/>
    <s v="2018/4614"/>
    <s v="5 &amp; 5a Kyrle road"/>
    <m/>
    <n v="528003"/>
    <n v="174423"/>
    <x v="6"/>
    <d v="2019-03-31T00:00:00"/>
    <d v="2019-10-07T00:00:00"/>
    <n v="2"/>
    <n v="1"/>
    <n v="-1"/>
    <n v="1"/>
    <n v="-1"/>
    <x v="0"/>
    <s v="Alterations including erection of mansard roof extension to main rear roof; erection of a part-single/part three-storey rear extension; formation of second floor roof terrace with screen surround. Excavation to enlarge basement and conversion of 2 x 2-bedroom flats into 5-bedroom house."/>
    <s v="PF"/>
    <d v="2018-09-27T00:00:00"/>
    <d v="2018-11-22T00:00:00"/>
    <x v="0"/>
    <s v="Nil"/>
    <m/>
    <s v="BF"/>
    <s v="MIX"/>
    <x v="0"/>
    <x v="8"/>
    <n v="2.70000007003546E-2"/>
    <d v="2019-03-31T00:00:00"/>
    <x v="0"/>
    <d v="2019-10-07T00:00:00"/>
    <x v="0"/>
    <s v="M"/>
    <m/>
    <m/>
    <n v="0"/>
    <n v="0"/>
    <n v="0"/>
    <n v="0"/>
    <n v="0"/>
    <n v="0"/>
    <n v="-2"/>
    <n v="0"/>
    <n v="0"/>
    <n v="1"/>
    <n v="0"/>
    <n v="0"/>
    <n v="0"/>
    <n v="-2"/>
    <n v="0"/>
    <n v="0"/>
    <n v="0"/>
    <n v="0"/>
    <n v="0"/>
    <n v="0"/>
    <n v="0"/>
    <n v="0"/>
    <n v="0"/>
    <n v="1"/>
    <n v="0"/>
    <n v="0"/>
    <n v="0"/>
    <n v="0"/>
    <n v="0"/>
    <n v="0"/>
    <n v="0"/>
    <n v="0"/>
    <x v="0"/>
    <x v="0"/>
    <x v="0"/>
    <x v="0"/>
    <x v="0"/>
    <m/>
    <x v="0"/>
    <x v="0"/>
    <n v="12"/>
    <n v="-1"/>
    <m/>
    <m/>
    <m/>
    <m/>
    <m/>
    <m/>
    <m/>
    <m/>
    <m/>
    <m/>
    <m/>
    <m/>
    <m/>
    <m/>
    <m/>
    <m/>
    <m/>
    <m/>
    <m/>
    <m/>
    <n v="0"/>
    <n v="0"/>
  </r>
  <r>
    <n v="6926"/>
    <x v="0"/>
    <s v="2018/1762"/>
    <s v="13a, 13a Oakmead Road"/>
    <s v="extension to exisiting"/>
    <n v="528655"/>
    <n v="173058"/>
    <x v="3"/>
    <d v="2019-04-15T00:00:00"/>
    <d v="2020-01-30T00:00:00"/>
    <n v="0"/>
    <n v="1"/>
    <n v="1"/>
    <n v="1"/>
    <n v="1"/>
    <x v="0"/>
    <s v="Alterations including erection of mansard roof extension to main rear and extension above part of two-storey back addition; formation of roof terrace above two-storey back addition with 1.7m high screen surround and conversion of the first floor flat to 1 x 1-bedroom and 1 x 3-bedroom flats."/>
    <s v="PF"/>
    <d v="2018-04-27T00:00:00"/>
    <d v="2018-06-04T00:00:00"/>
    <x v="0"/>
    <s v="Nil"/>
    <m/>
    <s v="BF"/>
    <s v="MIX"/>
    <x v="0"/>
    <x v="5"/>
    <n v="7.0000002160668399E-3"/>
    <d v="2019-04-15T00:00:00"/>
    <x v="1"/>
    <d v="2020-01-30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927"/>
    <x v="0"/>
    <s v="2018/4318"/>
    <s v="9 Rotherwood Road"/>
    <m/>
    <n v="523600"/>
    <n v="175878"/>
    <x v="0"/>
    <d v="2020-03-31T00:00:00"/>
    <d v="2020-03-31T00:00:00"/>
    <n v="2"/>
    <n v="1"/>
    <n v="-1"/>
    <n v="1"/>
    <n v="-1"/>
    <x v="0"/>
    <s v="Use as a single dwelling house."/>
    <s v="PF"/>
    <d v="2018-09-07T00:00:00"/>
    <d v="2018-11-02T00:00:00"/>
    <x v="0"/>
    <s v="Nil"/>
    <m/>
    <s v="BF"/>
    <s v="CON"/>
    <x v="0"/>
    <x v="8"/>
    <n v="1.2000000104308101E-2"/>
    <d v="2020-03-31T00:00:00"/>
    <x v="1"/>
    <d v="2020-03-31T00:00:00"/>
    <x v="0"/>
    <s v="M"/>
    <m/>
    <m/>
    <n v="0"/>
    <n v="0"/>
    <n v="0"/>
    <n v="0"/>
    <n v="0"/>
    <n v="-2"/>
    <n v="0"/>
    <n v="1"/>
    <n v="0"/>
    <n v="0"/>
    <n v="0"/>
    <n v="0"/>
    <n v="-2"/>
    <n v="0"/>
    <n v="0"/>
    <n v="0"/>
    <n v="0"/>
    <n v="0"/>
    <n v="0"/>
    <n v="0"/>
    <n v="0"/>
    <n v="1"/>
    <n v="0"/>
    <n v="0"/>
    <n v="0"/>
    <n v="0"/>
    <n v="0"/>
    <n v="0"/>
    <n v="0"/>
    <n v="0"/>
    <n v="0"/>
    <n v="0"/>
    <x v="0"/>
    <x v="0"/>
    <x v="0"/>
    <x v="0"/>
    <x v="0"/>
    <m/>
    <x v="0"/>
    <x v="0"/>
    <n v="12"/>
    <n v="-1"/>
    <m/>
    <m/>
    <m/>
    <m/>
    <m/>
    <m/>
    <m/>
    <m/>
    <m/>
    <m/>
    <m/>
    <m/>
    <m/>
    <m/>
    <m/>
    <m/>
    <m/>
    <m/>
    <m/>
    <m/>
    <n v="0"/>
    <n v="0"/>
  </r>
  <r>
    <n v="6929"/>
    <x v="0"/>
    <s v="2018/1420"/>
    <s v="Units 11-13 Blades Court, 121 Deodar Road"/>
    <m/>
    <n v="524583"/>
    <n v="175309"/>
    <x v="0"/>
    <d v="2019-03-18T00:00:00"/>
    <d v="2020-03-31T00:00:00"/>
    <n v="0"/>
    <n v="2"/>
    <n v="2"/>
    <n v="2"/>
    <n v="2"/>
    <x v="0"/>
    <s v="Erection of mansard style roof extension to provide 2 x two-bedroom flats with associated refuse and cycle storage."/>
    <s v="PF"/>
    <d v="2018-04-05T00:00:00"/>
    <d v="2018-06-27T00:00:00"/>
    <x v="0"/>
    <s v="Nil"/>
    <m/>
    <s v="BF"/>
    <s v="EXT"/>
    <x v="0"/>
    <x v="5"/>
    <n v="2.0000000949949E-3"/>
    <d v="2019-03-18T00:00:00"/>
    <x v="0"/>
    <d v="2020-03-31T00:00:00"/>
    <x v="0"/>
    <s v="M"/>
    <m/>
    <m/>
    <n v="0"/>
    <n v="0"/>
    <n v="0"/>
    <n v="0"/>
    <n v="0"/>
    <n v="0"/>
    <n v="2"/>
    <n v="0"/>
    <n v="0"/>
    <n v="0"/>
    <n v="0"/>
    <n v="0"/>
    <n v="0"/>
    <n v="2"/>
    <n v="0"/>
    <n v="0"/>
    <n v="0"/>
    <n v="0"/>
    <n v="0"/>
    <n v="0"/>
    <n v="0"/>
    <n v="0"/>
    <n v="0"/>
    <n v="0"/>
    <n v="0"/>
    <n v="0"/>
    <n v="0"/>
    <n v="0"/>
    <n v="0"/>
    <n v="0"/>
    <n v="0"/>
    <n v="0"/>
    <x v="0"/>
    <x v="0"/>
    <x v="0"/>
    <x v="0"/>
    <x v="0"/>
    <m/>
    <x v="1"/>
    <x v="0"/>
    <n v="12"/>
    <n v="2"/>
    <m/>
    <m/>
    <m/>
    <m/>
    <m/>
    <m/>
    <m/>
    <m/>
    <m/>
    <m/>
    <m/>
    <m/>
    <m/>
    <m/>
    <m/>
    <m/>
    <m/>
    <m/>
    <m/>
    <m/>
    <n v="0"/>
    <n v="0"/>
  </r>
  <r>
    <n v="6932"/>
    <x v="0"/>
    <s v="2018/1879"/>
    <s v="11 Chestnut Grove"/>
    <m/>
    <n v="528421"/>
    <n v="173247"/>
    <x v="3"/>
    <d v="2016-09-01T00:00:00"/>
    <d v="2019-05-01T00:00:00"/>
    <n v="0"/>
    <n v="1"/>
    <n v="1"/>
    <n v="1"/>
    <n v="1"/>
    <x v="0"/>
    <s v="Use of part of the ground floor as retail (Class A1) as a mini cab (Sui Generis) and rear part as residential living accommodation (Class C3)."/>
    <s v="RP"/>
    <d v="2018-05-02T00:00:00"/>
    <d v="2018-06-12T00:00:00"/>
    <x v="1"/>
    <s v="APG"/>
    <d v="2019-05-01T00:00:00"/>
    <s v="BF"/>
    <s v="COU"/>
    <x v="0"/>
    <x v="4"/>
    <n v="8.0000003799796104E-3"/>
    <d v="2016-09-01T00:00:00"/>
    <x v="0"/>
    <d v="2019-05-01T00:00:00"/>
    <x v="0"/>
    <s v="M"/>
    <m/>
    <m/>
    <n v="0"/>
    <n v="0"/>
    <n v="0"/>
    <n v="0"/>
    <n v="0"/>
    <n v="1"/>
    <n v="0"/>
    <n v="0"/>
    <n v="0"/>
    <n v="0"/>
    <n v="0"/>
    <n v="0"/>
    <n v="1"/>
    <n v="0"/>
    <n v="0"/>
    <n v="0"/>
    <n v="0"/>
    <n v="0"/>
    <n v="0"/>
    <n v="0"/>
    <n v="0"/>
    <n v="0"/>
    <n v="0"/>
    <n v="0"/>
    <n v="0"/>
    <n v="0"/>
    <n v="0"/>
    <n v="0"/>
    <n v="0"/>
    <n v="0"/>
    <n v="0"/>
    <n v="0"/>
    <x v="5"/>
    <x v="0"/>
    <x v="0"/>
    <x v="0"/>
    <x v="0"/>
    <m/>
    <x v="0"/>
    <x v="0"/>
    <n v="12"/>
    <n v="1"/>
    <m/>
    <m/>
    <m/>
    <m/>
    <m/>
    <m/>
    <m/>
    <m/>
    <m/>
    <m/>
    <m/>
    <m/>
    <m/>
    <m/>
    <m/>
    <m/>
    <m/>
    <m/>
    <m/>
    <m/>
    <n v="0"/>
    <n v="0"/>
  </r>
  <r>
    <n v="6957"/>
    <x v="0"/>
    <s v="2018/2281"/>
    <s v="22 Hoyle Road"/>
    <s v="Conversion"/>
    <n v="527269"/>
    <n v="171348"/>
    <x v="1"/>
    <d v="2018-09-01T00:00:00"/>
    <d v="2020-03-31T00:00:00"/>
    <n v="1"/>
    <n v="2"/>
    <n v="1"/>
    <n v="3"/>
    <n v="2"/>
    <x v="0"/>
    <s v="Alterations including erection of mansard roof extension to main rear roof including raising the ridge by 200mm, erection of roof extension over two storey back addition; erection of single storey rear/side extension; and associated refuse store; in connection with conversion into 1 x 3-bedroom and 2 x 2-bedroom flats."/>
    <s v="PF"/>
    <d v="2018-05-21T00:00:00"/>
    <d v="2018-07-04T00:00:00"/>
    <x v="0"/>
    <s v="Nil"/>
    <m/>
    <s v="BF"/>
    <s v="MIX"/>
    <x v="0"/>
    <x v="2"/>
    <n v="8.0000003799796104E-3"/>
    <d v="2018-09-01T00:00:00"/>
    <x v="0"/>
    <d v="2020-03-31T00:00:00"/>
    <x v="0"/>
    <s v="M"/>
    <m/>
    <m/>
    <n v="0"/>
    <n v="0"/>
    <n v="0"/>
    <n v="0"/>
    <n v="0"/>
    <n v="0"/>
    <n v="2"/>
    <n v="0"/>
    <n v="-1"/>
    <n v="0"/>
    <n v="0"/>
    <n v="0"/>
    <n v="0"/>
    <n v="2"/>
    <n v="0"/>
    <n v="0"/>
    <n v="0"/>
    <n v="0"/>
    <n v="0"/>
    <n v="0"/>
    <n v="0"/>
    <n v="0"/>
    <n v="-1"/>
    <n v="0"/>
    <n v="0"/>
    <n v="0"/>
    <n v="0"/>
    <n v="0"/>
    <n v="0"/>
    <n v="0"/>
    <n v="0"/>
    <n v="0"/>
    <x v="0"/>
    <x v="0"/>
    <x v="0"/>
    <x v="0"/>
    <x v="0"/>
    <m/>
    <x v="0"/>
    <x v="0"/>
    <n v="12"/>
    <n v="1"/>
    <m/>
    <m/>
    <m/>
    <m/>
    <m/>
    <m/>
    <m/>
    <m/>
    <m/>
    <m/>
    <m/>
    <m/>
    <m/>
    <m/>
    <m/>
    <m/>
    <m/>
    <m/>
    <m/>
    <m/>
    <n v="0"/>
    <n v="0"/>
  </r>
  <r>
    <n v="6957"/>
    <x v="0"/>
    <s v="2018/2281"/>
    <s v="22 Hoyle Road"/>
    <s v="Extension to existing"/>
    <n v="527269"/>
    <n v="171348"/>
    <x v="1"/>
    <d v="2018-09-01T00:00:00"/>
    <d v="2020-03-31T00:00:00"/>
    <n v="0"/>
    <n v="1"/>
    <n v="1"/>
    <n v="3"/>
    <n v="2"/>
    <x v="0"/>
    <s v="Alterations including erection of mansard roof extension to main rear roof including raising the ridge by 200mm, erection of roof extension over two storey back addition; erection of single storey rear/side extension; and associated refuse store; in connection with conversion into 1 x 3-bedroom and 2 x 2-bedroom flats."/>
    <s v="PF"/>
    <d v="2018-05-21T00:00:00"/>
    <d v="2018-07-04T00:00:00"/>
    <x v="0"/>
    <s v="Nil"/>
    <m/>
    <s v="BF"/>
    <s v="MIX"/>
    <x v="0"/>
    <x v="2"/>
    <n v="4.9999998882412902E-3"/>
    <d v="2018-09-01T00:00:00"/>
    <x v="0"/>
    <d v="2020-03-31T00:00:00"/>
    <x v="0"/>
    <s v="M"/>
    <m/>
    <m/>
    <n v="0"/>
    <n v="0"/>
    <n v="0"/>
    <n v="0"/>
    <n v="0"/>
    <n v="0"/>
    <n v="0"/>
    <n v="1"/>
    <n v="0"/>
    <n v="0"/>
    <n v="0"/>
    <n v="0"/>
    <n v="0"/>
    <n v="0"/>
    <n v="1"/>
    <n v="0"/>
    <n v="0"/>
    <n v="0"/>
    <n v="0"/>
    <n v="0"/>
    <n v="0"/>
    <n v="0"/>
    <n v="0"/>
    <n v="0"/>
    <n v="0"/>
    <n v="0"/>
    <n v="0"/>
    <n v="0"/>
    <n v="0"/>
    <n v="0"/>
    <n v="0"/>
    <n v="0"/>
    <x v="0"/>
    <x v="0"/>
    <x v="0"/>
    <x v="0"/>
    <x v="0"/>
    <m/>
    <x v="0"/>
    <x v="0"/>
    <n v="12"/>
    <n v="1"/>
    <m/>
    <m/>
    <m/>
    <m/>
    <m/>
    <m/>
    <m/>
    <m/>
    <m/>
    <m/>
    <m/>
    <m/>
    <m/>
    <m/>
    <m/>
    <m/>
    <m/>
    <m/>
    <m/>
    <m/>
    <n v="0"/>
    <n v="0"/>
  </r>
  <r>
    <n v="6977"/>
    <x v="0"/>
    <s v="2019/2564"/>
    <s v="5 Gambole Road"/>
    <m/>
    <n v="527166"/>
    <n v="171579"/>
    <x v="1"/>
    <d v="2019-04-12T00:00:00"/>
    <d v="2020-02-17T00:00:00"/>
    <n v="1"/>
    <n v="4"/>
    <n v="3"/>
    <n v="4"/>
    <n v="3"/>
    <x v="0"/>
    <s v="Alterations in connection with conversion of dwellinghouse into 1 x 3-bedroom, 1 x 2-bedroom and 2 x 1-bedroom flats with associated refuse and cycle storage; retrospective application for alterations to roof including ridge raise and ground floor window cill heights (revised description)."/>
    <s v="PF"/>
    <d v="2019-10-09T00:00:00"/>
    <d v="2020-02-03T00:00:00"/>
    <x v="1"/>
    <s v="Nil"/>
    <m/>
    <s v="BF"/>
    <s v="CON"/>
    <x v="0"/>
    <x v="2"/>
    <n v="1.60000007599592E-2"/>
    <d v="2019-04-12T00:00:00"/>
    <x v="1"/>
    <d v="2020-02-17T00:00:00"/>
    <x v="0"/>
    <s v="M"/>
    <m/>
    <m/>
    <n v="0"/>
    <n v="0"/>
    <n v="0"/>
    <n v="0"/>
    <n v="0"/>
    <n v="2"/>
    <n v="1"/>
    <n v="1"/>
    <n v="0"/>
    <n v="-1"/>
    <n v="0"/>
    <n v="0"/>
    <n v="2"/>
    <n v="1"/>
    <n v="1"/>
    <n v="0"/>
    <n v="0"/>
    <n v="0"/>
    <n v="0"/>
    <n v="0"/>
    <n v="0"/>
    <n v="0"/>
    <n v="0"/>
    <n v="-1"/>
    <n v="0"/>
    <n v="0"/>
    <n v="0"/>
    <n v="0"/>
    <n v="0"/>
    <n v="0"/>
    <n v="0"/>
    <n v="0"/>
    <x v="0"/>
    <x v="0"/>
    <x v="0"/>
    <x v="0"/>
    <x v="0"/>
    <m/>
    <x v="0"/>
    <x v="0"/>
    <n v="12"/>
    <n v="3"/>
    <m/>
    <m/>
    <m/>
    <m/>
    <m/>
    <m/>
    <m/>
    <m/>
    <m/>
    <m/>
    <m/>
    <m/>
    <m/>
    <m/>
    <m/>
    <m/>
    <m/>
    <m/>
    <m/>
    <m/>
    <n v="0"/>
    <n v="0"/>
  </r>
  <r>
    <n v="6989"/>
    <x v="0"/>
    <s v="2018/3506"/>
    <s v="181a Replingham Road"/>
    <m/>
    <n v="525152"/>
    <n v="173396"/>
    <x v="14"/>
    <d v="2018-12-19T00:00:00"/>
    <d v="2019-08-07T00:00:00"/>
    <n v="0"/>
    <n v="1"/>
    <n v="1"/>
    <n v="1"/>
    <n v="1"/>
    <x v="0"/>
    <s v="Alterations including erection of rear roof extension to main roof and above part of two-storey back addition; formation of roof terrace above two-storey back addition with 1.6m high screen surround in connection with provision of 1 x 1-bedroom flat."/>
    <s v="PF"/>
    <d v="2018-07-24T00:00:00"/>
    <d v="2018-09-17T00:00:00"/>
    <x v="0"/>
    <s v="Nil"/>
    <m/>
    <s v="BF"/>
    <s v="EXT"/>
    <x v="0"/>
    <x v="3"/>
    <n v="2.0000000949949E-3"/>
    <d v="2018-12-19T00:00:00"/>
    <x v="0"/>
    <d v="2019-08-07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6997"/>
    <x v="0"/>
    <s v="2018/1821"/>
    <s v="977 Garratt Lane"/>
    <m/>
    <n v="527147"/>
    <n v="171668"/>
    <x v="1"/>
    <d v="2019-02-22T00:00:00"/>
    <d v="2019-04-01T00:00:00"/>
    <n v="1"/>
    <n v="0"/>
    <n v="-1"/>
    <n v="0"/>
    <n v="-1"/>
    <x v="0"/>
    <s v="Change of use from residential (Class C3) to large HMO (Sui Generis) including internal alterations."/>
    <s v="PF"/>
    <d v="2018-05-17T00:00:00"/>
    <d v="2018-09-05T00:00:00"/>
    <x v="0"/>
    <s v="Nil"/>
    <m/>
    <s v="BF"/>
    <s v="COU"/>
    <x v="0"/>
    <x v="11"/>
    <n v="1.09999999403954E-2"/>
    <d v="2019-02-22T00:00:00"/>
    <x v="0"/>
    <d v="2019-04-01T00:00:00"/>
    <x v="0"/>
    <s v="M"/>
    <m/>
    <m/>
    <n v="0"/>
    <n v="0"/>
    <n v="0"/>
    <n v="0"/>
    <n v="0"/>
    <n v="0"/>
    <n v="0"/>
    <n v="0"/>
    <n v="0"/>
    <n v="-1"/>
    <n v="0"/>
    <n v="0"/>
    <n v="0"/>
    <n v="0"/>
    <n v="0"/>
    <n v="0"/>
    <n v="0"/>
    <n v="0"/>
    <n v="0"/>
    <n v="0"/>
    <n v="0"/>
    <n v="0"/>
    <n v="0"/>
    <n v="-1"/>
    <n v="0"/>
    <n v="0"/>
    <n v="0"/>
    <n v="0"/>
    <n v="0"/>
    <n v="0"/>
    <n v="0"/>
    <n v="0"/>
    <x v="0"/>
    <x v="0"/>
    <x v="0"/>
    <x v="0"/>
    <x v="0"/>
    <m/>
    <x v="0"/>
    <x v="0"/>
    <n v="12"/>
    <n v="-1"/>
    <m/>
    <m/>
    <m/>
    <m/>
    <m/>
    <m/>
    <m/>
    <m/>
    <m/>
    <m/>
    <m/>
    <m/>
    <m/>
    <m/>
    <m/>
    <m/>
    <m/>
    <m/>
    <m/>
    <m/>
    <n v="0"/>
    <n v="0"/>
  </r>
  <r>
    <n v="7031"/>
    <x v="0"/>
    <s v="2019/2598"/>
    <s v="46 Webbs Road"/>
    <m/>
    <n v="527751"/>
    <n v="174632"/>
    <x v="4"/>
    <d v="2019-04-01T00:00:00"/>
    <d v="2019-10-17T00:00:00"/>
    <n v="0"/>
    <n v="1"/>
    <n v="1"/>
    <n v="1"/>
    <n v="1"/>
    <x v="0"/>
    <s v="Alterations to existing commercial space at ground and basement level to create a 1-bedroom residential unit to the rear including the basement area. Retention of the commercial unit to the front (Class A1)"/>
    <s v="PF"/>
    <d v="2019-07-05T00:00:00"/>
    <d v="2019-08-08T00:00:00"/>
    <x v="1"/>
    <s v="Nil"/>
    <m/>
    <s v="BF"/>
    <s v="MIX"/>
    <x v="0"/>
    <x v="4"/>
    <n v="6.0000000521540598E-3"/>
    <d v="2019-04-01T00:00:00"/>
    <x v="1"/>
    <d v="2019-10-17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7043"/>
    <x v="0"/>
    <s v="2018/5566"/>
    <s v="5 Duchess Court, 2 Dinsmore Road"/>
    <m/>
    <n v="528808"/>
    <n v="173793"/>
    <x v="6"/>
    <d v="2019-04-01T00:00:00"/>
    <d v="2020-03-20T00:00:00"/>
    <n v="0"/>
    <n v="1"/>
    <n v="1"/>
    <n v="1"/>
    <n v="1"/>
    <x v="0"/>
    <s v="Determination as to whether prior approval is required for change of use from office(Class B1) to 1 x 2-bedroom flat (Class C3)."/>
    <s v="PANR"/>
    <d v="2018-11-22T00:00:00"/>
    <d v="2019-01-10T00:00:00"/>
    <x v="0"/>
    <s v="Nil"/>
    <m/>
    <s v="BF"/>
    <s v="COU"/>
    <x v="0"/>
    <x v="6"/>
    <n v="4.0000001899898104E-3"/>
    <d v="2019-04-01T00:00:00"/>
    <x v="1"/>
    <d v="2020-03-20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7056"/>
    <x v="0"/>
    <s v="2018/5448"/>
    <s v="35 Comyn Road"/>
    <s v="conversion"/>
    <n v="527292"/>
    <n v="175191"/>
    <x v="4"/>
    <d v="2019-03-31T00:00:00"/>
    <d v="2019-11-25T00:00:00"/>
    <n v="1"/>
    <n v="2"/>
    <n v="1"/>
    <n v="3"/>
    <n v="2"/>
    <x v="0"/>
    <s v="Alterations including erection of extension above part of three storey back addition, erection of part single/part two storey side/rear extension and excavation to enlarge basement with rear lightwell in connection with conversion into 1 x 1-bedroom, 1 x 2-bedroom and 1 x 3-bedroom flats with associated bin storage."/>
    <s v="PF"/>
    <d v="2018-11-15T00:00:00"/>
    <d v="2019-03-04T00:00:00"/>
    <x v="0"/>
    <s v="Nil"/>
    <m/>
    <s v="BF"/>
    <s v="MIX"/>
    <x v="0"/>
    <x v="2"/>
    <n v="9.9999997764825804E-3"/>
    <d v="2019-03-31T00:00:00"/>
    <x v="0"/>
    <d v="2019-11-25T00:00:00"/>
    <x v="0"/>
    <s v="M"/>
    <m/>
    <m/>
    <n v="0"/>
    <n v="0"/>
    <n v="0"/>
    <n v="0"/>
    <n v="0"/>
    <n v="0"/>
    <n v="1"/>
    <n v="1"/>
    <n v="-1"/>
    <n v="0"/>
    <n v="0"/>
    <n v="0"/>
    <n v="0"/>
    <n v="1"/>
    <n v="1"/>
    <n v="0"/>
    <n v="0"/>
    <n v="0"/>
    <n v="0"/>
    <n v="0"/>
    <n v="0"/>
    <n v="0"/>
    <n v="-1"/>
    <n v="0"/>
    <n v="0"/>
    <n v="0"/>
    <n v="0"/>
    <n v="0"/>
    <n v="0"/>
    <n v="0"/>
    <n v="0"/>
    <n v="0"/>
    <x v="0"/>
    <x v="0"/>
    <x v="0"/>
    <x v="0"/>
    <x v="0"/>
    <m/>
    <x v="0"/>
    <x v="0"/>
    <n v="12"/>
    <n v="1"/>
    <m/>
    <m/>
    <m/>
    <m/>
    <m/>
    <m/>
    <m/>
    <m/>
    <m/>
    <m/>
    <m/>
    <m/>
    <m/>
    <m/>
    <m/>
    <m/>
    <m/>
    <m/>
    <m/>
    <m/>
    <n v="0"/>
    <n v="0"/>
  </r>
  <r>
    <n v="7056"/>
    <x v="0"/>
    <s v="2018/5448"/>
    <s v="35 Comyn Road"/>
    <s v="extn"/>
    <n v="527292"/>
    <n v="175191"/>
    <x v="4"/>
    <d v="2019-03-31T00:00:00"/>
    <d v="2019-11-25T00:00:00"/>
    <n v="0"/>
    <n v="1"/>
    <n v="1"/>
    <n v="3"/>
    <n v="2"/>
    <x v="0"/>
    <s v="Alterations including erection of extension above part of three storey back addition, erection of part single/part two storey side/rear extension and excavation to enlarge basement with rear lightwell in connection with conversion into 1 x 1-bedroom, 1 x 2-bedroom and 1 x 3-bedroom flats with associated bin storage."/>
    <s v="PF"/>
    <d v="2018-11-15T00:00:00"/>
    <d v="2019-03-04T00:00:00"/>
    <x v="0"/>
    <s v="Nil"/>
    <m/>
    <s v="BF"/>
    <s v="MIX"/>
    <x v="0"/>
    <x v="3"/>
    <n v="2.0000000949949E-3"/>
    <d v="2019-03-31T00:00:00"/>
    <x v="0"/>
    <d v="2019-11-25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7071"/>
    <x v="0"/>
    <s v="2018/5878"/>
    <s v="Rear of, 12 Lavender Hill"/>
    <m/>
    <n v="528520"/>
    <n v="175788"/>
    <x v="9"/>
    <d v="2020-01-07T00:00:00"/>
    <d v="2020-03-31T00:00:00"/>
    <n v="0"/>
    <n v="1"/>
    <n v="1"/>
    <n v="1"/>
    <n v="1"/>
    <x v="0"/>
    <s v="Erection of single storey 1-bedroom dwelling with associated refuse and cycle storage."/>
    <s v="PF"/>
    <d v="2018-12-28T00:00:00"/>
    <d v="2019-07-10T00:00:00"/>
    <x v="1"/>
    <s v="Nil"/>
    <m/>
    <s v="BF"/>
    <s v="NB"/>
    <x v="0"/>
    <x v="5"/>
    <n v="6.0000000521540598E-3"/>
    <d v="2020-01-07T00:00:00"/>
    <x v="1"/>
    <d v="2020-03-31T00:00:00"/>
    <x v="0"/>
    <s v="M"/>
    <m/>
    <m/>
    <n v="0"/>
    <n v="0"/>
    <n v="0"/>
    <n v="0"/>
    <n v="0"/>
    <n v="1"/>
    <n v="0"/>
    <n v="0"/>
    <n v="0"/>
    <n v="0"/>
    <n v="0"/>
    <n v="0"/>
    <n v="0"/>
    <n v="0"/>
    <n v="0"/>
    <n v="0"/>
    <n v="0"/>
    <n v="0"/>
    <n v="0"/>
    <n v="1"/>
    <n v="0"/>
    <n v="0"/>
    <n v="0"/>
    <n v="0"/>
    <n v="0"/>
    <n v="0"/>
    <n v="0"/>
    <n v="0"/>
    <n v="0"/>
    <n v="0"/>
    <n v="0"/>
    <n v="0"/>
    <x v="0"/>
    <x v="0"/>
    <x v="0"/>
    <x v="0"/>
    <x v="0"/>
    <m/>
    <x v="0"/>
    <x v="0"/>
    <n v="1"/>
    <n v="1"/>
    <m/>
    <m/>
    <m/>
    <m/>
    <m/>
    <m/>
    <m/>
    <m/>
    <m/>
    <m/>
    <m/>
    <m/>
    <m/>
    <m/>
    <m/>
    <m/>
    <m/>
    <m/>
    <m/>
    <m/>
    <n v="0"/>
    <n v="0"/>
  </r>
  <r>
    <n v="7074"/>
    <x v="0"/>
    <s v="2018/5931"/>
    <s v="9, 10,11 and 12 Marcus Street"/>
    <m/>
    <n v="525914"/>
    <n v="174433"/>
    <x v="2"/>
    <d v="2019-03-31T00:00:00"/>
    <d v="2019-10-16T00:00:00"/>
    <n v="0"/>
    <n v="1"/>
    <n v="1"/>
    <n v="1"/>
    <n v="1"/>
    <x v="0"/>
    <s v="Alterations including erection of mansard roof extension to main rear roof including raising the ridge by 280mm and erection of roof extension over part of two-storey back addition in connection with provision of 1 x 2-bedroom flat."/>
    <s v="PF"/>
    <d v="2018-12-14T00:00:00"/>
    <d v="2019-02-07T00:00:00"/>
    <x v="0"/>
    <s v="Nil"/>
    <m/>
    <s v="BF"/>
    <s v="EXT"/>
    <x v="0"/>
    <x v="3"/>
    <n v="3.0000000260770299E-3"/>
    <d v="2019-03-31T00:00:00"/>
    <x v="0"/>
    <d v="2019-10-16T00:00:00"/>
    <x v="0"/>
    <s v="M"/>
    <m/>
    <m/>
    <n v="0"/>
    <n v="0"/>
    <n v="0"/>
    <n v="0"/>
    <n v="0"/>
    <n v="0"/>
    <n v="1"/>
    <n v="0"/>
    <n v="0"/>
    <n v="0"/>
    <n v="0"/>
    <n v="0"/>
    <n v="0"/>
    <n v="1"/>
    <n v="0"/>
    <n v="0"/>
    <n v="0"/>
    <n v="0"/>
    <n v="0"/>
    <n v="0"/>
    <n v="0"/>
    <n v="0"/>
    <n v="0"/>
    <n v="0"/>
    <n v="0"/>
    <n v="0"/>
    <n v="0"/>
    <n v="0"/>
    <n v="0"/>
    <n v="0"/>
    <n v="0"/>
    <n v="0"/>
    <x v="0"/>
    <x v="0"/>
    <x v="0"/>
    <x v="0"/>
    <x v="0"/>
    <m/>
    <x v="0"/>
    <x v="0"/>
    <n v="12"/>
    <n v="1"/>
    <m/>
    <m/>
    <m/>
    <m/>
    <m/>
    <m/>
    <m/>
    <m/>
    <m/>
    <m/>
    <m/>
    <m/>
    <m/>
    <m/>
    <m/>
    <m/>
    <m/>
    <m/>
    <m/>
    <m/>
    <n v="0"/>
    <n v="0"/>
  </r>
  <r>
    <n v="7083"/>
    <x v="0"/>
    <s v="2018/6114"/>
    <s v="70a Stapleton Road"/>
    <s v="conversion"/>
    <n v="528161"/>
    <n v="172151"/>
    <x v="19"/>
    <d v="2019-04-03T00:00:00"/>
    <d v="2019-11-13T00:00:00"/>
    <n v="0"/>
    <n v="1"/>
    <n v="1"/>
    <n v="2"/>
    <n v="1"/>
    <x v="0"/>
    <s v="Erection of mansard roof extension to main rear roof and extension above part of two-storey back addition (with French doors and safety railings); formation of roof terrace above two-storey back addition with 1.7m high screen surround; conversion of 1 x 2 bedroom flat to 1 x 3-bedroom and 1 x 1-bedroom flat."/>
    <s v="PF"/>
    <d v="2018-12-24T00:00:00"/>
    <d v="2019-04-03T00:00:00"/>
    <x v="1"/>
    <s v="Nil"/>
    <m/>
    <s v="BF"/>
    <s v="EXT"/>
    <x v="0"/>
    <x v="0"/>
    <n v="7.0000002160668399E-3"/>
    <d v="2019-04-03T00:00:00"/>
    <x v="1"/>
    <d v="2019-11-13T00:00:00"/>
    <x v="0"/>
    <s v="M"/>
    <m/>
    <m/>
    <n v="0"/>
    <n v="0"/>
    <n v="0"/>
    <n v="0"/>
    <n v="0"/>
    <n v="0"/>
    <n v="0"/>
    <n v="1"/>
    <n v="0"/>
    <n v="0"/>
    <n v="0"/>
    <n v="0"/>
    <n v="0"/>
    <n v="0"/>
    <n v="1"/>
    <n v="0"/>
    <n v="0"/>
    <n v="0"/>
    <n v="0"/>
    <n v="0"/>
    <n v="0"/>
    <n v="0"/>
    <n v="0"/>
    <n v="0"/>
    <n v="0"/>
    <n v="0"/>
    <n v="0"/>
    <n v="0"/>
    <n v="0"/>
    <n v="0"/>
    <n v="0"/>
    <n v="0"/>
    <x v="0"/>
    <x v="0"/>
    <x v="0"/>
    <x v="0"/>
    <x v="0"/>
    <m/>
    <x v="0"/>
    <x v="0"/>
    <n v="12"/>
    <n v="1"/>
    <m/>
    <m/>
    <m/>
    <m/>
    <m/>
    <m/>
    <m/>
    <m/>
    <m/>
    <m/>
    <m/>
    <m/>
    <m/>
    <m/>
    <m/>
    <m/>
    <m/>
    <m/>
    <m/>
    <m/>
    <n v="0"/>
    <n v="0"/>
  </r>
  <r>
    <n v="7083"/>
    <x v="0"/>
    <s v="2018/6114"/>
    <s v="70a Stapleton Road"/>
    <s v="extn"/>
    <n v="528161"/>
    <n v="172151"/>
    <x v="19"/>
    <d v="2019-04-03T00:00:00"/>
    <d v="2019-11-13T00:00:00"/>
    <n v="1"/>
    <n v="1"/>
    <n v="0"/>
    <n v="2"/>
    <n v="1"/>
    <x v="0"/>
    <s v="Erection of mansard roof extension to main rear roof and extension above part of two-storey back addition (with French doors and safety railings); formation of roof terrace above two-storey back addition with 1.7m high screen surround; conversion of 1 x 2 bedroom flat to 1 x 3-bedroom and 1 x 1-bedroom flat."/>
    <s v="PF"/>
    <d v="2018-12-24T00:00:00"/>
    <d v="2019-04-03T00:00:00"/>
    <x v="1"/>
    <s v="Nil"/>
    <m/>
    <s v="BF"/>
    <s v="EXT"/>
    <x v="0"/>
    <x v="3"/>
    <n v="4.9999998882412902E-3"/>
    <d v="2019-04-03T00:00:00"/>
    <x v="1"/>
    <d v="2019-11-13T00:00:00"/>
    <x v="0"/>
    <s v="M"/>
    <m/>
    <m/>
    <n v="0"/>
    <n v="0"/>
    <n v="0"/>
    <n v="0"/>
    <n v="1"/>
    <n v="0"/>
    <n v="-1"/>
    <n v="0"/>
    <n v="0"/>
    <n v="0"/>
    <n v="0"/>
    <n v="1"/>
    <n v="0"/>
    <n v="-1"/>
    <n v="0"/>
    <n v="0"/>
    <n v="0"/>
    <n v="0"/>
    <n v="0"/>
    <n v="0"/>
    <n v="0"/>
    <n v="0"/>
    <n v="0"/>
    <n v="0"/>
    <n v="0"/>
    <n v="0"/>
    <n v="0"/>
    <n v="0"/>
    <n v="0"/>
    <n v="0"/>
    <n v="0"/>
    <n v="0"/>
    <x v="0"/>
    <x v="0"/>
    <x v="0"/>
    <x v="0"/>
    <x v="0"/>
    <m/>
    <x v="0"/>
    <x v="0"/>
    <n v="12"/>
    <n v="0"/>
    <m/>
    <m/>
    <m/>
    <m/>
    <m/>
    <m/>
    <m/>
    <m/>
    <m/>
    <m/>
    <m/>
    <m/>
    <m/>
    <m/>
    <m/>
    <m/>
    <m/>
    <m/>
    <m/>
    <m/>
    <n v="0"/>
    <n v="0"/>
  </r>
  <r>
    <n v="7089"/>
    <x v="0"/>
    <s v="2019/0055"/>
    <s v="849 Garratt Lane"/>
    <m/>
    <n v="526505"/>
    <n v="172046"/>
    <x v="8"/>
    <d v="2019-07-16T00:00:00"/>
    <d v="2020-03-31T00:00:00"/>
    <n v="0"/>
    <n v="1"/>
    <n v="1"/>
    <n v="1"/>
    <n v="1"/>
    <x v="0"/>
    <s v="Alterations in connection with change of use of ground floor and basement shop (Class A1) to 1-bedroom flat (Class C3)."/>
    <s v="PF"/>
    <d v="2019-01-07T00:00:00"/>
    <d v="2019-03-05T00:00:00"/>
    <x v="0"/>
    <s v="Nil"/>
    <m/>
    <s v="BF"/>
    <s v="COU"/>
    <x v="0"/>
    <x v="4"/>
    <n v="2.0000000949949E-3"/>
    <d v="2019-07-16T00:00:00"/>
    <x v="1"/>
    <d v="2020-03-31T00:00:00"/>
    <x v="0"/>
    <s v="M"/>
    <m/>
    <m/>
    <n v="0"/>
    <n v="0"/>
    <n v="0"/>
    <n v="0"/>
    <n v="0"/>
    <n v="1"/>
    <n v="0"/>
    <n v="0"/>
    <n v="0"/>
    <n v="0"/>
    <n v="0"/>
    <n v="0"/>
    <n v="1"/>
    <n v="0"/>
    <n v="0"/>
    <n v="0"/>
    <n v="0"/>
    <n v="0"/>
    <n v="0"/>
    <n v="0"/>
    <n v="0"/>
    <n v="0"/>
    <n v="0"/>
    <n v="0"/>
    <n v="0"/>
    <n v="0"/>
    <n v="0"/>
    <n v="0"/>
    <n v="0"/>
    <n v="0"/>
    <n v="0"/>
    <n v="0"/>
    <x v="0"/>
    <x v="0"/>
    <x v="0"/>
    <x v="0"/>
    <x v="0"/>
    <m/>
    <x v="0"/>
    <x v="0"/>
    <n v="12"/>
    <n v="1"/>
    <m/>
    <m/>
    <m/>
    <m/>
    <m/>
    <m/>
    <m/>
    <m/>
    <m/>
    <m/>
    <m/>
    <m/>
    <m/>
    <m/>
    <m/>
    <m/>
    <m/>
    <m/>
    <m/>
    <m/>
    <n v="0"/>
    <n v="0"/>
  </r>
  <r>
    <n v="7108"/>
    <x v="0"/>
    <s v="2019/0357"/>
    <s v="70 Gilbey Road"/>
    <m/>
    <n v="527213"/>
    <n v="171527"/>
    <x v="1"/>
    <d v="2007-02-12T00:00:00"/>
    <d v="2019-04-03T00:00:00"/>
    <n v="1"/>
    <n v="1"/>
    <n v="0"/>
    <n v="1"/>
    <n v="0"/>
    <x v="0"/>
    <s v="Continued use as three-bedroom flat."/>
    <s v="LDC Exist"/>
    <d v="2019-02-06T00:00:00"/>
    <d v="2019-04-03T00:00:00"/>
    <x v="1"/>
    <s v="Nil"/>
    <m/>
    <s v="BF"/>
    <s v="CON"/>
    <x v="0"/>
    <x v="0"/>
    <n v="4.9999998882412902E-3"/>
    <d v="2007-02-12T00:00:00"/>
    <x v="0"/>
    <d v="2019-04-03T00:00:00"/>
    <x v="0"/>
    <s v="M"/>
    <m/>
    <m/>
    <n v="0"/>
    <n v="0"/>
    <n v="0"/>
    <n v="0"/>
    <n v="0"/>
    <n v="-1"/>
    <n v="0"/>
    <n v="1"/>
    <n v="0"/>
    <n v="0"/>
    <n v="0"/>
    <n v="0"/>
    <n v="-1"/>
    <n v="0"/>
    <n v="1"/>
    <n v="0"/>
    <n v="0"/>
    <n v="0"/>
    <n v="0"/>
    <n v="0"/>
    <n v="0"/>
    <n v="0"/>
    <n v="0"/>
    <n v="0"/>
    <n v="0"/>
    <n v="0"/>
    <n v="0"/>
    <n v="0"/>
    <n v="0"/>
    <n v="0"/>
    <n v="0"/>
    <n v="0"/>
    <x v="0"/>
    <x v="0"/>
    <x v="0"/>
    <x v="0"/>
    <x v="0"/>
    <m/>
    <x v="0"/>
    <x v="0"/>
    <n v="12"/>
    <n v="0"/>
    <m/>
    <m/>
    <m/>
    <m/>
    <m/>
    <m/>
    <m/>
    <m/>
    <m/>
    <m/>
    <m/>
    <m/>
    <m/>
    <m/>
    <m/>
    <m/>
    <m/>
    <m/>
    <m/>
    <m/>
    <n v="0"/>
    <n v="0"/>
  </r>
  <r>
    <n v="7154"/>
    <x v="0"/>
    <s v="2019/1434"/>
    <s v="62 Eardley Road"/>
    <m/>
    <n v="529456"/>
    <n v="170899"/>
    <x v="7"/>
    <d v="2019-04-17T00:00:00"/>
    <d v="2019-06-12T00:00:00"/>
    <n v="1"/>
    <n v="2"/>
    <n v="1"/>
    <n v="2"/>
    <n v="1"/>
    <x v="0"/>
    <s v="Continued use as two self-contained 1-bedroom flats."/>
    <s v="LDC Exist"/>
    <d v="2019-04-17T00:00:00"/>
    <d v="2019-06-12T00:00:00"/>
    <x v="1"/>
    <s v="Nil"/>
    <m/>
    <s v="BF"/>
    <s v="CON"/>
    <x v="0"/>
    <x v="0"/>
    <n v="9.9999997764825804E-3"/>
    <d v="2019-04-17T00:00:00"/>
    <x v="1"/>
    <d v="2019-06-12T00:00:00"/>
    <x v="0"/>
    <s v="M"/>
    <m/>
    <m/>
    <n v="0"/>
    <n v="0"/>
    <n v="0"/>
    <n v="0"/>
    <n v="0"/>
    <n v="2"/>
    <n v="-1"/>
    <n v="0"/>
    <n v="0"/>
    <n v="0"/>
    <n v="0"/>
    <n v="0"/>
    <n v="2"/>
    <n v="-1"/>
    <n v="0"/>
    <n v="0"/>
    <n v="0"/>
    <n v="0"/>
    <n v="0"/>
    <n v="0"/>
    <n v="0"/>
    <n v="0"/>
    <n v="0"/>
    <n v="0"/>
    <n v="0"/>
    <n v="0"/>
    <n v="0"/>
    <n v="0"/>
    <n v="0"/>
    <n v="0"/>
    <n v="0"/>
    <n v="0"/>
    <x v="0"/>
    <x v="0"/>
    <x v="0"/>
    <x v="0"/>
    <x v="0"/>
    <m/>
    <x v="0"/>
    <x v="0"/>
    <n v="12"/>
    <n v="1"/>
    <m/>
    <m/>
    <m/>
    <m/>
    <m/>
    <m/>
    <m/>
    <m/>
    <m/>
    <m/>
    <m/>
    <m/>
    <m/>
    <m/>
    <m/>
    <m/>
    <m/>
    <m/>
    <m/>
    <m/>
    <n v="0"/>
    <n v="0"/>
  </r>
  <r>
    <n v="7172"/>
    <x v="0"/>
    <s v="2019/2296"/>
    <s v="89 Garratt Terrace"/>
    <m/>
    <n v="527191"/>
    <n v="171592"/>
    <x v="1"/>
    <d v="2019-09-30T00:00:00"/>
    <d v="2019-10-31T00:00:00"/>
    <n v="1"/>
    <n v="4"/>
    <n v="3"/>
    <n v="4"/>
    <n v="3"/>
    <x v="0"/>
    <s v="Alterations in connection with conversion of dwelling house into 1 x 3-bedroom, 1 x 2-bedroom, 1 x 1-bedroom and 1x studio flat with associated refuse storage."/>
    <s v="PF"/>
    <d v="2019-06-05T00:00:00"/>
    <d v="2019-07-31T00:00:00"/>
    <x v="1"/>
    <s v="Nil"/>
    <m/>
    <s v="BF"/>
    <s v="CON"/>
    <x v="0"/>
    <x v="2"/>
    <n v="1.4000000432133701E-2"/>
    <d v="2019-09-30T00:00:00"/>
    <x v="1"/>
    <d v="2019-10-31T00:00:00"/>
    <x v="0"/>
    <s v="M"/>
    <m/>
    <m/>
    <n v="0"/>
    <n v="0"/>
    <n v="0"/>
    <n v="0"/>
    <n v="1"/>
    <n v="1"/>
    <n v="1"/>
    <n v="1"/>
    <n v="0"/>
    <n v="-1"/>
    <n v="0"/>
    <n v="1"/>
    <n v="1"/>
    <n v="1"/>
    <n v="1"/>
    <n v="0"/>
    <n v="0"/>
    <n v="0"/>
    <n v="0"/>
    <n v="0"/>
    <n v="0"/>
    <n v="0"/>
    <n v="0"/>
    <n v="-1"/>
    <n v="0"/>
    <n v="0"/>
    <n v="0"/>
    <n v="0"/>
    <n v="0"/>
    <n v="0"/>
    <n v="0"/>
    <n v="0"/>
    <x v="0"/>
    <x v="0"/>
    <x v="0"/>
    <x v="0"/>
    <x v="0"/>
    <m/>
    <x v="0"/>
    <x v="0"/>
    <n v="12"/>
    <n v="3"/>
    <m/>
    <m/>
    <m/>
    <m/>
    <m/>
    <m/>
    <m/>
    <m/>
    <m/>
    <m/>
    <m/>
    <m/>
    <m/>
    <m/>
    <m/>
    <m/>
    <m/>
    <m/>
    <m/>
    <m/>
    <n v="0"/>
    <n v="0"/>
  </r>
  <r>
    <n v="7185"/>
    <x v="0"/>
    <s v="2019/2117"/>
    <s v="1b Stareathbourne Road"/>
    <m/>
    <n v="528265"/>
    <n v="172556"/>
    <x v="19"/>
    <d v="2019-07-31T00:00:00"/>
    <d v="2019-08-15T00:00:00"/>
    <n v="1"/>
    <n v="0"/>
    <n v="-1"/>
    <n v="0"/>
    <n v="-1"/>
    <x v="0"/>
    <s v="Change of use from Single dwelling (Use C3) to a HMO (Class C4)."/>
    <s v="LDC Prop"/>
    <d v="2019-06-05T00:00:00"/>
    <d v="2019-07-31T00:00:00"/>
    <x v="1"/>
    <s v="Nil"/>
    <m/>
    <s v="BF"/>
    <s v="COU"/>
    <x v="0"/>
    <x v="11"/>
    <n v="2.19999998807907E-2"/>
    <d v="2019-07-31T00:00:00"/>
    <x v="1"/>
    <d v="2019-08-15T00:00:00"/>
    <x v="0"/>
    <s v="M"/>
    <m/>
    <m/>
    <n v="0"/>
    <n v="0"/>
    <n v="0"/>
    <n v="0"/>
    <n v="0"/>
    <n v="0"/>
    <n v="0"/>
    <n v="-1"/>
    <n v="0"/>
    <n v="0"/>
    <n v="0"/>
    <n v="0"/>
    <n v="0"/>
    <n v="0"/>
    <n v="0"/>
    <n v="0"/>
    <n v="0"/>
    <n v="0"/>
    <n v="0"/>
    <n v="0"/>
    <n v="0"/>
    <n v="-1"/>
    <n v="0"/>
    <n v="0"/>
    <n v="0"/>
    <n v="0"/>
    <n v="0"/>
    <n v="0"/>
    <n v="0"/>
    <n v="0"/>
    <n v="0"/>
    <n v="0"/>
    <x v="0"/>
    <x v="0"/>
    <x v="0"/>
    <x v="0"/>
    <x v="0"/>
    <m/>
    <x v="0"/>
    <x v="0"/>
    <n v="12"/>
    <n v="-1"/>
    <m/>
    <m/>
    <m/>
    <m/>
    <m/>
    <m/>
    <m/>
    <m/>
    <m/>
    <m/>
    <m/>
    <m/>
    <m/>
    <m/>
    <m/>
    <m/>
    <m/>
    <m/>
    <m/>
    <m/>
    <n v="0"/>
    <n v="0"/>
  </r>
  <r>
    <n v="7228"/>
    <x v="0"/>
    <s v="2019/3291"/>
    <s v="53 Clapham Common North Side"/>
    <m/>
    <n v="528615"/>
    <n v="175239"/>
    <x v="9"/>
    <d v="1985-01-01T00:00:00"/>
    <d v="2019-09-04T00:00:00"/>
    <n v="1"/>
    <n v="3"/>
    <n v="2"/>
    <n v="3"/>
    <n v="2"/>
    <x v="0"/>
    <s v="Continued use of the property as 3 x 2-bedroom self contained flats."/>
    <s v="LDC Exist"/>
    <d v="2019-08-13T00:00:00"/>
    <d v="2019-09-04T00:00:00"/>
    <x v="1"/>
    <s v="Nil"/>
    <m/>
    <s v="BF"/>
    <s v="CON"/>
    <x v="0"/>
    <x v="2"/>
    <n v="2.8999999165535001E-2"/>
    <d v="1985-01-01T00:00:00"/>
    <x v="0"/>
    <d v="2019-09-04T00:00:00"/>
    <x v="0"/>
    <s v="M"/>
    <m/>
    <m/>
    <n v="0"/>
    <n v="0"/>
    <n v="0"/>
    <n v="0"/>
    <n v="0"/>
    <n v="0"/>
    <n v="3"/>
    <n v="0"/>
    <n v="0"/>
    <n v="-1"/>
    <n v="0"/>
    <n v="0"/>
    <n v="0"/>
    <n v="3"/>
    <n v="0"/>
    <n v="0"/>
    <n v="0"/>
    <n v="0"/>
    <n v="0"/>
    <n v="0"/>
    <n v="0"/>
    <n v="0"/>
    <n v="0"/>
    <n v="-1"/>
    <n v="0"/>
    <n v="0"/>
    <n v="0"/>
    <n v="0"/>
    <n v="0"/>
    <n v="0"/>
    <n v="0"/>
    <n v="0"/>
    <x v="0"/>
    <x v="0"/>
    <x v="0"/>
    <x v="0"/>
    <x v="0"/>
    <m/>
    <x v="0"/>
    <x v="0"/>
    <n v="12"/>
    <n v="2"/>
    <m/>
    <m/>
    <m/>
    <m/>
    <m/>
    <m/>
    <m/>
    <m/>
    <m/>
    <m/>
    <m/>
    <m/>
    <m/>
    <m/>
    <m/>
    <m/>
    <m/>
    <m/>
    <m/>
    <m/>
    <n v="0"/>
    <n v="0"/>
  </r>
  <r>
    <n v="7238"/>
    <x v="0"/>
    <s v="2019/3633"/>
    <s v="12 Cabul Road"/>
    <m/>
    <n v="527146"/>
    <n v="176147"/>
    <x v="16"/>
    <d v="2019-07-31T00:00:00"/>
    <d v="2019-10-16T00:00:00"/>
    <n v="1"/>
    <n v="2"/>
    <n v="1"/>
    <n v="2"/>
    <n v="1"/>
    <x v="0"/>
    <s v="Continued use as 1 x 1 bedroom and 1 x 2 bedroom flats."/>
    <s v="LDC Exist"/>
    <d v="2019-08-29T00:00:00"/>
    <d v="2019-10-16T00:00:00"/>
    <x v="1"/>
    <s v="Nil"/>
    <m/>
    <s v="BF"/>
    <s v="COU"/>
    <x v="0"/>
    <x v="2"/>
    <n v="1.09999999403954E-2"/>
    <d v="2019-07-31T00:00:00"/>
    <x v="1"/>
    <d v="2019-10-16T00:00:00"/>
    <x v="0"/>
    <s v="M"/>
    <m/>
    <m/>
    <n v="0"/>
    <n v="0"/>
    <n v="0"/>
    <n v="0"/>
    <n v="0"/>
    <n v="1"/>
    <n v="1"/>
    <n v="-1"/>
    <n v="0"/>
    <n v="0"/>
    <n v="0"/>
    <n v="0"/>
    <n v="1"/>
    <n v="1"/>
    <n v="0"/>
    <n v="0"/>
    <n v="0"/>
    <n v="0"/>
    <n v="0"/>
    <n v="0"/>
    <n v="0"/>
    <n v="-1"/>
    <n v="0"/>
    <n v="0"/>
    <n v="0"/>
    <n v="0"/>
    <n v="0"/>
    <n v="0"/>
    <n v="0"/>
    <n v="0"/>
    <n v="0"/>
    <n v="0"/>
    <x v="0"/>
    <x v="0"/>
    <x v="0"/>
    <x v="0"/>
    <x v="0"/>
    <m/>
    <x v="0"/>
    <x v="0"/>
    <n v="12"/>
    <n v="1"/>
    <m/>
    <m/>
    <m/>
    <m/>
    <m/>
    <m/>
    <m/>
    <m/>
    <m/>
    <m/>
    <m/>
    <m/>
    <m/>
    <m/>
    <m/>
    <m/>
    <m/>
    <m/>
    <m/>
    <m/>
    <n v="0"/>
    <n v="0"/>
  </r>
  <r>
    <n v="7279"/>
    <x v="0"/>
    <s v="2019/4381"/>
    <s v="60 Coverton Road"/>
    <m/>
    <n v="527206"/>
    <n v="171462"/>
    <x v="1"/>
    <d v="2019-12-04T00:00:00"/>
    <d v="2020-03-31T00:00:00"/>
    <n v="1"/>
    <n v="4"/>
    <n v="3"/>
    <n v="4"/>
    <n v="3"/>
    <x v="0"/>
    <s v="Alterations in connection with conversion of single-dwelling house into 1 x 3-bedroom, 1 x 2-bedroom, 1 x 1-bedroom and 1 x 1-bedroom/1-person units with associated refuse storage."/>
    <s v="PF"/>
    <d v="2019-10-31T00:00:00"/>
    <d v="2019-12-04T00:00:00"/>
    <x v="1"/>
    <s v="Nil"/>
    <m/>
    <s v="BF"/>
    <s v="CON"/>
    <x v="0"/>
    <x v="2"/>
    <n v="1.4000000432133701E-2"/>
    <d v="2019-12-04T00:00:00"/>
    <x v="1"/>
    <d v="2020-03-31T00:00:00"/>
    <x v="0"/>
    <s v="M"/>
    <m/>
    <m/>
    <n v="0"/>
    <n v="0"/>
    <n v="0"/>
    <n v="0"/>
    <n v="1"/>
    <n v="1"/>
    <n v="1"/>
    <n v="1"/>
    <n v="0"/>
    <n v="-1"/>
    <n v="0"/>
    <n v="1"/>
    <n v="1"/>
    <n v="1"/>
    <n v="1"/>
    <n v="0"/>
    <n v="0"/>
    <n v="0"/>
    <n v="0"/>
    <n v="0"/>
    <n v="0"/>
    <n v="0"/>
    <n v="0"/>
    <n v="-1"/>
    <n v="0"/>
    <n v="0"/>
    <n v="0"/>
    <n v="0"/>
    <n v="0"/>
    <n v="0"/>
    <n v="0"/>
    <n v="0"/>
    <x v="0"/>
    <x v="0"/>
    <x v="0"/>
    <x v="0"/>
    <x v="0"/>
    <m/>
    <x v="0"/>
    <x v="0"/>
    <n v="12"/>
    <n v="3"/>
    <m/>
    <m/>
    <m/>
    <m/>
    <m/>
    <m/>
    <m/>
    <m/>
    <m/>
    <m/>
    <m/>
    <m/>
    <m/>
    <m/>
    <m/>
    <m/>
    <m/>
    <m/>
    <m/>
    <m/>
    <n v="0"/>
    <n v="0"/>
  </r>
  <r>
    <n v="35"/>
    <x v="1"/>
    <s v="2016/4028"/>
    <s v="Land adjoining 14, Cairns Road (16)"/>
    <m/>
    <n v="527443"/>
    <n v="175002"/>
    <x v="4"/>
    <d v="2019-10-15T00:00:00"/>
    <m/>
    <n v="0"/>
    <n v="2"/>
    <n v="2"/>
    <n v="2"/>
    <n v="2"/>
    <x v="0"/>
    <s v="Erection of a four-storey building to provide 2 x 2-bedroom flats and formation of roof terrace to rear."/>
    <s v="PF"/>
    <d v="2016-07-27T00:00:00"/>
    <d v="2016-10-21T00:00:00"/>
    <x v="0"/>
    <s v="Nil"/>
    <m/>
    <s v="BF"/>
    <s v="NB"/>
    <x v="0"/>
    <x v="5"/>
    <n v="6.0000000521540598E-3"/>
    <d v="2019-10-15T00:00:00"/>
    <x v="1"/>
    <m/>
    <x v="0"/>
    <s v="M"/>
    <m/>
    <m/>
    <n v="2"/>
    <n v="0"/>
    <n v="0"/>
    <n v="0"/>
    <n v="0"/>
    <n v="0"/>
    <n v="2"/>
    <n v="0"/>
    <n v="0"/>
    <n v="0"/>
    <n v="0"/>
    <n v="0"/>
    <n v="0"/>
    <n v="2"/>
    <n v="0"/>
    <n v="0"/>
    <n v="0"/>
    <n v="0"/>
    <n v="0"/>
    <n v="0"/>
    <n v="0"/>
    <n v="0"/>
    <n v="0"/>
    <n v="0"/>
    <n v="0"/>
    <n v="0"/>
    <n v="0"/>
    <n v="0"/>
    <n v="0"/>
    <n v="0"/>
    <n v="0"/>
    <n v="0"/>
    <x v="1"/>
    <x v="0"/>
    <x v="0"/>
    <x v="0"/>
    <x v="0"/>
    <m/>
    <x v="0"/>
    <x v="0"/>
    <n v="3"/>
    <m/>
    <n v="1"/>
    <n v="1"/>
    <m/>
    <m/>
    <m/>
    <m/>
    <m/>
    <m/>
    <m/>
    <m/>
    <m/>
    <m/>
    <m/>
    <m/>
    <m/>
    <m/>
    <m/>
    <m/>
    <m/>
    <m/>
    <n v="2"/>
    <n v="2"/>
  </r>
  <r>
    <n v="68"/>
    <x v="1"/>
    <s v="2013/5712"/>
    <s v="70-74 St John's Hill (Public open space east of 76)"/>
    <m/>
    <n v="526960"/>
    <n v="175223"/>
    <x v="2"/>
    <d v="2017-03-31T00:00:00"/>
    <m/>
    <n v="0"/>
    <n v="8"/>
    <n v="8"/>
    <n v="8"/>
    <n v="8"/>
    <x v="0"/>
    <s v="Erection of four-storey plus basement building to provide Class A1 shops at ground floor with 8 flats above including a first floor roof garden."/>
    <s v="PF"/>
    <d v="2014-03-04T00:00:00"/>
    <d v="2015-04-22T00:00:00"/>
    <x v="0"/>
    <s v="Nil"/>
    <m/>
    <s v="BF"/>
    <s v="NB"/>
    <x v="0"/>
    <x v="5"/>
    <n v="2.8999999165535001E-2"/>
    <d v="2017-03-31T00:00:00"/>
    <x v="0"/>
    <m/>
    <x v="0"/>
    <s v="M"/>
    <m/>
    <m/>
    <n v="8"/>
    <n v="0"/>
    <n v="0"/>
    <n v="0"/>
    <n v="0"/>
    <n v="0"/>
    <n v="8"/>
    <n v="0"/>
    <n v="0"/>
    <n v="0"/>
    <n v="0"/>
    <n v="0"/>
    <n v="0"/>
    <n v="8"/>
    <n v="0"/>
    <n v="0"/>
    <n v="0"/>
    <n v="0"/>
    <n v="0"/>
    <n v="0"/>
    <n v="0"/>
    <n v="0"/>
    <n v="0"/>
    <n v="0"/>
    <n v="0"/>
    <n v="0"/>
    <n v="0"/>
    <n v="0"/>
    <n v="0"/>
    <n v="0"/>
    <n v="0"/>
    <n v="0"/>
    <x v="0"/>
    <x v="0"/>
    <x v="0"/>
    <x v="0"/>
    <x v="0"/>
    <m/>
    <x v="0"/>
    <x v="0"/>
    <n v="2"/>
    <m/>
    <n v="8"/>
    <m/>
    <m/>
    <m/>
    <m/>
    <m/>
    <m/>
    <m/>
    <m/>
    <m/>
    <m/>
    <m/>
    <m/>
    <m/>
    <m/>
    <m/>
    <m/>
    <m/>
    <m/>
    <m/>
    <n v="8"/>
    <n v="8"/>
  </r>
  <r>
    <n v="109"/>
    <x v="1"/>
    <s v="2019/2856"/>
    <s v="1 Anhalt Road"/>
    <m/>
    <n v="527416"/>
    <n v="177323"/>
    <x v="11"/>
    <d v="2020-03-31T00:00:00"/>
    <m/>
    <n v="0"/>
    <n v="1"/>
    <n v="1"/>
    <n v="1"/>
    <n v="1"/>
    <x v="0"/>
    <s v="Determination as to whether prior approval is required for change of use from office (Class B1) to 1 x 2-bedroom flat (Class C3)."/>
    <s v="PANR"/>
    <d v="2019-07-18T00:00:00"/>
    <d v="2019-08-29T00:00:00"/>
    <x v="1"/>
    <s v="Nil"/>
    <m/>
    <s v="BF"/>
    <s v="COU"/>
    <x v="0"/>
    <x v="6"/>
    <n v="8.0000003799796104E-3"/>
    <d v="2020-03-31T00:00:00"/>
    <x v="1"/>
    <m/>
    <x v="0"/>
    <s v="M"/>
    <m/>
    <m/>
    <n v="0"/>
    <n v="0"/>
    <n v="0"/>
    <n v="0"/>
    <n v="0"/>
    <n v="0"/>
    <n v="1"/>
    <n v="0"/>
    <n v="0"/>
    <n v="0"/>
    <n v="0"/>
    <n v="0"/>
    <n v="0"/>
    <n v="1"/>
    <n v="0"/>
    <n v="0"/>
    <n v="0"/>
    <n v="0"/>
    <n v="0"/>
    <n v="0"/>
    <n v="0"/>
    <n v="0"/>
    <n v="0"/>
    <n v="0"/>
    <n v="0"/>
    <n v="0"/>
    <n v="0"/>
    <n v="0"/>
    <n v="0"/>
    <n v="0"/>
    <n v="0"/>
    <n v="0"/>
    <x v="0"/>
    <x v="0"/>
    <x v="0"/>
    <x v="0"/>
    <x v="0"/>
    <m/>
    <x v="1"/>
    <x v="0"/>
    <n v="14"/>
    <m/>
    <n v="0.5"/>
    <n v="0.5"/>
    <m/>
    <m/>
    <m/>
    <m/>
    <m/>
    <m/>
    <m/>
    <m/>
    <m/>
    <m/>
    <m/>
    <m/>
    <m/>
    <m/>
    <m/>
    <m/>
    <m/>
    <m/>
    <n v="1"/>
    <n v="1"/>
  </r>
  <r>
    <n v="116"/>
    <x v="1"/>
    <s v="2019/5585"/>
    <s v="257 Putney Bridge Road"/>
    <m/>
    <n v="524382"/>
    <n v="175284"/>
    <x v="0"/>
    <d v="2020-03-31T00:00:00"/>
    <m/>
    <n v="0"/>
    <n v="3"/>
    <n v="3"/>
    <n v="3"/>
    <n v="3"/>
    <x v="0"/>
    <s v="Erection of three/four-storey building at rear to provide 2 x 2-bedroom and 1 x 3-bedroom flats with associated cycle and refuse storage. (Amendments to pp 2017/3227 dated 05/10/2017 for Demolition of rear outbuildings and rear part of frontage building;  erection of three-storey building at the rear to provide 3 x 2-bedroom flats; alterations to frontage building including the change of use of the ground floor from A3 to C3, including a part single, part three-storey rear/side extension and rear roof extension to provide 2 x 1-bedroom and 1 x 2-bedroom flat and 1 x 3-bedroom flat with roof-terraces at rear of first and second floors and associated refuse and cycle storage."/>
    <s v="PF"/>
    <d v="2020-01-21T00:00:00"/>
    <d v="2020-03-13T00:00:00"/>
    <x v="1"/>
    <s v="Nil"/>
    <m/>
    <s v="BF"/>
    <s v="NB"/>
    <x v="0"/>
    <x v="5"/>
    <n v="2.5000000372528999E-2"/>
    <d v="2020-03-31T00:00:00"/>
    <x v="1"/>
    <m/>
    <x v="0"/>
    <s v="M"/>
    <m/>
    <m/>
    <n v="0"/>
    <n v="0"/>
    <n v="0"/>
    <n v="0"/>
    <n v="0"/>
    <n v="0"/>
    <n v="2"/>
    <n v="1"/>
    <n v="0"/>
    <n v="0"/>
    <n v="0"/>
    <n v="0"/>
    <n v="0"/>
    <n v="2"/>
    <n v="1"/>
    <n v="0"/>
    <n v="0"/>
    <n v="0"/>
    <n v="0"/>
    <n v="0"/>
    <n v="0"/>
    <n v="0"/>
    <n v="0"/>
    <n v="0"/>
    <n v="0"/>
    <n v="0"/>
    <n v="0"/>
    <n v="0"/>
    <n v="0"/>
    <n v="0"/>
    <n v="0"/>
    <n v="0"/>
    <x v="0"/>
    <x v="0"/>
    <x v="0"/>
    <x v="0"/>
    <x v="0"/>
    <m/>
    <x v="0"/>
    <x v="0"/>
    <n v="3"/>
    <m/>
    <n v="1.5"/>
    <n v="1.5"/>
    <m/>
    <m/>
    <m/>
    <m/>
    <m/>
    <m/>
    <m/>
    <m/>
    <m/>
    <m/>
    <m/>
    <m/>
    <m/>
    <m/>
    <m/>
    <m/>
    <m/>
    <m/>
    <n v="3"/>
    <n v="3"/>
  </r>
  <r>
    <n v="170"/>
    <x v="1"/>
    <s v="2019/2213"/>
    <s v="Newcombe House, 319-323 Battersea Park Road"/>
    <m/>
    <n v="528164"/>
    <n v="176634"/>
    <x v="12"/>
    <d v="2020-03-31T00:00:00"/>
    <m/>
    <n v="0"/>
    <n v="9"/>
    <n v="9"/>
    <n v="9"/>
    <n v="9"/>
    <x v="0"/>
    <s v="Non-material amendment to planning permission dated 28/03/2019 ref 2018/5826 (Demolition of existing building and erection of a four-storey building to provide ground floor commercial unit (flexible A1/A2 use) (163sqm) and 6 x 2-bedroom and 3 x 1-bedroom flats with associated cycle and refuse storage (revised drawings including three addtional terraces) to allow addition of a lift to the development."/>
    <s v="S96A"/>
    <d v="2019-06-04T00:00:00"/>
    <d v="2019-06-26T00:00:00"/>
    <x v="1"/>
    <s v="Nil"/>
    <m/>
    <s v="BF"/>
    <s v="NB"/>
    <x v="0"/>
    <x v="5"/>
    <n v="1.30000002682209E-2"/>
    <d v="2020-03-31T00:00:00"/>
    <x v="1"/>
    <m/>
    <x v="0"/>
    <s v="M"/>
    <m/>
    <m/>
    <n v="0"/>
    <n v="0"/>
    <n v="0"/>
    <n v="0"/>
    <n v="0"/>
    <n v="3"/>
    <n v="6"/>
    <n v="0"/>
    <n v="0"/>
    <n v="0"/>
    <n v="0"/>
    <n v="0"/>
    <n v="3"/>
    <n v="6"/>
    <n v="0"/>
    <n v="0"/>
    <n v="0"/>
    <n v="0"/>
    <n v="0"/>
    <n v="0"/>
    <n v="0"/>
    <n v="0"/>
    <n v="0"/>
    <n v="0"/>
    <n v="0"/>
    <n v="0"/>
    <n v="0"/>
    <n v="0"/>
    <n v="0"/>
    <n v="0"/>
    <n v="0"/>
    <n v="0"/>
    <x v="0"/>
    <x v="0"/>
    <x v="0"/>
    <x v="0"/>
    <x v="0"/>
    <m/>
    <x v="0"/>
    <x v="0"/>
    <n v="3"/>
    <m/>
    <n v="4.5"/>
    <n v="4.5"/>
    <m/>
    <m/>
    <m/>
    <m/>
    <m/>
    <m/>
    <m/>
    <m/>
    <m/>
    <m/>
    <m/>
    <m/>
    <m/>
    <m/>
    <m/>
    <m/>
    <m/>
    <m/>
    <n v="9"/>
    <n v="9"/>
  </r>
  <r>
    <n v="180"/>
    <x v="1"/>
    <s v="2016/4188"/>
    <s v="Battersea Technology College and 3 Culovert Road, 401 Battersea Park Road (Harris Academy)"/>
    <m/>
    <n v="527950"/>
    <n v="176519"/>
    <x v="16"/>
    <d v="2019-03-31T00:00:00"/>
    <m/>
    <n v="1"/>
    <n v="31"/>
    <n v="30"/>
    <n v="39"/>
    <n v="38"/>
    <x v="1"/>
    <s v="Part Hybrid planning application (part detailed / part outline) for: 1) Outline approval for layout and massing only for a new sports hall in association with the Harris Academy; 2) Detailed approval for a building of part 11, 13 and 14 storeys with basement to provide a mixed use scheme including 39 residential units (Class C3) and 1,248 sq.m. GIA of offices (Class B1), with associated cycle parking spaces, 17 car parking spaces, landscaping and public realm improvements. (AMENDED DRAWINGS)_x000d__x000a_ _x000d__x000a_The main revisions to the original scheme are summarised as:_x000d__x000a_ _x000d__x000a_- Resiting the 14-storey tower building further to the east by 1 metre._x000d__x000a_- Modifications to the cladding materials: Introducing a brick cladding material and reducing the level of the glazing on the 14 storey tower building._x000d__x000a_- Revised landscaping strategy: To include new trees at the junction of Culvert Road and Battersea Park Road and within the Harris Academy fronting onto Battersea Park Road._x000d__x000a_- Resiting the 14-storey tower building further to the east by 1 metre._x000d__x000a_- Modifications to the cladding materials: Introducing a brick cladding material and reducing the level of the glazing on the 14 storey tower building._x000d__x000a_- Revised landscaping strategy: To include new trees at the junction of Culvert Road and Battersea Park Road and within the Harris Academy fronting onto Battersea Park Road"/>
    <s v="PFLA"/>
    <d v="2016-08-01T00:00:00"/>
    <d v="2017-09-11T00:00:00"/>
    <x v="0"/>
    <s v="Nil"/>
    <m/>
    <s v="BF"/>
    <s v="NB"/>
    <x v="1"/>
    <x v="7"/>
    <n v="0.104000002145767"/>
    <d v="2019-03-31T00:00:00"/>
    <x v="0"/>
    <m/>
    <x v="0"/>
    <s v="M"/>
    <m/>
    <m/>
    <n v="31"/>
    <n v="0"/>
    <n v="0"/>
    <n v="0"/>
    <n v="0"/>
    <n v="14"/>
    <n v="15"/>
    <n v="1"/>
    <n v="0"/>
    <n v="0"/>
    <n v="0"/>
    <n v="0"/>
    <n v="14"/>
    <n v="15"/>
    <n v="2"/>
    <n v="0"/>
    <n v="0"/>
    <n v="0"/>
    <n v="0"/>
    <n v="0"/>
    <n v="0"/>
    <n v="-1"/>
    <n v="0"/>
    <n v="0"/>
    <n v="0"/>
    <n v="0"/>
    <n v="0"/>
    <n v="0"/>
    <n v="0"/>
    <n v="0"/>
    <n v="0"/>
    <n v="0"/>
    <x v="0"/>
    <x v="0"/>
    <x v="0"/>
    <x v="0"/>
    <x v="0"/>
    <m/>
    <x v="0"/>
    <x v="0"/>
    <n v="4"/>
    <m/>
    <m/>
    <m/>
    <m/>
    <m/>
    <m/>
    <m/>
    <m/>
    <m/>
    <m/>
    <m/>
    <m/>
    <m/>
    <m/>
    <m/>
    <m/>
    <m/>
    <m/>
    <m/>
    <m/>
    <m/>
    <n v="0"/>
    <n v="0"/>
  </r>
  <r>
    <n v="180"/>
    <x v="1"/>
    <s v="2016/4188"/>
    <s v="Battersea Technology College and 3 Culovert Road, 401 Battersea Park Road (Harris Academy)"/>
    <m/>
    <n v="527950"/>
    <n v="176519"/>
    <x v="16"/>
    <d v="2019-03-31T00:00:00"/>
    <m/>
    <n v="0"/>
    <n v="4"/>
    <n v="4"/>
    <n v="39"/>
    <n v="38"/>
    <x v="1"/>
    <s v="Part Hybrid planning application (part detailed / part outline) for: 1) Outline approval for layout and massing only for a new sports hall in association with the Harris Academy; 2) Detailed approval for a building of part 11, 13 and 14 storeys with basement to provide a mixed use scheme including 39 residential units (Class C3) and 1,248 sq.m. GIA of offices (Class B1), with associated cycle parking spaces, 17 car parking spaces, landscaping and public realm improvements. (AMENDED DRAWINGS)_x000d__x000a_ _x000d__x000a_The main revisions to the original scheme are summarised as:_x000d__x000a_ _x000d__x000a_- Resiting the 14-storey tower building further to the east by 1 metre._x000d__x000a_- Modifications to the cladding materials: Introducing a brick cladding material and reducing the level of the glazing on the 14 storey tower building._x000d__x000a_- Revised landscaping strategy: To include new trees at the junction of Culvert Road and Battersea Park Road and within the Harris Academy fronting onto Battersea Park Road._x000d__x000a_- Resiting the 14-storey tower building further to the east by 1 metre._x000d__x000a_- Modifications to the cladding materials: Introducing a brick cladding material and reducing the level of the glazing on the 14 storey tower building._x000d__x000a_- Revised landscaping strategy: To include new trees at the junction of Culvert Road and Battersea Park Road and within the Harris Academy fronting onto Battersea Park Road"/>
    <s v="PFLA"/>
    <d v="2016-08-01T00:00:00"/>
    <d v="2017-09-11T00:00:00"/>
    <x v="0"/>
    <s v="Nil"/>
    <m/>
    <s v="BF"/>
    <s v="NB"/>
    <x v="1"/>
    <x v="7"/>
    <n v="1.4000000432133701E-2"/>
    <d v="2019-03-31T00:00:00"/>
    <x v="0"/>
    <m/>
    <x v="1"/>
    <s v="ISO"/>
    <m/>
    <m/>
    <n v="4"/>
    <n v="4"/>
    <n v="0"/>
    <n v="0"/>
    <n v="0"/>
    <n v="2"/>
    <n v="2"/>
    <n v="0"/>
    <n v="0"/>
    <n v="0"/>
    <n v="0"/>
    <n v="0"/>
    <n v="2"/>
    <n v="2"/>
    <n v="0"/>
    <n v="0"/>
    <n v="0"/>
    <n v="0"/>
    <n v="0"/>
    <n v="0"/>
    <n v="0"/>
    <n v="0"/>
    <n v="0"/>
    <n v="0"/>
    <n v="0"/>
    <n v="0"/>
    <n v="0"/>
    <n v="0"/>
    <n v="0"/>
    <n v="0"/>
    <n v="0"/>
    <n v="0"/>
    <x v="0"/>
    <x v="0"/>
    <x v="0"/>
    <x v="0"/>
    <x v="0"/>
    <m/>
    <x v="0"/>
    <x v="0"/>
    <n v="4"/>
    <m/>
    <m/>
    <m/>
    <m/>
    <m/>
    <m/>
    <m/>
    <m/>
    <m/>
    <m/>
    <m/>
    <m/>
    <m/>
    <m/>
    <m/>
    <m/>
    <m/>
    <m/>
    <m/>
    <m/>
    <m/>
    <n v="0"/>
    <n v="0"/>
  </r>
  <r>
    <n v="180"/>
    <x v="1"/>
    <s v="2016/4188"/>
    <s v="Battersea Technology College and 3 Culovert Road, 401 Battersea Park Road (Harris Academy)"/>
    <m/>
    <n v="527950"/>
    <n v="176519"/>
    <x v="16"/>
    <d v="2019-03-31T00:00:00"/>
    <m/>
    <n v="0"/>
    <n v="4"/>
    <n v="4"/>
    <n v="39"/>
    <n v="38"/>
    <x v="1"/>
    <s v="Part Hybrid planning application (part detailed / part outline) for: 1) Outline approval for layout and massing only for a new sports hall in association with the Harris Academy; 2) Detailed approval for a building of part 11, 13 and 14 storeys with basement to provide a mixed use scheme including 39 residential units (Class C3) and 1,248 sq.m. GIA of offices (Class B1), with associated cycle parking spaces, 17 car parking spaces, landscaping and public realm improvements. (AMENDED DRAWINGS)_x000d__x000a_ _x000d__x000a_The main revisions to the original scheme are summarised as:_x000d__x000a_ _x000d__x000a_- Resiting the 14-storey tower building further to the east by 1 metre._x000d__x000a_- Modifications to the cladding materials: Introducing a brick cladding material and reducing the level of the glazing on the 14 storey tower building._x000d__x000a_- Revised landscaping strategy: To include new trees at the junction of Culvert Road and Battersea Park Road and within the Harris Academy fronting onto Battersea Park Road._x000d__x000a_- Resiting the 14-storey tower building further to the east by 1 metre._x000d__x000a_- Modifications to the cladding materials: Introducing a brick cladding material and reducing the level of the glazing on the 14 storey tower building._x000d__x000a_- Revised landscaping strategy: To include new trees at the junction of Culvert Road and Battersea Park Road and within the Harris Academy fronting onto Battersea Park Road"/>
    <s v="PFLA"/>
    <d v="2016-08-01T00:00:00"/>
    <d v="2017-09-11T00:00:00"/>
    <x v="0"/>
    <s v="Nil"/>
    <m/>
    <s v="BF"/>
    <s v="NB"/>
    <x v="1"/>
    <x v="7"/>
    <n v="1.4000000432133701E-2"/>
    <d v="2019-03-31T00:00:00"/>
    <x v="0"/>
    <m/>
    <x v="1"/>
    <s v="IR"/>
    <m/>
    <m/>
    <n v="4"/>
    <n v="4"/>
    <n v="1"/>
    <n v="1"/>
    <n v="0"/>
    <n v="2"/>
    <n v="2"/>
    <n v="0"/>
    <n v="0"/>
    <n v="0"/>
    <n v="0"/>
    <n v="0"/>
    <n v="2"/>
    <n v="2"/>
    <n v="0"/>
    <n v="0"/>
    <n v="0"/>
    <n v="0"/>
    <n v="0"/>
    <n v="0"/>
    <n v="0"/>
    <n v="0"/>
    <n v="0"/>
    <n v="0"/>
    <n v="0"/>
    <n v="0"/>
    <n v="0"/>
    <n v="0"/>
    <n v="0"/>
    <n v="0"/>
    <n v="0"/>
    <n v="0"/>
    <x v="0"/>
    <x v="0"/>
    <x v="0"/>
    <x v="0"/>
    <x v="0"/>
    <m/>
    <x v="0"/>
    <x v="0"/>
    <n v="4"/>
    <m/>
    <m/>
    <m/>
    <m/>
    <m/>
    <m/>
    <m/>
    <m/>
    <m/>
    <m/>
    <m/>
    <m/>
    <m/>
    <m/>
    <m/>
    <m/>
    <m/>
    <m/>
    <m/>
    <m/>
    <m/>
    <n v="0"/>
    <n v="0"/>
  </r>
  <r>
    <n v="215"/>
    <x v="1"/>
    <s v="2017/4808"/>
    <s v="Section House, 3-5 Nightingale Lane"/>
    <m/>
    <n v="528736"/>
    <n v="174223"/>
    <x v="6"/>
    <d v="2018-03-31T00:00:00"/>
    <m/>
    <n v="0"/>
    <n v="94"/>
    <n v="94"/>
    <n v="94"/>
    <n v="94"/>
    <x v="1"/>
    <s v="Non-material amendment to planning permission dated 04/01/2016 ref 2015/2469 [Demolition of the existing building (Class B1 Use) and redevelopment of the site to provide a 4 -7 storey care facility (Class C2 Use) comprising 102 units, together with ancillary retail, cafe, day centre and accessible swimming pool; access, parking and associated landscaping.] to allow the reduction iof residential units from 102 to 94; Alterations to the size and layout of residential units from 25 x 1 bed, 63 x 2 bed &amp; 14 x 3 bed to 28 x 1 bed, 49 x 2 bed and 17 x 2+/3 bed units; Change 6 duplex residential units at fifth and sixth floor to 6 units at fifth floor and 2 larger units at sixth floor [This removes the need to introduce individual lifts within the duplexes and the internal staircases can be omitted and the intermediate floor level has been lowered.]; installing an additional core  staircase and lift up to the sixth floor; introduction of a continuous corridor at most floor levels to allow access to both_x000d__x000a_staircases and to reduce the number of lifts required; reduction in size of the basement floor area;  introduction of a solid timber panel within the fenestration at every level to the north elevation; changes to the ground floor communal areas to include two new guest suites with the introduction of fenestration within the vehicular arch; relocation of the car park at basement level to the rear of the building; changes to the size and location of plant area at basement level; formation of new entrance doors to bar/bistro; increase in depth of 1st floor balconies on front elevation to same depth as upper floor balconies and external staircase from basement to ground level emerging at the kink in the southern boundary of site."/>
    <s v="S96A"/>
    <d v="2017-08-29T00:00:00"/>
    <d v="2017-09-26T00:00:00"/>
    <x v="0"/>
    <s v="Nil"/>
    <m/>
    <s v="BF"/>
    <s v="NB"/>
    <x v="1"/>
    <x v="7"/>
    <n v="0.10000000149011599"/>
    <d v="2018-03-31T00:00:00"/>
    <x v="0"/>
    <m/>
    <x v="0"/>
    <s v="M"/>
    <m/>
    <m/>
    <n v="0"/>
    <n v="0"/>
    <n v="0"/>
    <n v="0"/>
    <n v="0"/>
    <n v="28"/>
    <n v="49"/>
    <n v="17"/>
    <n v="0"/>
    <n v="0"/>
    <n v="0"/>
    <n v="0"/>
    <n v="28"/>
    <n v="49"/>
    <n v="17"/>
    <n v="0"/>
    <n v="0"/>
    <n v="0"/>
    <n v="0"/>
    <n v="0"/>
    <n v="0"/>
    <n v="0"/>
    <n v="0"/>
    <n v="0"/>
    <n v="0"/>
    <n v="0"/>
    <n v="0"/>
    <n v="0"/>
    <n v="0"/>
    <n v="0"/>
    <n v="0"/>
    <n v="0"/>
    <x v="0"/>
    <x v="0"/>
    <x v="0"/>
    <x v="0"/>
    <x v="0"/>
    <m/>
    <x v="0"/>
    <x v="0"/>
    <n v="4"/>
    <m/>
    <n v="94"/>
    <m/>
    <m/>
    <m/>
    <m/>
    <m/>
    <m/>
    <m/>
    <m/>
    <m/>
    <m/>
    <m/>
    <m/>
    <m/>
    <m/>
    <m/>
    <m/>
    <m/>
    <m/>
    <m/>
    <n v="94"/>
    <n v="94"/>
  </r>
  <r>
    <n v="244"/>
    <x v="1"/>
    <s v="2012/5470"/>
    <s v="Trade Tower, Plantation Wharf, Coral Row (Plantation Wharf)"/>
    <m/>
    <n v="526455"/>
    <n v="175748"/>
    <x v="11"/>
    <d v="2016-04-27T00:00:00"/>
    <m/>
    <n v="2"/>
    <n v="18"/>
    <n v="16"/>
    <n v="18"/>
    <n v="16"/>
    <x v="1"/>
    <s v="Erection of part five, part six additional floors to Trade Tower following removal of existing 12th and 13th floors. Alterations to entrance fronting Gartons Way including installation of structural framework to ground and first floors. Alterations and extensions in connection with the formation of 18 flats (net increase of 18 flats). (Renewal of planning permission 2009/3853 dated 19.07.2010)"/>
    <s v="PFLA"/>
    <d v="2012-12-10T00:00:00"/>
    <d v="2013-04-30T00:00:00"/>
    <x v="0"/>
    <s v="Nil"/>
    <m/>
    <s v="BF"/>
    <s v="EXT"/>
    <x v="4"/>
    <x v="7"/>
    <n v="1.4999999664723899E-2"/>
    <d v="2016-04-27T00:00:00"/>
    <x v="0"/>
    <m/>
    <x v="0"/>
    <s v="M"/>
    <s v="10.15"/>
    <m/>
    <n v="0"/>
    <n v="0"/>
    <n v="0"/>
    <n v="0"/>
    <n v="0"/>
    <n v="0"/>
    <n v="14"/>
    <n v="2"/>
    <n v="0"/>
    <n v="0"/>
    <n v="0"/>
    <n v="0"/>
    <n v="0"/>
    <n v="14"/>
    <n v="2"/>
    <n v="0"/>
    <n v="0"/>
    <n v="0"/>
    <n v="0"/>
    <n v="0"/>
    <n v="0"/>
    <n v="0"/>
    <n v="0"/>
    <n v="0"/>
    <n v="0"/>
    <n v="0"/>
    <n v="0"/>
    <n v="0"/>
    <n v="0"/>
    <n v="0"/>
    <n v="0"/>
    <n v="0"/>
    <x v="0"/>
    <x v="0"/>
    <x v="0"/>
    <x v="0"/>
    <x v="0"/>
    <m/>
    <x v="1"/>
    <x v="0"/>
    <n v="13"/>
    <m/>
    <n v="16"/>
    <m/>
    <m/>
    <m/>
    <m/>
    <m/>
    <m/>
    <m/>
    <m/>
    <m/>
    <m/>
    <m/>
    <m/>
    <m/>
    <m/>
    <m/>
    <m/>
    <m/>
    <m/>
    <m/>
    <n v="16"/>
    <n v="16"/>
  </r>
  <r>
    <n v="322"/>
    <x v="1"/>
    <s v="2017/0764"/>
    <s v="Battersea Park Studios, 2 Shuttleworth Road (131 Battersea High Street)"/>
    <m/>
    <n v="527020"/>
    <n v="176330"/>
    <x v="11"/>
    <d v="2019-05-07T00:00:00"/>
    <m/>
    <n v="0"/>
    <n v="71"/>
    <n v="71"/>
    <n v="71"/>
    <n v="71"/>
    <x v="1"/>
    <s v="Minor Material Amendment (Section 73) and Variation of conditions 2, 12, 18,21, 22, 34, 35 and 36 pursuant to planning permission dated 13/01/2017 ref 2015/2963 (Demolition of existing recording studio and lock-up garages and erection of a three- to seven-storey building with basement to provide 77 residential units (C3 use class) (19 x1 bedroom, 50 x 2 bedroom, 8 x 3 bedroom) and 624 sqm of recording studio floorspace (sui-generis use class); associated car parking, landscaping and public realm improvements) so as to allow (i) change to description of development (ii) update to list of plans (iii) details of noise insulation (iv) update to elevation drawings (v) reduction in number of cycle storage spaces (vi) changes in wheelchair adaptable units (vii) amend requirement for waste and recycling strategy as basement recording studio is no longer proposed (viii) deletion of condition relating to restriction of the use of the basement (xvi) update of landscaping plans."/>
    <s v="S73"/>
    <d v="2017-02-13T00:00:00"/>
    <d v="2017-11-06T00:00:00"/>
    <x v="0"/>
    <s v="Nil"/>
    <m/>
    <s v="BF"/>
    <s v="NB"/>
    <x v="1"/>
    <x v="7"/>
    <n v="0.23700000345706901"/>
    <d v="2019-05-07T00:00:00"/>
    <x v="1"/>
    <m/>
    <x v="2"/>
    <s v="AS"/>
    <m/>
    <m/>
    <n v="71"/>
    <n v="0"/>
    <n v="8"/>
    <n v="8"/>
    <n v="0"/>
    <n v="15"/>
    <n v="39"/>
    <n v="9"/>
    <n v="8"/>
    <n v="0"/>
    <n v="0"/>
    <n v="0"/>
    <n v="15"/>
    <n v="39"/>
    <n v="9"/>
    <n v="8"/>
    <n v="0"/>
    <n v="0"/>
    <n v="0"/>
    <n v="0"/>
    <n v="0"/>
    <n v="0"/>
    <n v="0"/>
    <n v="0"/>
    <n v="0"/>
    <n v="0"/>
    <n v="0"/>
    <n v="0"/>
    <n v="0"/>
    <n v="0"/>
    <n v="0"/>
    <n v="0"/>
    <x v="0"/>
    <x v="0"/>
    <x v="0"/>
    <x v="0"/>
    <x v="0"/>
    <m/>
    <x v="0"/>
    <x v="0"/>
    <n v="4"/>
    <m/>
    <m/>
    <n v="71"/>
    <m/>
    <m/>
    <m/>
    <m/>
    <m/>
    <m/>
    <m/>
    <m/>
    <m/>
    <m/>
    <m/>
    <m/>
    <m/>
    <m/>
    <m/>
    <m/>
    <m/>
    <m/>
    <n v="71"/>
    <n v="71"/>
  </r>
  <r>
    <n v="340"/>
    <x v="1"/>
    <s v="2019/2689"/>
    <s v="76 a &amp; b, 76 Moyser Road"/>
    <m/>
    <n v="528898"/>
    <n v="171088"/>
    <x v="7"/>
    <d v="2020-03-31T00:00:00"/>
    <m/>
    <n v="0"/>
    <n v="2"/>
    <n v="2"/>
    <n v="2"/>
    <n v="2"/>
    <x v="0"/>
    <s v="Determination as to whether prior approval is required for change of use from business (Class B1) to 2 x 1-bedroom flat (Class C3)."/>
    <s v="PAG"/>
    <d v="2019-07-05T00:00:00"/>
    <d v="2019-08-16T00:00:00"/>
    <x v="1"/>
    <s v="Nil"/>
    <m/>
    <s v="BF"/>
    <s v="COU"/>
    <x v="0"/>
    <x v="6"/>
    <n v="4.9999998882412902E-3"/>
    <d v="2020-03-31T00:00:00"/>
    <x v="1"/>
    <m/>
    <x v="0"/>
    <s v="M"/>
    <m/>
    <m/>
    <n v="0"/>
    <n v="0"/>
    <n v="0"/>
    <n v="0"/>
    <n v="0"/>
    <n v="2"/>
    <n v="0"/>
    <n v="0"/>
    <n v="0"/>
    <n v="0"/>
    <n v="0"/>
    <n v="0"/>
    <n v="2"/>
    <n v="0"/>
    <n v="0"/>
    <n v="0"/>
    <n v="0"/>
    <n v="0"/>
    <n v="0"/>
    <n v="0"/>
    <n v="0"/>
    <n v="0"/>
    <n v="0"/>
    <n v="0"/>
    <n v="0"/>
    <n v="0"/>
    <n v="0"/>
    <n v="0"/>
    <n v="0"/>
    <n v="0"/>
    <n v="0"/>
    <n v="0"/>
    <x v="0"/>
    <x v="0"/>
    <x v="0"/>
    <x v="0"/>
    <x v="0"/>
    <m/>
    <x v="0"/>
    <x v="0"/>
    <n v="14"/>
    <m/>
    <n v="1"/>
    <n v="1"/>
    <m/>
    <m/>
    <m/>
    <m/>
    <m/>
    <m/>
    <m/>
    <m/>
    <m/>
    <m/>
    <m/>
    <m/>
    <m/>
    <m/>
    <m/>
    <m/>
    <m/>
    <m/>
    <n v="2"/>
    <n v="2"/>
  </r>
  <r>
    <n v="364"/>
    <x v="1"/>
    <s v="2012/3143"/>
    <s v="265 Putney Bridge Road"/>
    <m/>
    <n v="524358"/>
    <n v="175314"/>
    <x v="0"/>
    <d v="2014-05-06T00:00:00"/>
    <m/>
    <n v="0"/>
    <n v="1"/>
    <n v="1"/>
    <n v="1"/>
    <n v="1"/>
    <x v="0"/>
    <s v="Demolition of existing rear addition. Excavation of basement and erection of ground floor rear extension in connection with the use of the rear of the property as a three-bedroom dwelling."/>
    <s v="PF"/>
    <d v="2012-07-03T00:00:00"/>
    <d v="2012-10-19T00:00:00"/>
    <x v="0"/>
    <s v="Nil"/>
    <m/>
    <s v="BF"/>
    <s v="NB"/>
    <x v="0"/>
    <x v="5"/>
    <n v="1.30000002682209E-2"/>
    <d v="2014-05-06T00:00:00"/>
    <x v="0"/>
    <m/>
    <x v="0"/>
    <s v="M"/>
    <m/>
    <m/>
    <n v="0"/>
    <n v="0"/>
    <n v="0"/>
    <n v="0"/>
    <n v="0"/>
    <n v="0"/>
    <n v="0"/>
    <n v="1"/>
    <n v="0"/>
    <n v="0"/>
    <n v="0"/>
    <n v="0"/>
    <n v="0"/>
    <n v="0"/>
    <n v="0"/>
    <n v="0"/>
    <n v="0"/>
    <n v="0"/>
    <n v="0"/>
    <n v="0"/>
    <n v="0"/>
    <n v="1"/>
    <n v="0"/>
    <n v="0"/>
    <n v="0"/>
    <n v="0"/>
    <n v="0"/>
    <n v="0"/>
    <n v="0"/>
    <n v="0"/>
    <n v="0"/>
    <n v="0"/>
    <x v="0"/>
    <x v="0"/>
    <x v="0"/>
    <x v="0"/>
    <x v="0"/>
    <m/>
    <x v="0"/>
    <x v="0"/>
    <n v="2"/>
    <m/>
    <n v="1"/>
    <m/>
    <m/>
    <m/>
    <m/>
    <m/>
    <m/>
    <m/>
    <m/>
    <m/>
    <m/>
    <m/>
    <m/>
    <m/>
    <m/>
    <m/>
    <m/>
    <m/>
    <m/>
    <m/>
    <n v="1"/>
    <n v="1"/>
  </r>
  <r>
    <n v="365"/>
    <x v="1"/>
    <s v="2014/5786"/>
    <s v="Market Towers, 1 Nine Elms Lane (One Nine Elms)"/>
    <s v="City Tower"/>
    <n v="530104"/>
    <n v="177808"/>
    <x v="12"/>
    <d v="2015-08-12T00:00:00"/>
    <m/>
    <n v="0"/>
    <n v="57"/>
    <n v="57"/>
    <n v="57"/>
    <n v="57"/>
    <x v="1"/>
    <s v="Non material amendment to planning application 2014/0871 dated 26 August 2014 (for demolition of existing buildings and structures. Erection of two new buildings of  58 storeys (up to 200m above ground) and 43 storeys (up to 161m above ground) high to provide up to 491 residential units, retail uses (classes A1-A4); office space (class B1); a hotel (class C1) together with a high level viewing space; provision of private and public open spaces; vehicular access and reconfigured vehicular access routes; provision of cycle, motorcycle and car parking, servicing and energy centre within the two level basement; landscaping; excavation works; and other associated works) to allow internal changes to affordable housing units at levels 1-6 of the City Tower increasing the number of affordable units from 52 to 57."/>
    <s v="S96A"/>
    <d v="2014-10-08T00:00:00"/>
    <d v="2015-01-12T00:00:00"/>
    <x v="0"/>
    <s v="Nil"/>
    <m/>
    <s v="BF"/>
    <s v="NB"/>
    <x v="1"/>
    <x v="7"/>
    <n v="1.4000000432133701E-2"/>
    <d v="2015-08-12T00:00:00"/>
    <x v="0"/>
    <m/>
    <x v="1"/>
    <s v="ISO"/>
    <s v="2.1.12"/>
    <m/>
    <n v="57"/>
    <n v="0"/>
    <n v="6"/>
    <n v="0"/>
    <n v="0"/>
    <n v="35"/>
    <n v="22"/>
    <n v="0"/>
    <n v="0"/>
    <n v="0"/>
    <n v="0"/>
    <n v="0"/>
    <n v="35"/>
    <n v="22"/>
    <n v="0"/>
    <n v="0"/>
    <n v="0"/>
    <n v="0"/>
    <n v="0"/>
    <n v="0"/>
    <n v="0"/>
    <n v="0"/>
    <n v="0"/>
    <n v="0"/>
    <n v="0"/>
    <n v="0"/>
    <n v="0"/>
    <n v="0"/>
    <n v="0"/>
    <n v="0"/>
    <n v="0"/>
    <n v="0"/>
    <x v="0"/>
    <x v="1"/>
    <x v="0"/>
    <x v="0"/>
    <x v="0"/>
    <m/>
    <x v="0"/>
    <x v="0"/>
    <n v="21"/>
    <m/>
    <m/>
    <n v="57"/>
    <m/>
    <m/>
    <m/>
    <m/>
    <m/>
    <m/>
    <m/>
    <m/>
    <m/>
    <m/>
    <m/>
    <m/>
    <m/>
    <m/>
    <m/>
    <m/>
    <m/>
    <m/>
    <n v="57"/>
    <n v="57"/>
  </r>
  <r>
    <n v="365"/>
    <x v="1"/>
    <s v="2015/5942"/>
    <s v="Market Towers, 1 Nine Elms Lane (One Nine Elms)"/>
    <m/>
    <n v="530104"/>
    <n v="177808"/>
    <x v="12"/>
    <d v="2015-08-12T00:00:00"/>
    <m/>
    <n v="0"/>
    <n v="437"/>
    <n v="437"/>
    <n v="437"/>
    <n v="437"/>
    <x v="1"/>
    <s v="Non Material Amendment to planning application 2014/0871 dated 26 August 2014 &quot;for demolition of existing buildings and structures. Erection of two new buildings of  58 storeys (up to 200m above ground) and 43 storeys (up to 161m above ground) high to provide up to 491 residential units, retail uses (classes A1-A4); office space (class B1); a hotel (class C1) together with a high level viewing space; provision of private and public open spaces; vehicular access and reconfigured vehicular access routes; provision of cycle, motorcycle and car parking, servicing and energy centre within the two level basement; landscaping; excavation works; and other associated works&quot; to allow: changes to hotel internal layout including reconfiguration of mezzanine levels, alteration to residential layouts and mix, adjustment to structural slab height, alteration to viewing level and associated spaces, basement and ground level internal amendments together with adjustment to proposed façades."/>
    <s v="S96A"/>
    <d v="2016-06-15T00:00:00"/>
    <d v="2016-06-21T00:00:00"/>
    <x v="0"/>
    <s v="Nil"/>
    <m/>
    <s v="BF"/>
    <s v="NB"/>
    <x v="1"/>
    <x v="7"/>
    <n v="0.25200000405311601"/>
    <d v="2015-08-12T00:00:00"/>
    <x v="0"/>
    <m/>
    <x v="0"/>
    <s v="M"/>
    <s v="2.1.12"/>
    <m/>
    <n v="0"/>
    <n v="44"/>
    <n v="0"/>
    <n v="395"/>
    <n v="0"/>
    <n v="117"/>
    <n v="181"/>
    <n v="129"/>
    <n v="10"/>
    <n v="0"/>
    <n v="0"/>
    <n v="0"/>
    <n v="117"/>
    <n v="181"/>
    <n v="129"/>
    <n v="10"/>
    <n v="0"/>
    <n v="0"/>
    <n v="0"/>
    <n v="0"/>
    <n v="0"/>
    <n v="0"/>
    <n v="0"/>
    <n v="0"/>
    <n v="0"/>
    <n v="0"/>
    <n v="0"/>
    <n v="0"/>
    <n v="0"/>
    <n v="0"/>
    <n v="0"/>
    <n v="0"/>
    <x v="0"/>
    <x v="1"/>
    <x v="0"/>
    <x v="0"/>
    <x v="0"/>
    <m/>
    <x v="0"/>
    <x v="0"/>
    <n v="21"/>
    <m/>
    <m/>
    <n v="437"/>
    <m/>
    <m/>
    <m/>
    <m/>
    <m/>
    <m/>
    <m/>
    <m/>
    <m/>
    <m/>
    <m/>
    <m/>
    <m/>
    <m/>
    <m/>
    <m/>
    <m/>
    <m/>
    <n v="437"/>
    <n v="437"/>
  </r>
  <r>
    <n v="457"/>
    <x v="1"/>
    <s v="2017/3054"/>
    <s v="(rear of 2), 2B Credenhill Street"/>
    <m/>
    <n v="529185"/>
    <n v="170570"/>
    <x v="7"/>
    <d v="2019-10-28T00:00:00"/>
    <m/>
    <n v="0"/>
    <n v="1"/>
    <n v="1"/>
    <n v="1"/>
    <n v="1"/>
    <x v="0"/>
    <s v="Demolition of existing workshop building and erection of a two-storey 1-bedroom house (fronting Fallsbrook Road) with associated landscaping, cycle and refuse storage."/>
    <s v="PF"/>
    <d v="2017-06-14T00:00:00"/>
    <d v="2017-10-24T00:00:00"/>
    <x v="0"/>
    <s v="Nil"/>
    <m/>
    <s v="BF"/>
    <s v="NB"/>
    <x v="0"/>
    <x v="5"/>
    <n v="1.60000007599592E-2"/>
    <d v="2019-10-28T00:00:00"/>
    <x v="1"/>
    <m/>
    <x v="0"/>
    <s v="M"/>
    <m/>
    <m/>
    <n v="0"/>
    <n v="0"/>
    <n v="0"/>
    <n v="0"/>
    <n v="0"/>
    <n v="1"/>
    <n v="0"/>
    <n v="0"/>
    <n v="0"/>
    <n v="0"/>
    <n v="0"/>
    <n v="0"/>
    <n v="0"/>
    <n v="0"/>
    <n v="0"/>
    <n v="0"/>
    <n v="0"/>
    <n v="0"/>
    <n v="0"/>
    <n v="1"/>
    <n v="0"/>
    <n v="0"/>
    <n v="0"/>
    <n v="0"/>
    <n v="0"/>
    <n v="0"/>
    <n v="0"/>
    <n v="0"/>
    <n v="0"/>
    <n v="0"/>
    <n v="0"/>
    <n v="0"/>
    <x v="0"/>
    <x v="0"/>
    <x v="0"/>
    <x v="0"/>
    <x v="0"/>
    <m/>
    <x v="0"/>
    <x v="0"/>
    <n v="3"/>
    <m/>
    <n v="0.5"/>
    <n v="0.5"/>
    <m/>
    <m/>
    <m/>
    <m/>
    <m/>
    <m/>
    <m/>
    <m/>
    <m/>
    <m/>
    <m/>
    <m/>
    <m/>
    <m/>
    <m/>
    <m/>
    <m/>
    <m/>
    <n v="1"/>
    <n v="1"/>
  </r>
  <r>
    <n v="463"/>
    <x v="1"/>
    <s v="2018/0072"/>
    <s v="Prince of Wales, 186 Battersea Bridge Road"/>
    <m/>
    <n v="527418"/>
    <n v="176670"/>
    <x v="11"/>
    <d v="2019-03-31T00:00:00"/>
    <m/>
    <n v="0"/>
    <n v="2"/>
    <n v="2"/>
    <n v="2"/>
    <n v="2"/>
    <x v="0"/>
    <s v="Erection of two-storey building (plus basement with front and rear lightwells and roof terraces) to provide 2 x 3-bedroom houses. Associated refuse and bike storage and front railings."/>
    <s v="PF"/>
    <d v="2018-02-02T00:00:00"/>
    <d v="2018-07-04T00:00:00"/>
    <x v="0"/>
    <s v="Nil"/>
    <m/>
    <s v="BF"/>
    <s v="NB"/>
    <x v="0"/>
    <x v="5"/>
    <n v="3.7999998778104803E-2"/>
    <d v="2019-03-31T00:00:00"/>
    <x v="0"/>
    <m/>
    <x v="0"/>
    <s v="M"/>
    <m/>
    <m/>
    <n v="0"/>
    <n v="0"/>
    <n v="0"/>
    <n v="0"/>
    <n v="0"/>
    <n v="0"/>
    <n v="0"/>
    <n v="2"/>
    <n v="0"/>
    <n v="0"/>
    <n v="0"/>
    <n v="0"/>
    <n v="0"/>
    <n v="0"/>
    <n v="0"/>
    <n v="0"/>
    <n v="0"/>
    <n v="0"/>
    <n v="0"/>
    <n v="0"/>
    <n v="0"/>
    <n v="2"/>
    <n v="0"/>
    <n v="0"/>
    <n v="0"/>
    <n v="0"/>
    <n v="0"/>
    <n v="0"/>
    <n v="0"/>
    <n v="0"/>
    <n v="0"/>
    <n v="0"/>
    <x v="0"/>
    <x v="0"/>
    <x v="0"/>
    <x v="0"/>
    <x v="0"/>
    <m/>
    <x v="0"/>
    <x v="0"/>
    <n v="2"/>
    <m/>
    <n v="2"/>
    <m/>
    <m/>
    <m/>
    <m/>
    <m/>
    <m/>
    <m/>
    <m/>
    <m/>
    <m/>
    <m/>
    <m/>
    <m/>
    <m/>
    <m/>
    <m/>
    <m/>
    <m/>
    <m/>
    <n v="2"/>
    <n v="2"/>
  </r>
  <r>
    <n v="466"/>
    <x v="1"/>
    <s v="2018/0378"/>
    <s v="153 Balham Hill"/>
    <m/>
    <n v="528790"/>
    <n v="173785"/>
    <x v="6"/>
    <d v="2020-03-31T00:00:00"/>
    <m/>
    <n v="1"/>
    <n v="2"/>
    <n v="1"/>
    <n v="2"/>
    <n v="1"/>
    <x v="0"/>
    <s v="Conversion of second and third floor flat to 2 x 1-bedroom flats."/>
    <s v="PF"/>
    <d v="2018-01-24T00:00:00"/>
    <d v="2018-03-21T00:00:00"/>
    <x v="0"/>
    <s v="Nil"/>
    <m/>
    <s v="BF"/>
    <s v="CON"/>
    <x v="0"/>
    <x v="0"/>
    <n v="6.0000000521540598E-3"/>
    <d v="2020-03-31T00:00:00"/>
    <x v="1"/>
    <m/>
    <x v="0"/>
    <s v="M"/>
    <m/>
    <m/>
    <n v="0"/>
    <n v="0"/>
    <n v="0"/>
    <n v="0"/>
    <n v="0"/>
    <n v="2"/>
    <n v="0"/>
    <n v="0"/>
    <n v="-1"/>
    <n v="0"/>
    <n v="0"/>
    <n v="0"/>
    <n v="2"/>
    <n v="0"/>
    <n v="0"/>
    <n v="-1"/>
    <n v="0"/>
    <n v="0"/>
    <n v="0"/>
    <n v="0"/>
    <n v="0"/>
    <n v="0"/>
    <n v="0"/>
    <n v="0"/>
    <n v="0"/>
    <n v="0"/>
    <n v="0"/>
    <n v="0"/>
    <n v="0"/>
    <n v="0"/>
    <n v="0"/>
    <n v="0"/>
    <x v="0"/>
    <x v="0"/>
    <x v="0"/>
    <x v="0"/>
    <x v="0"/>
    <m/>
    <x v="0"/>
    <x v="0"/>
    <n v="14"/>
    <m/>
    <n v="0.5"/>
    <n v="0.5"/>
    <m/>
    <m/>
    <m/>
    <m/>
    <m/>
    <m/>
    <m/>
    <m/>
    <m/>
    <m/>
    <m/>
    <m/>
    <m/>
    <m/>
    <m/>
    <m/>
    <m/>
    <m/>
    <n v="1"/>
    <n v="1"/>
  </r>
  <r>
    <n v="494"/>
    <x v="1"/>
    <s v="2014/4498"/>
    <s v="and 5 Upper Richmond Road, 72 West Hill"/>
    <m/>
    <n v="524885"/>
    <n v="174590"/>
    <x v="5"/>
    <d v="2017-04-05T00:00:00"/>
    <m/>
    <n v="0"/>
    <n v="8"/>
    <n v="8"/>
    <n v="8"/>
    <n v="8"/>
    <x v="0"/>
    <s v="Demolition of existing buildings. Erection of part two/ part three-storey building with accommodation in roof level, to provide 8 residential units together with cycle storage, roof terraces/balconies, communal gardens and landscaping."/>
    <s v="PF"/>
    <d v="2014-08-13T00:00:00"/>
    <d v="2015-06-26T00:00:00"/>
    <x v="0"/>
    <s v="Nil"/>
    <m/>
    <s v="BF"/>
    <s v="MIX"/>
    <x v="0"/>
    <x v="1"/>
    <n v="3.9999999105930301E-2"/>
    <d v="2017-04-05T00:00:00"/>
    <x v="0"/>
    <m/>
    <x v="0"/>
    <s v="M"/>
    <m/>
    <m/>
    <n v="0"/>
    <n v="0"/>
    <n v="0"/>
    <n v="0"/>
    <n v="0"/>
    <n v="2"/>
    <n v="4"/>
    <n v="2"/>
    <n v="0"/>
    <n v="0"/>
    <n v="0"/>
    <n v="0"/>
    <n v="2"/>
    <n v="4"/>
    <n v="2"/>
    <n v="0"/>
    <n v="0"/>
    <n v="0"/>
    <n v="0"/>
    <n v="0"/>
    <n v="0"/>
    <n v="0"/>
    <n v="0"/>
    <n v="0"/>
    <n v="0"/>
    <n v="0"/>
    <n v="0"/>
    <n v="0"/>
    <n v="0"/>
    <n v="0"/>
    <n v="0"/>
    <n v="0"/>
    <x v="0"/>
    <x v="0"/>
    <x v="0"/>
    <x v="0"/>
    <x v="0"/>
    <m/>
    <x v="0"/>
    <x v="0"/>
    <n v="13"/>
    <m/>
    <n v="8"/>
    <m/>
    <m/>
    <m/>
    <m/>
    <m/>
    <m/>
    <m/>
    <m/>
    <m/>
    <m/>
    <m/>
    <m/>
    <m/>
    <m/>
    <m/>
    <m/>
    <m/>
    <m/>
    <m/>
    <n v="8"/>
    <n v="8"/>
  </r>
  <r>
    <n v="999"/>
    <x v="1"/>
    <s v="2015/1205"/>
    <s v="Upper floors, 182 Balham High Road"/>
    <m/>
    <n v="528491"/>
    <n v="173293"/>
    <x v="3"/>
    <d v="2018-07-09T00:00:00"/>
    <m/>
    <n v="1"/>
    <n v="5"/>
    <n v="4"/>
    <n v="5"/>
    <n v="4"/>
    <x v="0"/>
    <s v="Part demolition of existing building and erection of a 4-storey building accommodating retail (A1 use class) at ground floor and basement level, and 5 self-contained residential units (C3 use class) (3 x 1 bed, 2 x 2 bed) above, together with associated alterations."/>
    <s v="PF"/>
    <d v="2015-03-10T00:00:00"/>
    <d v="2015-07-10T00:00:00"/>
    <x v="0"/>
    <s v="Nil"/>
    <m/>
    <s v="BF"/>
    <s v="EXT"/>
    <x v="0"/>
    <x v="3"/>
    <n v="1.09999999403954E-2"/>
    <d v="2018-07-09T00:00:00"/>
    <x v="0"/>
    <m/>
    <x v="0"/>
    <s v="M"/>
    <m/>
    <m/>
    <n v="5"/>
    <n v="0"/>
    <n v="0"/>
    <n v="0"/>
    <n v="0"/>
    <n v="3"/>
    <n v="1"/>
    <n v="0"/>
    <n v="0"/>
    <n v="0"/>
    <n v="0"/>
    <n v="0"/>
    <n v="3"/>
    <n v="1"/>
    <n v="0"/>
    <n v="0"/>
    <n v="0"/>
    <n v="0"/>
    <n v="0"/>
    <n v="0"/>
    <n v="0"/>
    <n v="0"/>
    <n v="0"/>
    <n v="0"/>
    <n v="0"/>
    <n v="0"/>
    <n v="0"/>
    <n v="0"/>
    <n v="0"/>
    <n v="0"/>
    <n v="0"/>
    <n v="0"/>
    <x v="5"/>
    <x v="0"/>
    <x v="0"/>
    <x v="0"/>
    <x v="0"/>
    <m/>
    <x v="0"/>
    <x v="0"/>
    <n v="13"/>
    <m/>
    <n v="4"/>
    <m/>
    <m/>
    <m/>
    <m/>
    <m/>
    <m/>
    <m/>
    <m/>
    <m/>
    <m/>
    <m/>
    <m/>
    <m/>
    <m/>
    <m/>
    <m/>
    <m/>
    <m/>
    <m/>
    <n v="4"/>
    <n v="4"/>
  </r>
  <r>
    <n v="1453"/>
    <x v="1"/>
    <s v="2019/0880"/>
    <s v="Ground floor rear of, 54 Trinity Road"/>
    <m/>
    <n v="527906"/>
    <n v="172486"/>
    <x v="3"/>
    <d v="2019-06-24T00:00:00"/>
    <m/>
    <n v="0"/>
    <n v="1"/>
    <n v="1"/>
    <n v="1"/>
    <n v="1"/>
    <x v="0"/>
    <s v="Alterations including erection of a mansard extension to provide an additional floor of accomodation and extension above the two storey rear addition in connection with creation of 1 x 1 bedroom flat; Erection of single storey side/rear extension; Change of use of ground floor commercial unit from hot food takeaway (Class A5) to flexible use for shop (Class A1), professional services (Class A2) and business (Class B1)."/>
    <s v="PF"/>
    <d v="2019-02-26T00:00:00"/>
    <d v="2019-05-10T00:00:00"/>
    <x v="1"/>
    <s v="Nil"/>
    <m/>
    <s v="BF"/>
    <s v="MIX"/>
    <x v="0"/>
    <x v="3"/>
    <n v="4.9999998882412902E-3"/>
    <d v="2019-06-24T00:00:00"/>
    <x v="1"/>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1467"/>
    <x v="1"/>
    <s v="2018/4458"/>
    <s v="224-226 York Road"/>
    <m/>
    <n v="526473"/>
    <n v="175600"/>
    <x v="11"/>
    <d v="2019-03-31T00:00:00"/>
    <m/>
    <n v="2"/>
    <n v="8"/>
    <n v="6"/>
    <n v="8"/>
    <n v="6"/>
    <x v="0"/>
    <s v="Demolition of existing buildings and erection of a part four/five-storey residential building to provide 5 x 1-bedroom, 2 x 2-bedroom and 1 x 3-bedroom flats, and flexible  commercial floor space (Class A1/A2) on the ground floor with associated landscaping, roof terraces/balconies, cycle and refuse storage."/>
    <s v="PF"/>
    <d v="2018-09-24T00:00:00"/>
    <d v="2019-01-28T00:00:00"/>
    <x v="0"/>
    <s v="Nil"/>
    <m/>
    <s v="BF"/>
    <s v="NB"/>
    <x v="0"/>
    <x v="5"/>
    <n v="1.7000000923872001E-2"/>
    <d v="2019-03-31T00:00:00"/>
    <x v="0"/>
    <m/>
    <x v="0"/>
    <s v="M"/>
    <m/>
    <m/>
    <n v="0"/>
    <n v="0"/>
    <n v="0"/>
    <n v="0"/>
    <n v="0"/>
    <n v="5"/>
    <n v="0"/>
    <n v="1"/>
    <n v="0"/>
    <n v="0"/>
    <n v="0"/>
    <n v="0"/>
    <n v="5"/>
    <n v="0"/>
    <n v="1"/>
    <n v="0"/>
    <n v="0"/>
    <n v="0"/>
    <n v="0"/>
    <n v="0"/>
    <n v="0"/>
    <n v="0"/>
    <n v="0"/>
    <n v="0"/>
    <n v="0"/>
    <n v="0"/>
    <n v="0"/>
    <n v="0"/>
    <n v="0"/>
    <n v="0"/>
    <n v="0"/>
    <n v="0"/>
    <x v="0"/>
    <x v="0"/>
    <x v="0"/>
    <x v="0"/>
    <x v="0"/>
    <m/>
    <x v="1"/>
    <x v="0"/>
    <n v="2"/>
    <m/>
    <n v="6"/>
    <m/>
    <m/>
    <m/>
    <m/>
    <m/>
    <m/>
    <m/>
    <m/>
    <m/>
    <m/>
    <m/>
    <m/>
    <m/>
    <m/>
    <m/>
    <m/>
    <m/>
    <m/>
    <m/>
    <n v="6"/>
    <n v="6"/>
  </r>
  <r>
    <n v="1515"/>
    <x v="1"/>
    <s v="2016/2772"/>
    <s v="25 Sudbrooke Road"/>
    <m/>
    <n v="527960"/>
    <n v="174047"/>
    <x v="6"/>
    <d v="2017-01-20T00:00:00"/>
    <m/>
    <n v="1"/>
    <n v="1"/>
    <n v="0"/>
    <n v="1"/>
    <n v="0"/>
    <x v="0"/>
    <s v="Demolition of existing building and erection of a two-storey dwelling house (with accommodation at basement level with front and rear lightwells, and at roof level with side and rear dormers). Alterations to front boundary wall including piers and sliding gate for front parking area."/>
    <s v="PF"/>
    <d v="2016-05-16T00:00:00"/>
    <d v="2016-07-11T00:00:00"/>
    <x v="0"/>
    <s v="Nil"/>
    <m/>
    <s v="BF"/>
    <s v="NB"/>
    <x v="0"/>
    <x v="5"/>
    <n v="5.6000001728534698E-2"/>
    <d v="2017-01-20T00:00:00"/>
    <x v="0"/>
    <m/>
    <x v="0"/>
    <s v="M"/>
    <m/>
    <m/>
    <n v="1"/>
    <n v="0"/>
    <n v="0"/>
    <n v="0"/>
    <n v="0"/>
    <n v="0"/>
    <n v="0"/>
    <n v="0"/>
    <n v="-1"/>
    <n v="1"/>
    <n v="0"/>
    <n v="0"/>
    <n v="0"/>
    <n v="0"/>
    <n v="0"/>
    <n v="0"/>
    <n v="0"/>
    <n v="0"/>
    <n v="0"/>
    <n v="0"/>
    <n v="0"/>
    <n v="0"/>
    <n v="-1"/>
    <n v="1"/>
    <n v="0"/>
    <n v="0"/>
    <n v="0"/>
    <n v="0"/>
    <n v="0"/>
    <n v="0"/>
    <n v="0"/>
    <n v="0"/>
    <x v="0"/>
    <x v="0"/>
    <x v="0"/>
    <x v="0"/>
    <x v="0"/>
    <m/>
    <x v="0"/>
    <x v="0"/>
    <n v="2"/>
    <m/>
    <n v="0"/>
    <m/>
    <m/>
    <m/>
    <m/>
    <m/>
    <m/>
    <m/>
    <m/>
    <m/>
    <m/>
    <m/>
    <m/>
    <m/>
    <m/>
    <m/>
    <m/>
    <m/>
    <m/>
    <m/>
    <n v="0"/>
    <n v="0"/>
  </r>
  <r>
    <n v="1882"/>
    <x v="1"/>
    <s v="2019/0799"/>
    <s v="175 Wandsworth High Street"/>
    <m/>
    <n v="525371"/>
    <n v="174659"/>
    <x v="14"/>
    <d v="2018-04-01T00:00:00"/>
    <m/>
    <n v="0"/>
    <n v="1"/>
    <n v="1"/>
    <n v="1"/>
    <n v="1"/>
    <x v="0"/>
    <s v="Variation of condition 4 (restricted use) and 2 (in accordance with approved drawings) of planning permission dated 09/12/2016 ref 2016/5757 (Change of use of upper and lower ground floors restaurant &amp; sandwich bar (Class A3) to 3 x commercial units (Class B1a), including external alterations to the front, side and rear elevations.) so as to allow change of use from office at rear ground and lower ground floors (Class B1a) to residential (Class C3)."/>
    <s v="S73"/>
    <d v="2019-03-12T00:00:00"/>
    <d v="2019-05-15T00:00:00"/>
    <x v="1"/>
    <s v="Nil"/>
    <m/>
    <s v="BF"/>
    <s v="COU"/>
    <x v="0"/>
    <x v="1"/>
    <n v="4.9999998882412902E-3"/>
    <d v="2018-04-01T00:00:00"/>
    <x v="0"/>
    <m/>
    <x v="0"/>
    <s v="M"/>
    <m/>
    <m/>
    <n v="0"/>
    <n v="0"/>
    <n v="0"/>
    <n v="0"/>
    <n v="0"/>
    <n v="1"/>
    <n v="0"/>
    <n v="0"/>
    <n v="0"/>
    <n v="0"/>
    <n v="0"/>
    <n v="0"/>
    <n v="1"/>
    <n v="0"/>
    <n v="0"/>
    <n v="0"/>
    <n v="0"/>
    <n v="0"/>
    <n v="0"/>
    <n v="0"/>
    <n v="0"/>
    <n v="0"/>
    <n v="0"/>
    <n v="0"/>
    <n v="0"/>
    <n v="0"/>
    <n v="0"/>
    <n v="0"/>
    <n v="0"/>
    <n v="0"/>
    <n v="0"/>
    <n v="0"/>
    <x v="3"/>
    <x v="0"/>
    <x v="1"/>
    <x v="0"/>
    <x v="0"/>
    <m/>
    <x v="0"/>
    <x v="0"/>
    <n v="13"/>
    <m/>
    <n v="1"/>
    <m/>
    <m/>
    <m/>
    <m/>
    <m/>
    <m/>
    <m/>
    <m/>
    <m/>
    <m/>
    <m/>
    <m/>
    <m/>
    <m/>
    <m/>
    <m/>
    <m/>
    <m/>
    <m/>
    <n v="1"/>
    <n v="1"/>
  </r>
  <r>
    <n v="1912"/>
    <x v="1"/>
    <s v="2017/2817"/>
    <s v="Lock up garages, 26-40 Balham New Road"/>
    <m/>
    <n v="528924"/>
    <n v="173571"/>
    <x v="6"/>
    <d v="2018-08-20T00:00:00"/>
    <m/>
    <n v="0"/>
    <n v="8"/>
    <n v="8"/>
    <n v="8"/>
    <n v="8"/>
    <x v="0"/>
    <s v="Erection of 8 x 4-bedroom three-storey (plus basement) houses."/>
    <s v="PF"/>
    <d v="2017-05-24T00:00:00"/>
    <d v="2017-09-25T00:00:00"/>
    <x v="0"/>
    <s v="Nil"/>
    <m/>
    <s v="BF"/>
    <s v="NB"/>
    <x v="0"/>
    <x v="5"/>
    <n v="6.8999998271465302E-2"/>
    <d v="2018-08-20T00:00:00"/>
    <x v="0"/>
    <m/>
    <x v="0"/>
    <s v="M"/>
    <m/>
    <m/>
    <n v="8"/>
    <n v="0"/>
    <n v="0"/>
    <n v="0"/>
    <n v="0"/>
    <n v="0"/>
    <n v="0"/>
    <n v="0"/>
    <n v="8"/>
    <n v="0"/>
    <n v="0"/>
    <n v="0"/>
    <n v="0"/>
    <n v="0"/>
    <n v="0"/>
    <n v="0"/>
    <n v="0"/>
    <n v="0"/>
    <n v="0"/>
    <n v="0"/>
    <n v="0"/>
    <n v="0"/>
    <n v="8"/>
    <n v="0"/>
    <n v="0"/>
    <n v="0"/>
    <n v="0"/>
    <n v="0"/>
    <n v="0"/>
    <n v="0"/>
    <n v="0"/>
    <n v="0"/>
    <x v="0"/>
    <x v="0"/>
    <x v="0"/>
    <x v="0"/>
    <x v="0"/>
    <m/>
    <x v="0"/>
    <x v="0"/>
    <n v="2"/>
    <m/>
    <n v="8"/>
    <m/>
    <m/>
    <m/>
    <m/>
    <m/>
    <m/>
    <m/>
    <m/>
    <m/>
    <m/>
    <m/>
    <m/>
    <m/>
    <m/>
    <m/>
    <m/>
    <m/>
    <m/>
    <m/>
    <n v="8"/>
    <n v="8"/>
  </r>
  <r>
    <n v="1924"/>
    <x v="1"/>
    <s v="2016/3919"/>
    <s v="42 Roehampton Gate"/>
    <m/>
    <n v="521176"/>
    <n v="174253"/>
    <x v="13"/>
    <d v="2017-03-31T00:00:00"/>
    <m/>
    <n v="1"/>
    <n v="1"/>
    <n v="0"/>
    <n v="1"/>
    <n v="0"/>
    <x v="0"/>
    <s v="Demolition of existing house and outbuidlings. Erection of a detached three-storey house (with top floor within roofspace) with additional floorspace at basement level, with roof terraces at first and second floor rear. (NB:This is an alternative proposal to that being considered under application ref. 2016/1472, with the main differences being to elevational treatment and materials; alterations to layout including reduced floor area and general removal of split levels between storeys, and provision of a double garage)."/>
    <s v="PF"/>
    <d v="2016-07-06T00:00:00"/>
    <d v="2016-08-31T00:00:00"/>
    <x v="0"/>
    <s v="Nil"/>
    <m/>
    <s v="BF"/>
    <s v="NB"/>
    <x v="0"/>
    <x v="5"/>
    <n v="0.123000003397465"/>
    <d v="2017-03-31T00:00:00"/>
    <x v="0"/>
    <m/>
    <x v="0"/>
    <s v="M"/>
    <m/>
    <m/>
    <n v="0"/>
    <n v="0"/>
    <n v="0"/>
    <n v="0"/>
    <n v="0"/>
    <n v="0"/>
    <n v="0"/>
    <n v="0"/>
    <n v="-1"/>
    <n v="1"/>
    <n v="0"/>
    <n v="0"/>
    <n v="0"/>
    <n v="0"/>
    <n v="0"/>
    <n v="0"/>
    <n v="0"/>
    <n v="0"/>
    <n v="0"/>
    <n v="0"/>
    <n v="0"/>
    <n v="0"/>
    <n v="-1"/>
    <n v="1"/>
    <n v="0"/>
    <n v="0"/>
    <n v="0"/>
    <n v="0"/>
    <n v="0"/>
    <n v="0"/>
    <n v="0"/>
    <n v="0"/>
    <x v="0"/>
    <x v="0"/>
    <x v="0"/>
    <x v="0"/>
    <x v="0"/>
    <m/>
    <x v="0"/>
    <x v="0"/>
    <n v="2"/>
    <m/>
    <n v="0"/>
    <m/>
    <m/>
    <m/>
    <m/>
    <m/>
    <m/>
    <m/>
    <m/>
    <m/>
    <m/>
    <m/>
    <m/>
    <m/>
    <m/>
    <m/>
    <m/>
    <m/>
    <m/>
    <m/>
    <n v="0"/>
    <n v="0"/>
  </r>
  <r>
    <n v="1952"/>
    <x v="1"/>
    <s v="2014/1471"/>
    <s v="Our Lady of Mount Carmel and St Joseph Church, 8 Battersea Park Road"/>
    <m/>
    <n v="528781"/>
    <n v="177000"/>
    <x v="12"/>
    <d v="2017-06-21T00:00:00"/>
    <m/>
    <n v="0"/>
    <n v="20"/>
    <n v="20"/>
    <n v="20"/>
    <n v="20"/>
    <x v="1"/>
    <s v="Demolition of existing vacant single-storey parish and ancillary buildings and construction of a replacement part five and part six storey residential building to the west of the existing church building comprising 20 residential units (C3), retail use (A1/A3) and ancillary church accommodation (D1) at ground floor level; extension and associated alterations to the southern elevation of the church to provide ancillary church accommodation in the form of a new parish hall (D1); and works to hard and soft landscaping and alterations to front boundary treatment."/>
    <s v="PFLA"/>
    <d v="2014-03-03T00:00:00"/>
    <d v="2014-10-28T00:00:00"/>
    <x v="0"/>
    <s v="Nil"/>
    <m/>
    <s v="BF"/>
    <s v="NB"/>
    <x v="1"/>
    <x v="7"/>
    <n v="0.17100000381469699"/>
    <d v="2017-06-21T00:00:00"/>
    <x v="0"/>
    <m/>
    <x v="0"/>
    <s v="M"/>
    <m/>
    <m/>
    <n v="20"/>
    <n v="0"/>
    <n v="2"/>
    <n v="0"/>
    <n v="0"/>
    <n v="4"/>
    <n v="16"/>
    <n v="0"/>
    <n v="0"/>
    <n v="0"/>
    <n v="0"/>
    <n v="0"/>
    <n v="4"/>
    <n v="16"/>
    <n v="0"/>
    <n v="0"/>
    <n v="0"/>
    <n v="0"/>
    <n v="0"/>
    <n v="0"/>
    <n v="0"/>
    <n v="0"/>
    <n v="0"/>
    <n v="0"/>
    <n v="0"/>
    <n v="0"/>
    <n v="0"/>
    <n v="0"/>
    <n v="0"/>
    <n v="0"/>
    <n v="0"/>
    <n v="0"/>
    <x v="0"/>
    <x v="1"/>
    <x v="0"/>
    <x v="0"/>
    <x v="0"/>
    <m/>
    <x v="0"/>
    <x v="0"/>
    <n v="21"/>
    <m/>
    <n v="20"/>
    <m/>
    <m/>
    <m/>
    <m/>
    <m/>
    <m/>
    <m/>
    <m/>
    <m/>
    <m/>
    <m/>
    <m/>
    <m/>
    <m/>
    <m/>
    <m/>
    <m/>
    <m/>
    <m/>
    <n v="20"/>
    <n v="20"/>
  </r>
  <r>
    <n v="1971"/>
    <x v="1"/>
    <s v="2016/5443"/>
    <s v="81-87 Upper Tooting Road"/>
    <m/>
    <n v="527831"/>
    <n v="172116"/>
    <x v="1"/>
    <d v="2019-03-31T00:00:00"/>
    <m/>
    <n v="0"/>
    <n v="12"/>
    <n v="12"/>
    <n v="18"/>
    <n v="18"/>
    <x v="1"/>
    <s v="Demolition of the existing buildings and redevelopment of the site to form a part 2/3 /4/ 5-storey scheme across two buildings comprising 18 (Class C3) residential units and 77 sqm (GIA) (Class D1 ) community floorspace together with associated cycle parking, landscaping, play space and amenity provision."/>
    <s v="PFLA"/>
    <d v="2016-09-22T00:00:00"/>
    <d v="2017-12-20T00:00:00"/>
    <x v="0"/>
    <s v="Nil"/>
    <m/>
    <s v="BF"/>
    <s v="NB"/>
    <x v="1"/>
    <x v="7"/>
    <n v="4.5000001788139302E-2"/>
    <d v="2019-03-31T00:00:00"/>
    <x v="0"/>
    <m/>
    <x v="0"/>
    <s v="M"/>
    <m/>
    <m/>
    <n v="0"/>
    <n v="9"/>
    <n v="0"/>
    <n v="3"/>
    <n v="0"/>
    <n v="5"/>
    <n v="6"/>
    <n v="1"/>
    <n v="0"/>
    <n v="0"/>
    <n v="0"/>
    <n v="0"/>
    <n v="5"/>
    <n v="6"/>
    <n v="0"/>
    <n v="0"/>
    <n v="0"/>
    <n v="0"/>
    <n v="0"/>
    <n v="0"/>
    <n v="0"/>
    <n v="1"/>
    <n v="0"/>
    <n v="0"/>
    <n v="0"/>
    <n v="0"/>
    <n v="0"/>
    <n v="0"/>
    <n v="0"/>
    <n v="0"/>
    <n v="0"/>
    <n v="0"/>
    <x v="0"/>
    <x v="0"/>
    <x v="0"/>
    <x v="0"/>
    <x v="0"/>
    <m/>
    <x v="0"/>
    <x v="0"/>
    <n v="2"/>
    <m/>
    <n v="12"/>
    <m/>
    <m/>
    <m/>
    <m/>
    <m/>
    <m/>
    <m/>
    <m/>
    <m/>
    <m/>
    <m/>
    <m/>
    <m/>
    <m/>
    <m/>
    <m/>
    <m/>
    <m/>
    <m/>
    <n v="12"/>
    <n v="12"/>
  </r>
  <r>
    <n v="1971"/>
    <x v="1"/>
    <s v="2016/5443"/>
    <s v="81-87 Upper Tooting Road"/>
    <m/>
    <n v="527831"/>
    <n v="172116"/>
    <x v="1"/>
    <d v="2019-03-31T00:00:00"/>
    <m/>
    <n v="0"/>
    <n v="6"/>
    <n v="6"/>
    <n v="18"/>
    <n v="18"/>
    <x v="1"/>
    <s v="Demolition of the existing buildings and redevelopment of the site to form a part 2/3 /4/ 5-storey scheme across two buildings comprising 18 (Class C3) residential units and 77 sqm (GIA) (Class D1 ) community floorspace together with associated cycle parking, landscaping, play space and amenity provision."/>
    <s v="PFLA"/>
    <d v="2016-09-22T00:00:00"/>
    <d v="2017-12-20T00:00:00"/>
    <x v="0"/>
    <s v="Nil"/>
    <m/>
    <s v="BF"/>
    <s v="NB"/>
    <x v="1"/>
    <x v="7"/>
    <n v="4.1999999433755902E-2"/>
    <d v="2019-03-31T00:00:00"/>
    <x v="0"/>
    <m/>
    <x v="1"/>
    <s v="ISO"/>
    <m/>
    <m/>
    <n v="0"/>
    <n v="6"/>
    <n v="0"/>
    <n v="0"/>
    <n v="0"/>
    <n v="2"/>
    <n v="4"/>
    <n v="0"/>
    <n v="0"/>
    <n v="0"/>
    <n v="0"/>
    <n v="0"/>
    <n v="2"/>
    <n v="4"/>
    <n v="0"/>
    <n v="0"/>
    <n v="0"/>
    <n v="0"/>
    <n v="0"/>
    <n v="0"/>
    <n v="0"/>
    <n v="0"/>
    <n v="0"/>
    <n v="0"/>
    <n v="0"/>
    <n v="0"/>
    <n v="0"/>
    <n v="0"/>
    <n v="0"/>
    <n v="0"/>
    <n v="0"/>
    <n v="0"/>
    <x v="0"/>
    <x v="0"/>
    <x v="0"/>
    <x v="0"/>
    <x v="0"/>
    <m/>
    <x v="0"/>
    <x v="0"/>
    <n v="2"/>
    <m/>
    <n v="6"/>
    <m/>
    <m/>
    <m/>
    <m/>
    <m/>
    <m/>
    <m/>
    <m/>
    <m/>
    <m/>
    <m/>
    <m/>
    <m/>
    <m/>
    <m/>
    <m/>
    <m/>
    <m/>
    <m/>
    <n v="6"/>
    <n v="6"/>
  </r>
  <r>
    <n v="2154"/>
    <x v="1"/>
    <s v="2014/1622"/>
    <s v="Mission Church development site, 22-24 Kellino Street (Tooting Boys' Club)"/>
    <m/>
    <n v="527691"/>
    <n v="171695"/>
    <x v="1"/>
    <d v="2017-09-11T00:00:00"/>
    <m/>
    <n v="0"/>
    <n v="4"/>
    <n v="4"/>
    <n v="4"/>
    <n v="4"/>
    <x v="0"/>
    <s v="Change of use of the existing building from former community building (Class D1) to create four self-contained residential units comprising internal and external alterations (including terraces) and extensions."/>
    <s v="PF"/>
    <d v="2014-05-06T00:00:00"/>
    <d v="2014-07-18T00:00:00"/>
    <x v="0"/>
    <s v="Nil"/>
    <m/>
    <s v="BF"/>
    <s v="MIX"/>
    <x v="0"/>
    <x v="5"/>
    <n v="1.8999999389052401E-2"/>
    <d v="2017-09-11T00:00:00"/>
    <x v="0"/>
    <m/>
    <x v="0"/>
    <s v="M"/>
    <m/>
    <m/>
    <n v="0"/>
    <n v="0"/>
    <n v="0"/>
    <n v="0"/>
    <n v="0"/>
    <n v="0"/>
    <n v="2"/>
    <n v="2"/>
    <n v="0"/>
    <n v="0"/>
    <n v="0"/>
    <n v="0"/>
    <n v="0"/>
    <n v="2"/>
    <n v="2"/>
    <n v="0"/>
    <n v="0"/>
    <n v="0"/>
    <n v="0"/>
    <n v="0"/>
    <n v="0"/>
    <n v="0"/>
    <n v="0"/>
    <n v="0"/>
    <n v="0"/>
    <n v="0"/>
    <n v="0"/>
    <n v="0"/>
    <n v="0"/>
    <n v="0"/>
    <n v="0"/>
    <n v="0"/>
    <x v="0"/>
    <x v="0"/>
    <x v="0"/>
    <x v="0"/>
    <x v="0"/>
    <m/>
    <x v="0"/>
    <x v="0"/>
    <n v="13"/>
    <m/>
    <n v="4"/>
    <m/>
    <m/>
    <m/>
    <m/>
    <m/>
    <m/>
    <m/>
    <m/>
    <m/>
    <m/>
    <m/>
    <m/>
    <m/>
    <m/>
    <m/>
    <m/>
    <m/>
    <m/>
    <m/>
    <n v="4"/>
    <n v="4"/>
  </r>
  <r>
    <n v="2157"/>
    <x v="1"/>
    <s v="2014/4588"/>
    <s v="Land adj. and rear of 58, Topsham Road"/>
    <m/>
    <n v="528141"/>
    <n v="172013"/>
    <x v="19"/>
    <d v="2017-12-18T00:00:00"/>
    <m/>
    <n v="0"/>
    <n v="3"/>
    <n v="3"/>
    <n v="3"/>
    <n v="3"/>
    <x v="0"/>
    <s v="Demolition of existing garages and construction of 3 houses (one detached house to front of the site and two semi-detached houses to rear) and two car parking spaces."/>
    <s v="PF"/>
    <d v="2014-08-19T00:00:00"/>
    <d v="2014-12-19T00:00:00"/>
    <x v="0"/>
    <s v="Nil"/>
    <m/>
    <s v="BF"/>
    <s v="NB"/>
    <x v="0"/>
    <x v="5"/>
    <n v="6.1999998986720997E-2"/>
    <d v="2017-12-18T00:00:00"/>
    <x v="0"/>
    <m/>
    <x v="0"/>
    <s v="M"/>
    <m/>
    <m/>
    <n v="0"/>
    <n v="0"/>
    <n v="0"/>
    <n v="0"/>
    <n v="0"/>
    <n v="0"/>
    <n v="0"/>
    <n v="2"/>
    <n v="1"/>
    <n v="0"/>
    <n v="0"/>
    <n v="0"/>
    <n v="0"/>
    <n v="0"/>
    <n v="0"/>
    <n v="0"/>
    <n v="0"/>
    <n v="0"/>
    <n v="0"/>
    <n v="0"/>
    <n v="0"/>
    <n v="2"/>
    <n v="1"/>
    <n v="0"/>
    <n v="0"/>
    <n v="0"/>
    <n v="0"/>
    <n v="0"/>
    <n v="0"/>
    <n v="0"/>
    <n v="0"/>
    <n v="0"/>
    <x v="0"/>
    <x v="0"/>
    <x v="0"/>
    <x v="0"/>
    <x v="0"/>
    <m/>
    <x v="0"/>
    <x v="0"/>
    <n v="2"/>
    <m/>
    <n v="3"/>
    <m/>
    <m/>
    <m/>
    <m/>
    <m/>
    <m/>
    <m/>
    <m/>
    <m/>
    <m/>
    <m/>
    <m/>
    <m/>
    <m/>
    <m/>
    <m/>
    <m/>
    <m/>
    <m/>
    <n v="3"/>
    <n v="3"/>
  </r>
  <r>
    <n v="2304"/>
    <x v="1"/>
    <s v="2015/5875"/>
    <s v="Chelsea Bridge Wharf (southern site), Queenstown Road (Phase 5, Residential Blocks F &amp; G (Lanson House &amp; Burnelli House))"/>
    <m/>
    <n v="528666"/>
    <n v="177450"/>
    <x v="12"/>
    <d v="2019-03-31T00:00:00"/>
    <m/>
    <n v="0"/>
    <n v="7"/>
    <n v="7"/>
    <n v="7"/>
    <n v="7"/>
    <x v="0"/>
    <s v="Change of use from &quot;flexible commercial space&quot; to provide 7 residential apartments with associated screening and landscaping"/>
    <s v="PFLA"/>
    <d v="2015-10-19T00:00:00"/>
    <d v="2016-04-05T00:00:00"/>
    <x v="0"/>
    <s v="Nil"/>
    <m/>
    <s v="BF"/>
    <s v="COU"/>
    <x v="0"/>
    <x v="6"/>
    <n v="5.9000000357627903E-2"/>
    <d v="2019-03-31T00:00:00"/>
    <x v="0"/>
    <m/>
    <x v="0"/>
    <s v="M"/>
    <m/>
    <m/>
    <n v="7"/>
    <n v="0"/>
    <n v="0"/>
    <n v="0"/>
    <n v="0"/>
    <n v="3"/>
    <n v="4"/>
    <n v="0"/>
    <n v="0"/>
    <n v="0"/>
    <n v="0"/>
    <n v="0"/>
    <n v="3"/>
    <n v="4"/>
    <n v="0"/>
    <n v="0"/>
    <n v="0"/>
    <n v="0"/>
    <n v="0"/>
    <n v="0"/>
    <n v="0"/>
    <n v="0"/>
    <n v="0"/>
    <n v="0"/>
    <n v="0"/>
    <n v="0"/>
    <n v="0"/>
    <n v="0"/>
    <n v="0"/>
    <n v="0"/>
    <n v="0"/>
    <n v="0"/>
    <x v="0"/>
    <x v="1"/>
    <x v="0"/>
    <x v="0"/>
    <x v="0"/>
    <m/>
    <x v="0"/>
    <x v="0"/>
    <n v="13"/>
    <m/>
    <n v="7"/>
    <m/>
    <m/>
    <m/>
    <m/>
    <m/>
    <m/>
    <m/>
    <m/>
    <m/>
    <m/>
    <m/>
    <m/>
    <m/>
    <m/>
    <m/>
    <m/>
    <m/>
    <m/>
    <m/>
    <n v="7"/>
    <n v="7"/>
  </r>
  <r>
    <n v="2305"/>
    <x v="1"/>
    <s v="2018/1741"/>
    <s v="Balham Club, 7-9 Ramsden Road"/>
    <m/>
    <n v="528440"/>
    <n v="173367"/>
    <x v="3"/>
    <d v="2019-06-01T00:00:00"/>
    <m/>
    <n v="0"/>
    <n v="18"/>
    <n v="18"/>
    <n v="28"/>
    <n v="28"/>
    <x v="1"/>
    <s v="The demolition of existing building and redevelopment of the former bowls green (Use Class D2) and erection of a two storey building plus basement and roof level accommodation providing 18 residential units (Use Class C3) comprising market housing; erection of a two storey building plus roof level accommodation providing 10 residential units (Use Class C3) comprising affordable housing; 17 car parking spaces and 52 cycle parking spaces; and associated infrastructure works."/>
    <s v="PFLA"/>
    <d v="2018-04-26T00:00:00"/>
    <d v="2019-03-15T00:00:00"/>
    <x v="0"/>
    <s v="Nil"/>
    <m/>
    <s v="BF"/>
    <s v="NB"/>
    <x v="1"/>
    <x v="7"/>
    <n v="0.25900000333786"/>
    <d v="2019-06-01T00:00:00"/>
    <x v="1"/>
    <m/>
    <x v="0"/>
    <s v="M"/>
    <m/>
    <n v="17320226"/>
    <n v="0"/>
    <n v="16"/>
    <n v="0"/>
    <n v="2"/>
    <n v="0"/>
    <n v="0"/>
    <n v="2"/>
    <n v="11"/>
    <n v="5"/>
    <n v="0"/>
    <n v="0"/>
    <n v="0"/>
    <n v="0"/>
    <n v="2"/>
    <n v="3"/>
    <n v="0"/>
    <n v="0"/>
    <n v="0"/>
    <n v="0"/>
    <n v="0"/>
    <n v="0"/>
    <n v="8"/>
    <n v="5"/>
    <n v="0"/>
    <n v="0"/>
    <n v="0"/>
    <n v="0"/>
    <n v="0"/>
    <n v="0"/>
    <n v="0"/>
    <n v="0"/>
    <n v="0"/>
    <x v="5"/>
    <x v="0"/>
    <x v="0"/>
    <x v="0"/>
    <x v="0"/>
    <m/>
    <x v="0"/>
    <x v="0"/>
    <n v="4"/>
    <m/>
    <m/>
    <n v="18"/>
    <m/>
    <m/>
    <m/>
    <m/>
    <m/>
    <m/>
    <m/>
    <m/>
    <m/>
    <m/>
    <m/>
    <m/>
    <m/>
    <m/>
    <m/>
    <m/>
    <m/>
    <m/>
    <n v="18"/>
    <n v="18"/>
  </r>
  <r>
    <n v="2305"/>
    <x v="1"/>
    <s v="2018/1741"/>
    <s v="Balham Club, 7-9 Ramsden Road"/>
    <m/>
    <n v="528440"/>
    <n v="173367"/>
    <x v="3"/>
    <d v="2019-06-01T00:00:00"/>
    <m/>
    <n v="0"/>
    <n v="10"/>
    <n v="10"/>
    <n v="28"/>
    <n v="28"/>
    <x v="1"/>
    <s v="The demolition of existing building and redevelopment of the former bowls green (Use Class D2) and erection of a two storey building plus basement and roof level accommodation providing 18 residential units (Use Class C3) comprising market housing; erection of a two storey building plus roof level accommodation providing 10 residential units (Use Class C3) comprising affordable housing; 17 car parking spaces and 52 cycle parking spaces; and associated infrastructure works."/>
    <s v="PFLA"/>
    <d v="2018-04-26T00:00:00"/>
    <d v="2019-03-15T00:00:00"/>
    <x v="0"/>
    <s v="Nil"/>
    <m/>
    <s v="BF"/>
    <s v="NB"/>
    <x v="1"/>
    <x v="7"/>
    <n v="0.143999993801117"/>
    <d v="2019-06-01T00:00:00"/>
    <x v="1"/>
    <m/>
    <x v="1"/>
    <s v="ISO"/>
    <m/>
    <n v="17320226"/>
    <n v="0"/>
    <n v="9"/>
    <n v="0"/>
    <n v="1"/>
    <n v="0"/>
    <n v="6"/>
    <n v="1"/>
    <n v="3"/>
    <n v="0"/>
    <n v="0"/>
    <n v="0"/>
    <n v="0"/>
    <n v="6"/>
    <n v="1"/>
    <n v="3"/>
    <n v="0"/>
    <n v="0"/>
    <n v="0"/>
    <n v="0"/>
    <n v="0"/>
    <n v="0"/>
    <n v="0"/>
    <n v="0"/>
    <n v="0"/>
    <n v="0"/>
    <n v="0"/>
    <n v="0"/>
    <n v="0"/>
    <n v="0"/>
    <n v="0"/>
    <n v="0"/>
    <n v="0"/>
    <x v="5"/>
    <x v="0"/>
    <x v="0"/>
    <x v="0"/>
    <x v="0"/>
    <m/>
    <x v="0"/>
    <x v="0"/>
    <n v="4"/>
    <m/>
    <m/>
    <n v="10"/>
    <m/>
    <m/>
    <m/>
    <m/>
    <m/>
    <m/>
    <m/>
    <m/>
    <m/>
    <m/>
    <m/>
    <m/>
    <m/>
    <m/>
    <m/>
    <m/>
    <m/>
    <m/>
    <n v="10"/>
    <n v="10"/>
  </r>
  <r>
    <n v="2329"/>
    <x v="1"/>
    <s v="2010/2280"/>
    <s v="312-320 Earlsfield Road"/>
    <m/>
    <n v="526048"/>
    <n v="173206"/>
    <x v="8"/>
    <d v="2020-03-31T00:00:00"/>
    <m/>
    <n v="0"/>
    <n v="6"/>
    <n v="6"/>
    <n v="6"/>
    <n v="6"/>
    <x v="0"/>
    <s v="Erection of a three storey building to provide 3 x 1-bed and 3 x 2-bed flats (including one wheelchair unit) with cycle parking, one disabled parking space and refuse store accessed from Algarve Road."/>
    <s v="PF"/>
    <d v="2010-06-24T00:00:00"/>
    <d v="2010-08-24T00:00:00"/>
    <x v="0"/>
    <s v="Nil"/>
    <m/>
    <s v="BF"/>
    <s v="NB"/>
    <x v="0"/>
    <x v="5"/>
    <n v="3.4000001847744002E-2"/>
    <d v="2020-03-31T00:00:00"/>
    <x v="1"/>
    <m/>
    <x v="2"/>
    <s v="AS"/>
    <m/>
    <m/>
    <n v="1"/>
    <n v="0"/>
    <n v="1"/>
    <n v="0"/>
    <n v="0"/>
    <n v="3"/>
    <n v="3"/>
    <n v="0"/>
    <n v="0"/>
    <n v="0"/>
    <n v="0"/>
    <n v="0"/>
    <n v="3"/>
    <n v="3"/>
    <n v="0"/>
    <n v="0"/>
    <n v="0"/>
    <n v="0"/>
    <n v="0"/>
    <n v="0"/>
    <n v="0"/>
    <n v="0"/>
    <n v="0"/>
    <n v="0"/>
    <n v="0"/>
    <n v="0"/>
    <n v="0"/>
    <n v="0"/>
    <n v="0"/>
    <n v="0"/>
    <n v="0"/>
    <n v="0"/>
    <x v="0"/>
    <x v="0"/>
    <x v="0"/>
    <x v="0"/>
    <x v="0"/>
    <m/>
    <x v="0"/>
    <x v="1"/>
    <n v="3"/>
    <m/>
    <n v="3"/>
    <n v="3"/>
    <m/>
    <m/>
    <m/>
    <m/>
    <m/>
    <m/>
    <m/>
    <m/>
    <m/>
    <m/>
    <m/>
    <m/>
    <m/>
    <m/>
    <m/>
    <m/>
    <m/>
    <m/>
    <n v="6"/>
    <n v="6"/>
  </r>
  <r>
    <n v="2338"/>
    <x v="1"/>
    <s v="2014/4360"/>
    <s v="56-64 Latchmere Road"/>
    <m/>
    <n v="527689"/>
    <n v="175864"/>
    <x v="9"/>
    <d v="2018-02-23T00:00:00"/>
    <m/>
    <n v="0"/>
    <n v="1"/>
    <n v="1"/>
    <n v="1"/>
    <n v="1"/>
    <x v="0"/>
    <s v="Erection of roof extension (changing from pitched roof to flat roof) to create an additional storey of accommodation to provide a two bedroom apartment with associated front and rear roof terraces; additional rooflights; 6x projecting solar panels; and balustrade around the existing fourth floor flat roofed wing."/>
    <s v="PF"/>
    <d v="2014-10-13T00:00:00"/>
    <d v="2015-02-27T00:00:00"/>
    <x v="0"/>
    <s v="Nil"/>
    <m/>
    <s v="BF"/>
    <s v="NB"/>
    <x v="0"/>
    <x v="5"/>
    <n v="8.0000003799796104E-3"/>
    <d v="2018-02-23T00:00:00"/>
    <x v="0"/>
    <m/>
    <x v="0"/>
    <s v="M"/>
    <m/>
    <m/>
    <n v="0"/>
    <n v="0"/>
    <n v="0"/>
    <n v="0"/>
    <n v="0"/>
    <n v="0"/>
    <n v="1"/>
    <n v="0"/>
    <n v="0"/>
    <n v="0"/>
    <n v="0"/>
    <n v="0"/>
    <n v="0"/>
    <n v="1"/>
    <n v="0"/>
    <n v="0"/>
    <n v="0"/>
    <n v="0"/>
    <n v="0"/>
    <n v="0"/>
    <n v="0"/>
    <n v="0"/>
    <n v="0"/>
    <n v="0"/>
    <n v="0"/>
    <n v="0"/>
    <n v="0"/>
    <n v="0"/>
    <n v="0"/>
    <n v="0"/>
    <n v="0"/>
    <n v="0"/>
    <x v="0"/>
    <x v="0"/>
    <x v="0"/>
    <x v="0"/>
    <x v="0"/>
    <m/>
    <x v="0"/>
    <x v="0"/>
    <n v="2"/>
    <m/>
    <n v="1"/>
    <m/>
    <m/>
    <m/>
    <m/>
    <m/>
    <m/>
    <m/>
    <m/>
    <m/>
    <m/>
    <m/>
    <m/>
    <m/>
    <m/>
    <m/>
    <m/>
    <m/>
    <m/>
    <m/>
    <n v="1"/>
    <n v="1"/>
  </r>
  <r>
    <n v="2411"/>
    <x v="1"/>
    <s v="2017/1247"/>
    <s v="South Lambeth Goods Depot, Cringle St./Battersea Park Rd., Kirtling Street (Battersea Power Station)"/>
    <s v="Phase 2 (Power Station)"/>
    <n v="528934"/>
    <n v="177496"/>
    <x v="12"/>
    <d v="2014-02-28T00:00:00"/>
    <m/>
    <n v="0"/>
    <n v="253"/>
    <n v="253"/>
    <n v="253"/>
    <n v="253"/>
    <x v="1"/>
    <s v="Application under Section 96a of the Town and Country Planning Act for non-material amendments to planning permission 2013/6639 approved 29/04/2014 for the restoration, extension, alterations and conversion of the Battersea Power Station and redevelopment of the surrounding land (the amendments relate to confirmation of additional demolition and repair works, reconfiguration of retail layouts, the change of use of the hotel to an office/members club, the creation of a publically accessible south terrace, the removal of the body of water between the Halo Road and the Power Station and replacement 'Circle Garden' and creation of three retail pods within the 'Circle Garden')."/>
    <s v="S96A"/>
    <d v="2017-03-23T00:00:00"/>
    <d v="2017-05-18T00:00:00"/>
    <x v="0"/>
    <s v="Nil"/>
    <m/>
    <s v="BF"/>
    <s v="MIX"/>
    <x v="3"/>
    <x v="7"/>
    <n v="0.31900000572204601"/>
    <d v="2014-02-28T00:00:00"/>
    <x v="0"/>
    <m/>
    <x v="0"/>
    <s v="M"/>
    <s v="2.1.1"/>
    <m/>
    <n v="253"/>
    <n v="0"/>
    <n v="25"/>
    <n v="0"/>
    <n v="73"/>
    <n v="48"/>
    <n v="79"/>
    <n v="41"/>
    <n v="9"/>
    <n v="3"/>
    <n v="0"/>
    <n v="73"/>
    <n v="48"/>
    <n v="79"/>
    <n v="41"/>
    <n v="9"/>
    <n v="3"/>
    <n v="0"/>
    <n v="0"/>
    <n v="0"/>
    <n v="0"/>
    <n v="0"/>
    <n v="0"/>
    <n v="0"/>
    <n v="0"/>
    <n v="0"/>
    <n v="0"/>
    <n v="0"/>
    <n v="0"/>
    <n v="0"/>
    <n v="0"/>
    <n v="0"/>
    <x v="0"/>
    <x v="1"/>
    <x v="0"/>
    <x v="0"/>
    <x v="0"/>
    <m/>
    <x v="0"/>
    <x v="0"/>
    <n v="21"/>
    <m/>
    <n v="253"/>
    <m/>
    <m/>
    <m/>
    <m/>
    <m/>
    <m/>
    <m/>
    <m/>
    <m/>
    <m/>
    <m/>
    <m/>
    <m/>
    <m/>
    <m/>
    <m/>
    <m/>
    <m/>
    <m/>
    <n v="253"/>
    <n v="253"/>
  </r>
  <r>
    <n v="2411"/>
    <x v="1"/>
    <s v="2017/5353"/>
    <s v="South Lambeth Goods Depot, Cringle St./Battersea Park Rd., Kirtling Street (Battersea Power Station)"/>
    <s v="Phase 3A"/>
    <n v="528934"/>
    <n v="177496"/>
    <x v="12"/>
    <d v="2016-05-16T00:00:00"/>
    <m/>
    <n v="0"/>
    <n v="536"/>
    <n v="536"/>
    <n v="1363"/>
    <n v="1363"/>
    <x v="1"/>
    <s v="Approval of details pursuant to Condition 18 (Phasing Plan to deliver Phase 3 in two separate parts) of planning permission 2014/2837, dated 05/12/2014 (for restoration, extension, alterations and conversion of the Power Station building to provide retail, residential flats, business, cultural, hotel and conference facilities, event space and incidental accommodation; the demolition of other buildings and  development of the land surrounding the Power Station and adjacent/ nearby sites to provide retail, restaurants bars and cafes, offices, hotel, residential, community and cultural space, assembly and leisure space, student housing, serviced apartments, an energy centre and basement plant; parking for cars, coaches, motorcycles and bicycles; new access and internal road system and servicing; 'off-site' highway works; works to the jetty to facilitate river transport and fuel delivery, including alterations to the river wall; provision of open space and landscaping works. (application for outline planning permission with detailed elements provided in relation to the Power Station itself, and the jetty and river structures))."/>
    <s v="DT"/>
    <d v="2017-10-02T00:00:00"/>
    <d v="2017-11-27T00:00:00"/>
    <x v="0"/>
    <s v="Nil"/>
    <m/>
    <s v="BF"/>
    <s v="NB"/>
    <x v="1"/>
    <x v="7"/>
    <n v="0.67699998617172197"/>
    <d v="2016-05-16T00:00:00"/>
    <x v="0"/>
    <m/>
    <x v="0"/>
    <s v="M"/>
    <s v="2.1.1"/>
    <m/>
    <n v="536"/>
    <n v="0"/>
    <n v="54"/>
    <n v="0"/>
    <n v="57"/>
    <n v="65"/>
    <n v="234"/>
    <n v="131"/>
    <n v="16"/>
    <n v="33"/>
    <n v="0"/>
    <n v="57"/>
    <n v="65"/>
    <n v="234"/>
    <n v="131"/>
    <n v="16"/>
    <n v="33"/>
    <n v="0"/>
    <n v="0"/>
    <n v="0"/>
    <n v="0"/>
    <n v="0"/>
    <n v="0"/>
    <n v="0"/>
    <n v="0"/>
    <n v="0"/>
    <n v="0"/>
    <n v="0"/>
    <n v="0"/>
    <n v="0"/>
    <n v="0"/>
    <n v="0"/>
    <x v="0"/>
    <x v="1"/>
    <x v="0"/>
    <x v="0"/>
    <x v="0"/>
    <m/>
    <x v="0"/>
    <x v="0"/>
    <n v="21"/>
    <m/>
    <n v="536"/>
    <m/>
    <m/>
    <m/>
    <m/>
    <m/>
    <m/>
    <m/>
    <m/>
    <m/>
    <m/>
    <m/>
    <m/>
    <m/>
    <m/>
    <m/>
    <m/>
    <m/>
    <m/>
    <m/>
    <n v="536"/>
    <n v="536"/>
  </r>
  <r>
    <n v="2411"/>
    <x v="1"/>
    <s v="2017/5353"/>
    <s v="South Lambeth Goods Depot, Cringle St./Battersea Park Rd., Kirtling Street (Battersea Power Station)"/>
    <s v="Phases 3B and 3C"/>
    <n v="528934"/>
    <n v="177496"/>
    <x v="12"/>
    <d v="2016-05-16T00:00:00"/>
    <m/>
    <n v="0"/>
    <n v="827"/>
    <n v="827"/>
    <n v="1363"/>
    <n v="1363"/>
    <x v="1"/>
    <s v="Approval of details pursuant to Condition 18 (Phasing Plan to deliver Phase 3 in two separate parts) of planning permission 2014/2837, dated 05/12/2014 (for restoration, extension, alterations and conversion of the Power Station building to provide retail, residential flats, business, cultural, hotel and conference facilities, event space and incidental accommodation; the demolition of other buildings and  development of the land surrounding the Power Station and adjacent/ nearby sites to provide retail, restaurants bars and cafes, offices, hotel, residential, community and cultural space, assembly and leisure space, student housing, serviced apartments, an energy centre and basement plant; parking for cars, coaches, motorcycles and bicycles; new access and internal road system and servicing; 'off-site' highway works; works to the jetty to facilitate river transport and fuel delivery, including alterations to the river wall; provision of open space and landscaping works. (application for outline planning permission with detailed elements provided in relation to the Power Station itself, and the jetty and river structures))."/>
    <s v="DT"/>
    <d v="2017-10-02T00:00:00"/>
    <d v="2017-11-27T00:00:00"/>
    <x v="0"/>
    <s v="Nil"/>
    <m/>
    <s v="BF"/>
    <s v="NB"/>
    <x v="1"/>
    <x v="7"/>
    <n v="1.0440000295639"/>
    <d v="2019-11-04T00:00:00"/>
    <x v="1"/>
    <m/>
    <x v="0"/>
    <s v="M"/>
    <s v="2.1.1"/>
    <m/>
    <n v="827"/>
    <n v="0"/>
    <n v="83"/>
    <n v="0"/>
    <n v="126"/>
    <n v="241"/>
    <n v="362"/>
    <n v="68"/>
    <n v="11"/>
    <n v="19"/>
    <n v="0"/>
    <n v="126"/>
    <n v="241"/>
    <n v="362"/>
    <n v="68"/>
    <n v="11"/>
    <n v="19"/>
    <n v="0"/>
    <n v="0"/>
    <n v="0"/>
    <n v="0"/>
    <n v="0"/>
    <n v="0"/>
    <n v="0"/>
    <n v="0"/>
    <n v="0"/>
    <n v="0"/>
    <n v="0"/>
    <n v="0"/>
    <n v="0"/>
    <n v="0"/>
    <n v="0"/>
    <x v="0"/>
    <x v="1"/>
    <x v="0"/>
    <x v="0"/>
    <x v="0"/>
    <m/>
    <x v="0"/>
    <x v="0"/>
    <n v="21"/>
    <m/>
    <m/>
    <n v="827"/>
    <m/>
    <m/>
    <m/>
    <m/>
    <m/>
    <m/>
    <m/>
    <m/>
    <m/>
    <m/>
    <m/>
    <m/>
    <m/>
    <m/>
    <m/>
    <m/>
    <m/>
    <m/>
    <n v="827"/>
    <n v="827"/>
  </r>
  <r>
    <n v="2427"/>
    <x v="1"/>
    <s v="2017/1047"/>
    <s v="Land rear of 86-90, Chatham Road (86a and 86b)"/>
    <m/>
    <n v="527695"/>
    <n v="174450"/>
    <x v="4"/>
    <d v="2019-03-31T00:00:00"/>
    <m/>
    <n v="1"/>
    <n v="3"/>
    <n v="2"/>
    <n v="3"/>
    <n v="2"/>
    <x v="0"/>
    <s v="Alterations including erection of single-storey rear ground floor extension and extension at second floor level; removal of front steps and front door lowered in connection with conversion of property into 1 x 3 and 2 x 2 bed flats.  Formation of rear balconies at first and second floor levels. Provision of refuse/cycle storage and two additional parking spaces."/>
    <s v="PF"/>
    <d v="2017-03-14T00:00:00"/>
    <d v="2017-08-31T00:00:00"/>
    <x v="0"/>
    <s v="Nil"/>
    <m/>
    <s v="BF"/>
    <s v="CON"/>
    <x v="0"/>
    <x v="2"/>
    <n v="5.9999998658895499E-2"/>
    <d v="2019-03-31T00:00:00"/>
    <x v="0"/>
    <m/>
    <x v="0"/>
    <s v="M"/>
    <m/>
    <m/>
    <n v="0"/>
    <n v="0"/>
    <n v="0"/>
    <n v="0"/>
    <n v="0"/>
    <n v="0"/>
    <n v="2"/>
    <n v="1"/>
    <n v="0"/>
    <n v="-1"/>
    <n v="0"/>
    <n v="0"/>
    <n v="0"/>
    <n v="2"/>
    <n v="1"/>
    <n v="0"/>
    <n v="0"/>
    <n v="0"/>
    <n v="0"/>
    <n v="0"/>
    <n v="0"/>
    <n v="0"/>
    <n v="0"/>
    <n v="-1"/>
    <n v="0"/>
    <n v="0"/>
    <n v="0"/>
    <n v="0"/>
    <n v="0"/>
    <n v="0"/>
    <n v="0"/>
    <n v="0"/>
    <x v="0"/>
    <x v="0"/>
    <x v="0"/>
    <x v="0"/>
    <x v="0"/>
    <m/>
    <x v="0"/>
    <x v="0"/>
    <n v="13"/>
    <m/>
    <n v="2"/>
    <m/>
    <m/>
    <m/>
    <m/>
    <m/>
    <m/>
    <m/>
    <m/>
    <m/>
    <m/>
    <m/>
    <m/>
    <m/>
    <m/>
    <m/>
    <m/>
    <m/>
    <m/>
    <m/>
    <n v="2"/>
    <n v="2"/>
  </r>
  <r>
    <n v="2552"/>
    <x v="1"/>
    <s v="2018/6049"/>
    <s v="14-16 Tooting High Street (Flats 1-9 &amp; 12-15)"/>
    <s v="conversion of existing"/>
    <n v="527504"/>
    <n v="171615"/>
    <x v="1"/>
    <d v="2020-01-13T00:00:00"/>
    <m/>
    <n v="1"/>
    <n v="1"/>
    <n v="0"/>
    <n v="3"/>
    <n v="2"/>
    <x v="0"/>
    <s v="Alterations including erection of single storey rear extension at second floor level in connection with creation of 2 x studio flats with roof terraces and obscured glazed screening. Alterations and extensions to existing second floor 2 bedroom flat (Flat 6) and 1 bedroom flat (Flat 7) to provide to 2 x 2 bedroom units with roof terraces and 1.8m high obscured glazed screenings. Alterations to existing first floor 1 bedroom flat (Flat 12) and studio flat (flat 13) to accommodate new staircase and provide 2 x 2 studio flats."/>
    <s v="PF"/>
    <d v="2019-01-25T00:00:00"/>
    <d v="2019-03-22T00:00:00"/>
    <x v="0"/>
    <s v="Nil"/>
    <m/>
    <s v="BF"/>
    <s v="EXT"/>
    <x v="0"/>
    <x v="0"/>
    <n v="2.0000000949949E-3"/>
    <d v="2020-01-13T00:00:00"/>
    <x v="1"/>
    <m/>
    <x v="0"/>
    <s v="M"/>
    <m/>
    <m/>
    <n v="0"/>
    <n v="0"/>
    <n v="0"/>
    <n v="0"/>
    <n v="0"/>
    <n v="-1"/>
    <n v="1"/>
    <n v="0"/>
    <n v="0"/>
    <n v="0"/>
    <n v="0"/>
    <n v="0"/>
    <n v="-1"/>
    <n v="1"/>
    <n v="0"/>
    <n v="0"/>
    <n v="0"/>
    <n v="0"/>
    <n v="0"/>
    <n v="0"/>
    <n v="0"/>
    <n v="0"/>
    <n v="0"/>
    <n v="0"/>
    <n v="0"/>
    <n v="0"/>
    <n v="0"/>
    <n v="0"/>
    <n v="0"/>
    <n v="0"/>
    <n v="0"/>
    <n v="0"/>
    <x v="4"/>
    <x v="0"/>
    <x v="0"/>
    <x v="0"/>
    <x v="0"/>
    <m/>
    <x v="0"/>
    <x v="0"/>
    <n v="14"/>
    <m/>
    <n v="0"/>
    <n v="0"/>
    <m/>
    <m/>
    <m/>
    <m/>
    <m/>
    <m/>
    <m/>
    <m/>
    <m/>
    <m/>
    <m/>
    <m/>
    <m/>
    <m/>
    <m/>
    <m/>
    <m/>
    <m/>
    <n v="0"/>
    <n v="0"/>
  </r>
  <r>
    <n v="2552"/>
    <x v="1"/>
    <s v="2018/6049"/>
    <s v="14-16 Tooting High Street (Flats 1-9 &amp; 12-15)"/>
    <s v="extn to existing"/>
    <n v="527504"/>
    <n v="171615"/>
    <x v="1"/>
    <d v="2020-01-13T00:00:00"/>
    <m/>
    <n v="0"/>
    <n v="2"/>
    <n v="2"/>
    <n v="3"/>
    <n v="2"/>
    <x v="0"/>
    <s v="Alterations including erection of single storey rear extension at second floor level in connection with creation of 2 x studio flats with roof terraces and obscured glazed screening. Alterations and extensions to existing second floor 2 bedroom flat (Flat 6) and 1 bedroom flat (Flat 7) to provide to 2 x 2 bedroom units with roof terraces and 1.8m high obscured glazed screenings. Alterations to existing first floor 1 bedroom flat (Flat 12) and studio flat (flat 13) to accommodate new staircase and provide 2 x 2 studio flats."/>
    <s v="PF"/>
    <d v="2019-01-25T00:00:00"/>
    <d v="2019-03-22T00:00:00"/>
    <x v="0"/>
    <s v="Nil"/>
    <m/>
    <s v="BF"/>
    <s v="EXT"/>
    <x v="0"/>
    <x v="3"/>
    <n v="6.0000000521540598E-3"/>
    <d v="2020-01-13T00:00:00"/>
    <x v="1"/>
    <m/>
    <x v="0"/>
    <s v="M"/>
    <m/>
    <m/>
    <n v="0"/>
    <n v="0"/>
    <n v="0"/>
    <n v="0"/>
    <n v="2"/>
    <n v="0"/>
    <n v="0"/>
    <n v="0"/>
    <n v="0"/>
    <n v="0"/>
    <n v="0"/>
    <n v="2"/>
    <n v="0"/>
    <n v="0"/>
    <n v="0"/>
    <n v="0"/>
    <n v="0"/>
    <n v="0"/>
    <n v="0"/>
    <n v="0"/>
    <n v="0"/>
    <n v="0"/>
    <n v="0"/>
    <n v="0"/>
    <n v="0"/>
    <n v="0"/>
    <n v="0"/>
    <n v="0"/>
    <n v="0"/>
    <n v="0"/>
    <n v="0"/>
    <n v="0"/>
    <x v="4"/>
    <x v="0"/>
    <x v="0"/>
    <x v="0"/>
    <x v="0"/>
    <m/>
    <x v="0"/>
    <x v="0"/>
    <n v="14"/>
    <m/>
    <n v="1"/>
    <n v="1"/>
    <m/>
    <m/>
    <m/>
    <m/>
    <m/>
    <m/>
    <m/>
    <m/>
    <m/>
    <m/>
    <m/>
    <m/>
    <m/>
    <m/>
    <m/>
    <m/>
    <m/>
    <m/>
    <n v="2"/>
    <n v="2"/>
  </r>
  <r>
    <n v="2820"/>
    <x v="1"/>
    <s v="2018/3653"/>
    <s v="336 Garratt Lane"/>
    <s v="CONVERSION"/>
    <n v="525961"/>
    <n v="173072"/>
    <x v="8"/>
    <d v="2018-03-31T00:00:00"/>
    <m/>
    <n v="1"/>
    <n v="1"/>
    <n v="0"/>
    <n v="2"/>
    <n v="1"/>
    <x v="0"/>
    <s v="Alterations including erection of single to three-storey rear extension with front and rear mansard to create additional floor of accommodation; formation of rear roof terraces at first and second floor levels, in connection with provision of additional commercial floorspace on the ground floor and 2 x 1 bedroom flats on upper floors. Installation of new shopfront."/>
    <s v="PF"/>
    <d v="2018-09-13T00:00:00"/>
    <d v="2019-01-03T00:00:00"/>
    <x v="0"/>
    <s v="Nil"/>
    <m/>
    <s v="BF"/>
    <s v="MIX"/>
    <x v="0"/>
    <x v="0"/>
    <n v="3.0000000260770299E-3"/>
    <d v="2018-03-31T00:00:00"/>
    <x v="0"/>
    <m/>
    <x v="0"/>
    <s v="M"/>
    <m/>
    <m/>
    <n v="0"/>
    <n v="0"/>
    <n v="0"/>
    <n v="0"/>
    <n v="0"/>
    <n v="0"/>
    <n v="0"/>
    <n v="0"/>
    <n v="0"/>
    <n v="0"/>
    <n v="0"/>
    <n v="0"/>
    <n v="0"/>
    <n v="0"/>
    <n v="0"/>
    <n v="0"/>
    <n v="0"/>
    <n v="0"/>
    <n v="0"/>
    <n v="0"/>
    <n v="0"/>
    <n v="0"/>
    <n v="0"/>
    <n v="0"/>
    <n v="0"/>
    <n v="0"/>
    <n v="0"/>
    <n v="0"/>
    <n v="0"/>
    <n v="0"/>
    <n v="0"/>
    <n v="0"/>
    <x v="0"/>
    <x v="0"/>
    <x v="0"/>
    <x v="0"/>
    <x v="0"/>
    <m/>
    <x v="0"/>
    <x v="1"/>
    <n v="13"/>
    <m/>
    <n v="0"/>
    <m/>
    <m/>
    <m/>
    <m/>
    <m/>
    <m/>
    <m/>
    <m/>
    <m/>
    <m/>
    <m/>
    <m/>
    <m/>
    <m/>
    <m/>
    <m/>
    <m/>
    <m/>
    <m/>
    <n v="0"/>
    <n v="0"/>
  </r>
  <r>
    <n v="2820"/>
    <x v="1"/>
    <s v="2018/3653"/>
    <s v="336 Garratt Lane"/>
    <s v="Extn to existing"/>
    <n v="525961"/>
    <n v="173072"/>
    <x v="8"/>
    <d v="2018-03-31T00:00:00"/>
    <m/>
    <n v="0"/>
    <n v="1"/>
    <n v="1"/>
    <n v="2"/>
    <n v="1"/>
    <x v="0"/>
    <s v="Alterations including erection of single to three-storey rear extension with front and rear mansard to create additional floor of accommodation; formation of rear roof terraces at first and second floor levels, in connection with provision of additional commercial floorspace on the ground floor and 2 x 1 bedroom flats on upper floors. Installation of new shopfront."/>
    <s v="PF"/>
    <d v="2018-09-13T00:00:00"/>
    <d v="2019-01-03T00:00:00"/>
    <x v="0"/>
    <s v="Nil"/>
    <m/>
    <s v="BF"/>
    <s v="MIX"/>
    <x v="0"/>
    <x v="3"/>
    <n v="3.0000000260770299E-3"/>
    <d v="2018-03-31T00:00:00"/>
    <x v="0"/>
    <m/>
    <x v="0"/>
    <s v="M"/>
    <m/>
    <m/>
    <n v="0"/>
    <n v="0"/>
    <n v="0"/>
    <n v="0"/>
    <n v="0"/>
    <n v="1"/>
    <n v="0"/>
    <n v="0"/>
    <n v="0"/>
    <n v="0"/>
    <n v="0"/>
    <n v="0"/>
    <n v="1"/>
    <n v="0"/>
    <n v="0"/>
    <n v="0"/>
    <n v="0"/>
    <n v="0"/>
    <n v="0"/>
    <n v="0"/>
    <n v="0"/>
    <n v="0"/>
    <n v="0"/>
    <n v="0"/>
    <n v="0"/>
    <n v="0"/>
    <n v="0"/>
    <n v="0"/>
    <n v="0"/>
    <n v="0"/>
    <n v="0"/>
    <n v="0"/>
    <x v="0"/>
    <x v="0"/>
    <x v="0"/>
    <x v="0"/>
    <x v="0"/>
    <m/>
    <x v="0"/>
    <x v="1"/>
    <n v="13"/>
    <m/>
    <n v="1"/>
    <m/>
    <m/>
    <m/>
    <m/>
    <m/>
    <m/>
    <m/>
    <m/>
    <m/>
    <m/>
    <m/>
    <m/>
    <m/>
    <m/>
    <m/>
    <m/>
    <m/>
    <m/>
    <m/>
    <n v="1"/>
    <n v="1"/>
  </r>
  <r>
    <n v="2825"/>
    <x v="1"/>
    <s v="2016/6740"/>
    <s v="64 Lyford Road"/>
    <m/>
    <n v="527106"/>
    <n v="173327"/>
    <x v="17"/>
    <d v="2017-03-31T00:00:00"/>
    <m/>
    <n v="1"/>
    <n v="1"/>
    <n v="0"/>
    <n v="1"/>
    <n v="0"/>
    <x v="0"/>
    <s v="Demolition of existing building and erection of a two-storey (with accommodation at basement and roof levels) detached house including side lightwells and rear first floor level terrace; replacement boundary treatment."/>
    <s v="PF"/>
    <d v="2016-11-18T00:00:00"/>
    <d v="2017-03-30T00:00:00"/>
    <x v="0"/>
    <s v="Nil"/>
    <m/>
    <s v="BF"/>
    <s v="NB"/>
    <x v="0"/>
    <x v="5"/>
    <n v="9.3000002205371898E-2"/>
    <d v="2017-03-31T00:00:00"/>
    <x v="0"/>
    <m/>
    <x v="0"/>
    <s v="M"/>
    <m/>
    <m/>
    <n v="0"/>
    <n v="0"/>
    <n v="0"/>
    <n v="0"/>
    <n v="0"/>
    <n v="0"/>
    <n v="0"/>
    <n v="0"/>
    <n v="0"/>
    <n v="0"/>
    <n v="0"/>
    <n v="0"/>
    <n v="0"/>
    <n v="0"/>
    <n v="0"/>
    <n v="0"/>
    <n v="0"/>
    <n v="0"/>
    <n v="0"/>
    <n v="0"/>
    <n v="0"/>
    <n v="0"/>
    <n v="0"/>
    <n v="0"/>
    <n v="0"/>
    <n v="0"/>
    <n v="0"/>
    <n v="0"/>
    <n v="0"/>
    <n v="0"/>
    <n v="0"/>
    <n v="0"/>
    <x v="0"/>
    <x v="0"/>
    <x v="0"/>
    <x v="0"/>
    <x v="0"/>
    <m/>
    <x v="0"/>
    <x v="0"/>
    <n v="2"/>
    <m/>
    <n v="0"/>
    <m/>
    <m/>
    <m/>
    <m/>
    <m/>
    <m/>
    <m/>
    <m/>
    <m/>
    <m/>
    <m/>
    <m/>
    <m/>
    <m/>
    <m/>
    <m/>
    <m/>
    <m/>
    <m/>
    <n v="0"/>
    <n v="0"/>
  </r>
  <r>
    <n v="2978"/>
    <x v="1"/>
    <s v="2017/0927"/>
    <s v="Garden Flat, 127 Trinity Road"/>
    <m/>
    <n v="527727"/>
    <n v="172703"/>
    <x v="3"/>
    <d v="2019-03-31T00:00:00"/>
    <m/>
    <n v="1"/>
    <n v="1"/>
    <n v="0"/>
    <n v="1"/>
    <n v="0"/>
    <x v="0"/>
    <s v="Demolition of existing bungalow and erection of a two-storey plus basement 3-bedroom house with associated refuse, recycling and cycle storage."/>
    <s v="PF"/>
    <d v="2017-02-24T00:00:00"/>
    <d v="2017-04-21T00:00:00"/>
    <x v="0"/>
    <s v="Nil"/>
    <m/>
    <s v="BF"/>
    <s v="NB"/>
    <x v="0"/>
    <x v="5"/>
    <n v="3.70000004768372E-2"/>
    <d v="2019-03-31T00:00:00"/>
    <x v="0"/>
    <m/>
    <x v="0"/>
    <s v="M"/>
    <m/>
    <m/>
    <n v="0"/>
    <n v="0"/>
    <n v="0"/>
    <n v="0"/>
    <n v="0"/>
    <n v="-1"/>
    <n v="0"/>
    <n v="1"/>
    <n v="0"/>
    <n v="0"/>
    <n v="0"/>
    <n v="0"/>
    <n v="0"/>
    <n v="0"/>
    <n v="0"/>
    <n v="0"/>
    <n v="0"/>
    <n v="0"/>
    <n v="0"/>
    <n v="-1"/>
    <n v="0"/>
    <n v="1"/>
    <n v="0"/>
    <n v="0"/>
    <n v="0"/>
    <n v="0"/>
    <n v="0"/>
    <n v="0"/>
    <n v="0"/>
    <n v="0"/>
    <n v="0"/>
    <n v="0"/>
    <x v="0"/>
    <x v="0"/>
    <x v="0"/>
    <x v="0"/>
    <x v="0"/>
    <m/>
    <x v="0"/>
    <x v="0"/>
    <n v="2"/>
    <m/>
    <n v="0"/>
    <m/>
    <m/>
    <m/>
    <m/>
    <m/>
    <m/>
    <m/>
    <m/>
    <m/>
    <m/>
    <m/>
    <m/>
    <m/>
    <m/>
    <m/>
    <m/>
    <m/>
    <m/>
    <m/>
    <n v="0"/>
    <n v="0"/>
  </r>
  <r>
    <n v="3154"/>
    <x v="1"/>
    <s v="2018/3525"/>
    <s v="216-218 Upper Tooting Road"/>
    <s v="conversion"/>
    <n v="527643"/>
    <n v="171818"/>
    <x v="1"/>
    <d v="2019-03-31T00:00:00"/>
    <m/>
    <n v="2"/>
    <n v="4"/>
    <n v="2"/>
    <n v="7"/>
    <n v="5"/>
    <x v="0"/>
    <s v="Extensions and re-modelling of building adding two storeys to main building and 3/4 storeys at rear to form a 5 storey building consisting of seven flats (five additional flats) with formation of a roof terrace on top (5th) floor."/>
    <s v="PF"/>
    <d v="2018-07-13T00:00:00"/>
    <d v="2019-03-29T00:00:00"/>
    <x v="0"/>
    <s v="Nil"/>
    <m/>
    <s v="BF"/>
    <s v="EXT"/>
    <x v="0"/>
    <x v="3"/>
    <n v="6.0000000521540598E-3"/>
    <d v="2019-03-31T00:00:00"/>
    <x v="0"/>
    <m/>
    <x v="0"/>
    <s v="M"/>
    <s v="5.1"/>
    <m/>
    <n v="0"/>
    <n v="0"/>
    <n v="0"/>
    <n v="0"/>
    <n v="3"/>
    <n v="0"/>
    <n v="0"/>
    <n v="-1"/>
    <n v="0"/>
    <n v="0"/>
    <n v="0"/>
    <n v="3"/>
    <n v="0"/>
    <n v="0"/>
    <n v="-1"/>
    <n v="0"/>
    <n v="0"/>
    <n v="0"/>
    <n v="0"/>
    <n v="0"/>
    <n v="0"/>
    <n v="0"/>
    <n v="0"/>
    <n v="0"/>
    <n v="0"/>
    <n v="0"/>
    <n v="0"/>
    <n v="0"/>
    <n v="0"/>
    <n v="0"/>
    <n v="0"/>
    <n v="0"/>
    <x v="4"/>
    <x v="0"/>
    <x v="0"/>
    <x v="0"/>
    <x v="0"/>
    <m/>
    <x v="0"/>
    <x v="0"/>
    <n v="13"/>
    <m/>
    <n v="2"/>
    <m/>
    <m/>
    <m/>
    <m/>
    <m/>
    <m/>
    <m/>
    <m/>
    <m/>
    <m/>
    <m/>
    <m/>
    <m/>
    <m/>
    <m/>
    <m/>
    <m/>
    <m/>
    <m/>
    <n v="2"/>
    <n v="2"/>
  </r>
  <r>
    <n v="3154"/>
    <x v="1"/>
    <s v="2018/3525"/>
    <s v="216-218 Upper Tooting Road"/>
    <s v="extn to ex"/>
    <n v="527643"/>
    <n v="171818"/>
    <x v="1"/>
    <d v="2019-03-31T00:00:00"/>
    <m/>
    <n v="0"/>
    <n v="3"/>
    <n v="3"/>
    <n v="7"/>
    <n v="5"/>
    <x v="0"/>
    <s v="Extensions and re-modelling of building adding two storeys to main building and 3/4 storeys at rear to form a 5 storey building consisting of seven flats (five additional flats) with formation of a roof terrace on top (5th) floor."/>
    <s v="PF"/>
    <d v="2018-07-13T00:00:00"/>
    <d v="2019-03-29T00:00:00"/>
    <x v="0"/>
    <s v="Nil"/>
    <m/>
    <s v="BF"/>
    <s v="EXT"/>
    <x v="0"/>
    <x v="3"/>
    <n v="4.0000001899898104E-3"/>
    <d v="2019-03-31T00:00:00"/>
    <x v="0"/>
    <m/>
    <x v="0"/>
    <s v="M"/>
    <s v="5.1"/>
    <m/>
    <n v="0"/>
    <n v="0"/>
    <n v="0"/>
    <n v="0"/>
    <n v="0"/>
    <n v="3"/>
    <n v="0"/>
    <n v="0"/>
    <n v="0"/>
    <n v="0"/>
    <n v="0"/>
    <n v="0"/>
    <n v="3"/>
    <n v="0"/>
    <n v="0"/>
    <n v="0"/>
    <n v="0"/>
    <n v="0"/>
    <n v="0"/>
    <n v="0"/>
    <n v="0"/>
    <n v="0"/>
    <n v="0"/>
    <n v="0"/>
    <n v="0"/>
    <n v="0"/>
    <n v="0"/>
    <n v="0"/>
    <n v="0"/>
    <n v="0"/>
    <n v="0"/>
    <n v="0"/>
    <x v="4"/>
    <x v="0"/>
    <x v="0"/>
    <x v="0"/>
    <x v="0"/>
    <m/>
    <x v="0"/>
    <x v="0"/>
    <n v="13"/>
    <m/>
    <n v="3"/>
    <m/>
    <m/>
    <m/>
    <m/>
    <m/>
    <m/>
    <m/>
    <m/>
    <m/>
    <m/>
    <m/>
    <m/>
    <m/>
    <m/>
    <m/>
    <m/>
    <m/>
    <m/>
    <m/>
    <n v="3"/>
    <n v="3"/>
  </r>
  <r>
    <n v="3351"/>
    <x v="1"/>
    <s v="2017/0340"/>
    <s v="Former Caretaker House, Boyce House, Aldrington Road"/>
    <m/>
    <n v="529324"/>
    <n v="171420"/>
    <x v="7"/>
    <d v="2019-09-09T00:00:00"/>
    <m/>
    <n v="0"/>
    <n v="1"/>
    <n v="1"/>
    <n v="1"/>
    <n v="1"/>
    <x v="0"/>
    <s v="Demolition of existing structure, and the erection of 1 x 2-bedroom bungalow with private parking and garden, including works to surrounding trees."/>
    <s v="PF"/>
    <d v="2017-05-09T00:00:00"/>
    <d v="2017-07-04T00:00:00"/>
    <x v="0"/>
    <s v="Nil"/>
    <m/>
    <s v="BF"/>
    <s v="NB"/>
    <x v="0"/>
    <x v="5"/>
    <n v="4.9999998882412902E-3"/>
    <d v="2019-09-09T00:00:00"/>
    <x v="1"/>
    <m/>
    <x v="2"/>
    <s v="AC"/>
    <m/>
    <m/>
    <n v="0"/>
    <n v="0"/>
    <n v="0"/>
    <n v="0"/>
    <n v="0"/>
    <n v="0"/>
    <n v="1"/>
    <n v="0"/>
    <n v="0"/>
    <n v="0"/>
    <n v="0"/>
    <n v="0"/>
    <n v="0"/>
    <n v="0"/>
    <n v="0"/>
    <n v="0"/>
    <n v="0"/>
    <n v="0"/>
    <n v="0"/>
    <n v="0"/>
    <n v="1"/>
    <n v="0"/>
    <n v="0"/>
    <n v="0"/>
    <n v="0"/>
    <n v="0"/>
    <n v="0"/>
    <n v="0"/>
    <n v="0"/>
    <n v="0"/>
    <n v="0"/>
    <n v="0"/>
    <x v="0"/>
    <x v="0"/>
    <x v="0"/>
    <x v="0"/>
    <x v="0"/>
    <m/>
    <x v="0"/>
    <x v="0"/>
    <n v="2"/>
    <m/>
    <n v="1"/>
    <m/>
    <m/>
    <m/>
    <m/>
    <m/>
    <m/>
    <m/>
    <m/>
    <m/>
    <m/>
    <m/>
    <m/>
    <m/>
    <m/>
    <m/>
    <m/>
    <m/>
    <m/>
    <m/>
    <n v="1"/>
    <n v="1"/>
  </r>
  <r>
    <n v="3511"/>
    <x v="1"/>
    <s v="2018/5698"/>
    <s v="New Covent Garden Market, Nine Elms Lane (Combined Main Market, Entrance site and Thessaly College site)"/>
    <s v="N12"/>
    <n v="529369"/>
    <n v="177317"/>
    <x v="12"/>
    <d v="2019-07-26T00:00:00"/>
    <m/>
    <n v="0"/>
    <n v="13"/>
    <n v="13"/>
    <n v="559"/>
    <n v="559"/>
    <x v="1"/>
    <s v="Application for approval of reserved matters (Access, Layout, Appearance, Scale and Landscaping) for Phase 1B of the Northern Site Development Zone pursuant to part outline and part detailed planning permission 2014/2810, dated 11/02/15 &quot;For part outline and part detail planning permission for: (a) demolition of existing wholesale Fruit and Vegetable and Flower_x000d__x000a_Marketand ancillary buildings and structures, and residential building on Nine Elms Lane (apart from the existing multi storey car park); (b) Construction_x000d__x000a_ofmixed-use redevelopment comprising: a new Fruit and Vegetable Market and Flower Market and ancillary uses, including temporary and_x000d__x000a_permanentfaçade; refurbishment and extension of existing waste collection area (including rooftop sports pitches); residential dwellings; flexible_x000d__x000a_commercial uses, including retail, financial and professional services, café/restaurant, bar uses and hot food takeaways and offices; non-residential_x000d__x000a_institutions; assembly and leisure uses; temporary storage and distribution buildings and associated works; associated car, cycle and motorcycle_x000d__x000a_parking and servicing and new vehicle accesses, energy centres; and landscaping public realm and open space including part of the Linear Park._x000d__x000a_All matters reserved apart from access, details of all new markets and supporting buildings, and details of Building N8 and associated landscaping);_x000d__x000a_(c) Site clearance and enabling works. An Environmental Statement has been submitted with the application under The Town and Country Planning_x000d__x000a_(Environmental Impact Assessment) Regulations 2011.&quot;"/>
    <s v="DT"/>
    <d v="2018-11-29T00:00:00"/>
    <d v="2019-03-22T00:00:00"/>
    <x v="0"/>
    <s v="Nil"/>
    <m/>
    <s v="BF"/>
    <s v="NB"/>
    <x v="1"/>
    <x v="7"/>
    <n v="7.1999996900558499E-2"/>
    <d v="2019-12-01T00:00:00"/>
    <x v="1"/>
    <m/>
    <x v="1"/>
    <s v="ISO"/>
    <s v="2.1.27"/>
    <m/>
    <n v="13"/>
    <n v="0"/>
    <n v="0"/>
    <n v="0"/>
    <n v="0"/>
    <n v="6"/>
    <n v="6"/>
    <n v="1"/>
    <n v="0"/>
    <n v="0"/>
    <n v="0"/>
    <n v="0"/>
    <n v="6"/>
    <n v="6"/>
    <n v="1"/>
    <n v="0"/>
    <n v="0"/>
    <n v="0"/>
    <n v="0"/>
    <n v="0"/>
    <n v="0"/>
    <n v="0"/>
    <n v="0"/>
    <n v="0"/>
    <n v="0"/>
    <n v="0"/>
    <n v="0"/>
    <n v="0"/>
    <n v="0"/>
    <n v="0"/>
    <n v="0"/>
    <n v="0"/>
    <x v="0"/>
    <x v="1"/>
    <x v="0"/>
    <x v="0"/>
    <x v="0"/>
    <m/>
    <x v="0"/>
    <x v="0"/>
    <n v="21"/>
    <m/>
    <m/>
    <m/>
    <m/>
    <n v="13"/>
    <m/>
    <m/>
    <m/>
    <m/>
    <m/>
    <m/>
    <m/>
    <m/>
    <m/>
    <m/>
    <m/>
    <m/>
    <m/>
    <m/>
    <m/>
    <m/>
    <n v="13"/>
    <n v="13"/>
  </r>
  <r>
    <n v="3511"/>
    <x v="1"/>
    <s v="2019/2995"/>
    <s v="New Covent Garden Market, Nine Elms Lane (Combined Main Market, Entrance site and Thessaly College site)"/>
    <s v="N2a"/>
    <n v="529369"/>
    <n v="177317"/>
    <x v="12"/>
    <d v="2019-12-01T00:00:00"/>
    <m/>
    <n v="0"/>
    <n v="81"/>
    <n v="81"/>
    <n v="455"/>
    <n v="455"/>
    <x v="1"/>
    <s v="Application for approval of reserved matters (Access, Layout, Appearance, Scale and Landscaping) for the 'Phase 2' of the Northern Site Development Zone pursuant to part outline and part detailed planning permission 2014/2810, dated 11/02/15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DT"/>
    <d v="2019-07-12T00:00:00"/>
    <d v="2019-11-22T00:00:00"/>
    <x v="1"/>
    <s v="Nil"/>
    <m/>
    <s v="BF"/>
    <s v="NB"/>
    <x v="1"/>
    <x v="7"/>
    <n v="0.48800000548362699"/>
    <d v="2019-12-01T00:00:00"/>
    <x v="1"/>
    <m/>
    <x v="1"/>
    <s v="ISO"/>
    <s v="2.1.27"/>
    <m/>
    <n v="0"/>
    <n v="65"/>
    <n v="0"/>
    <n v="16"/>
    <n v="0"/>
    <n v="37"/>
    <n v="36"/>
    <n v="8"/>
    <n v="0"/>
    <n v="0"/>
    <n v="0"/>
    <n v="0"/>
    <n v="37"/>
    <n v="36"/>
    <n v="8"/>
    <n v="0"/>
    <n v="0"/>
    <n v="0"/>
    <n v="0"/>
    <n v="0"/>
    <n v="0"/>
    <n v="0"/>
    <n v="0"/>
    <n v="0"/>
    <n v="0"/>
    <n v="0"/>
    <n v="0"/>
    <n v="0"/>
    <n v="0"/>
    <n v="0"/>
    <n v="0"/>
    <n v="0"/>
    <x v="0"/>
    <x v="1"/>
    <x v="0"/>
    <x v="0"/>
    <x v="0"/>
    <m/>
    <x v="0"/>
    <x v="0"/>
    <n v="21"/>
    <m/>
    <m/>
    <m/>
    <m/>
    <n v="81"/>
    <m/>
    <m/>
    <m/>
    <m/>
    <m/>
    <m/>
    <m/>
    <m/>
    <m/>
    <m/>
    <m/>
    <m/>
    <m/>
    <m/>
    <m/>
    <m/>
    <n v="81"/>
    <n v="81"/>
  </r>
  <r>
    <n v="3511"/>
    <x v="1"/>
    <s v="2019/4186"/>
    <s v="New Covent Garden Market, Nine Elms Lane (Combined Main Market, Entrance site and Thessaly College site)"/>
    <s v="N8"/>
    <n v="529369"/>
    <n v="177317"/>
    <x v="12"/>
    <d v="2019-05-28T00:00:00"/>
    <m/>
    <n v="0"/>
    <n v="298"/>
    <n v="298"/>
    <n v="298"/>
    <n v="298"/>
    <x v="1"/>
    <s v="Section 96A application for non-material amendments (to the approved plans to increase the number of family-sized units within Building N8 and to the approved parameter plans for Phase 1B to increase the height of residential use in Buildings N9 and N10 and reduce plant space in these buildings and other design amendments to the external appearance of Building N8) to part outline and part detailed planning permission dated 11/02/15 ref. 2014/2810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 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S96A"/>
    <d v="2019-10-08T00:00:00"/>
    <d v="2019-10-23T00:00:00"/>
    <x v="1"/>
    <s v="Nil"/>
    <m/>
    <s v="BF"/>
    <s v="NB"/>
    <x v="1"/>
    <x v="7"/>
    <n v="2.0390000343322798"/>
    <d v="2019-05-28T00:00:00"/>
    <x v="1"/>
    <m/>
    <x v="0"/>
    <s v="M"/>
    <s v="2.1.27"/>
    <m/>
    <n v="0"/>
    <n v="0"/>
    <n v="0"/>
    <n v="0"/>
    <n v="0"/>
    <n v="67"/>
    <n v="100"/>
    <n v="109"/>
    <n v="22"/>
    <n v="0"/>
    <n v="0"/>
    <n v="0"/>
    <n v="67"/>
    <n v="100"/>
    <n v="109"/>
    <n v="22"/>
    <n v="0"/>
    <n v="0"/>
    <n v="0"/>
    <n v="0"/>
    <n v="0"/>
    <n v="0"/>
    <n v="0"/>
    <n v="0"/>
    <n v="0"/>
    <n v="0"/>
    <n v="0"/>
    <n v="0"/>
    <n v="0"/>
    <n v="0"/>
    <n v="0"/>
    <n v="0"/>
    <x v="0"/>
    <x v="1"/>
    <x v="0"/>
    <x v="0"/>
    <x v="0"/>
    <m/>
    <x v="0"/>
    <x v="0"/>
    <n v="21"/>
    <m/>
    <m/>
    <m/>
    <m/>
    <m/>
    <n v="298"/>
    <m/>
    <m/>
    <m/>
    <m/>
    <m/>
    <m/>
    <m/>
    <m/>
    <m/>
    <m/>
    <m/>
    <m/>
    <m/>
    <m/>
    <m/>
    <n v="298"/>
    <n v="298"/>
  </r>
  <r>
    <n v="3511"/>
    <x v="1"/>
    <s v="2019/4187"/>
    <s v="New Covent Garden Market, Nine Elms Lane (Combined Main Market, Entrance site and Thessaly College site)"/>
    <s v="N10"/>
    <n v="529369"/>
    <n v="177317"/>
    <x v="12"/>
    <d v="2019-07-26T00:00:00"/>
    <m/>
    <n v="0"/>
    <n v="316"/>
    <n v="316"/>
    <n v="542"/>
    <n v="542"/>
    <x v="1"/>
    <s v="Section 96A application for non-material amendments (alteration to the layouts of Buildings N9 and N10 to accommodate additional family units, alterations at ground floor to residential amenity areas and external design changes to Buildings N9 and N10) to Reserved Matters Approval ref. 2018/5698 dated 22/03/2019: &quot;Application for approval of reserved matters (Access, Layout, Appearance, Scale and Landscaping) for Phase 1B of the Northern Site Development Zone pursuant to part outline and part detailed planning permission 2014/2810, dated 11/02/15 &quot;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S96A"/>
    <d v="2019-10-08T00:00:00"/>
    <d v="2019-10-22T00:00:00"/>
    <x v="1"/>
    <s v="Nil"/>
    <m/>
    <s v="BF"/>
    <s v="NB"/>
    <x v="1"/>
    <x v="7"/>
    <n v="1.76400005817413"/>
    <d v="2019-07-26T00:00:00"/>
    <x v="1"/>
    <m/>
    <x v="0"/>
    <s v="M"/>
    <s v="2.1.27"/>
    <m/>
    <n v="288"/>
    <n v="0"/>
    <n v="28"/>
    <n v="0"/>
    <n v="0"/>
    <n v="98"/>
    <n v="134"/>
    <n v="74"/>
    <n v="10"/>
    <n v="0"/>
    <n v="0"/>
    <n v="0"/>
    <n v="98"/>
    <n v="134"/>
    <n v="74"/>
    <n v="10"/>
    <n v="0"/>
    <n v="0"/>
    <n v="0"/>
    <n v="0"/>
    <n v="0"/>
    <n v="0"/>
    <n v="0"/>
    <n v="0"/>
    <n v="0"/>
    <n v="0"/>
    <n v="0"/>
    <n v="0"/>
    <n v="0"/>
    <n v="0"/>
    <n v="0"/>
    <n v="0"/>
    <x v="0"/>
    <x v="1"/>
    <x v="0"/>
    <x v="0"/>
    <x v="0"/>
    <m/>
    <x v="0"/>
    <x v="0"/>
    <n v="21"/>
    <m/>
    <m/>
    <m/>
    <m/>
    <m/>
    <n v="316"/>
    <m/>
    <m/>
    <m/>
    <m/>
    <m/>
    <m/>
    <m/>
    <m/>
    <m/>
    <m/>
    <m/>
    <m/>
    <m/>
    <m/>
    <m/>
    <n v="316"/>
    <n v="316"/>
  </r>
  <r>
    <n v="3511"/>
    <x v="1"/>
    <s v="2019/4187"/>
    <s v="New Covent Garden Market, Nine Elms Lane (Combined Main Market, Entrance site and Thessaly College site)"/>
    <s v="N9"/>
    <n v="529369"/>
    <n v="177317"/>
    <x v="12"/>
    <d v="2019-07-26T00:00:00"/>
    <m/>
    <n v="0"/>
    <n v="226"/>
    <n v="226"/>
    <n v="542"/>
    <n v="542"/>
    <x v="1"/>
    <s v="Section 96A application for non-material amendments (alteration to the layouts of Buildings N9 and N10 to accommodate additional family units, alterations at ground floor to residential amenity areas and external design changes to Buildings N9 and N10) to Reserved Matters Approval ref. 2018/5698 dated 22/03/2019: &quot;Application for approval of reserved matters (Access, Layout, Appearance, Scale and Landscaping) for Phase 1B of the Northern Site Development Zone pursuant to part outline and part detailed planning permission 2014/2810, dated 11/02/15 &quot;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S96A"/>
    <d v="2019-10-08T00:00:00"/>
    <d v="2019-10-22T00:00:00"/>
    <x v="1"/>
    <s v="Nil"/>
    <m/>
    <s v="BF"/>
    <s v="NB"/>
    <x v="1"/>
    <x v="7"/>
    <n v="1.26400005817413"/>
    <d v="2019-07-26T00:00:00"/>
    <x v="1"/>
    <m/>
    <x v="0"/>
    <s v="M"/>
    <s v="2.1.27"/>
    <m/>
    <n v="193"/>
    <n v="0"/>
    <n v="33"/>
    <n v="0"/>
    <n v="0"/>
    <n v="68"/>
    <n v="94"/>
    <n v="54"/>
    <n v="10"/>
    <n v="0"/>
    <n v="0"/>
    <n v="0"/>
    <n v="68"/>
    <n v="94"/>
    <n v="54"/>
    <n v="10"/>
    <n v="0"/>
    <n v="0"/>
    <n v="0"/>
    <n v="0"/>
    <n v="0"/>
    <n v="0"/>
    <n v="0"/>
    <n v="0"/>
    <n v="0"/>
    <n v="0"/>
    <n v="0"/>
    <n v="0"/>
    <n v="0"/>
    <n v="0"/>
    <n v="0"/>
    <n v="0"/>
    <x v="0"/>
    <x v="1"/>
    <x v="0"/>
    <x v="0"/>
    <x v="0"/>
    <m/>
    <x v="0"/>
    <x v="0"/>
    <n v="21"/>
    <m/>
    <m/>
    <m/>
    <m/>
    <n v="226"/>
    <m/>
    <m/>
    <m/>
    <m/>
    <m/>
    <m/>
    <m/>
    <m/>
    <m/>
    <m/>
    <m/>
    <m/>
    <m/>
    <m/>
    <m/>
    <m/>
    <n v="226"/>
    <n v="226"/>
  </r>
  <r>
    <n v="3514"/>
    <x v="1"/>
    <s v="2016/6417"/>
    <s v="Battersea Gasholder, 101 Prince of Wales Drive"/>
    <s v="Block C"/>
    <n v="528809"/>
    <n v="177181"/>
    <x v="12"/>
    <d v="2016-10-19T00:00:00"/>
    <m/>
    <n v="0"/>
    <n v="112"/>
    <n v="112"/>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0.19400000572204601"/>
    <d v="2016-10-19T00:00:00"/>
    <x v="0"/>
    <m/>
    <x v="0"/>
    <s v="M"/>
    <s v="2.1.4"/>
    <m/>
    <n v="112"/>
    <n v="0"/>
    <n v="11"/>
    <n v="0"/>
    <n v="0"/>
    <n v="36"/>
    <n v="66"/>
    <n v="10"/>
    <n v="0"/>
    <n v="0"/>
    <n v="0"/>
    <n v="0"/>
    <n v="36"/>
    <n v="66"/>
    <n v="10"/>
    <n v="0"/>
    <n v="0"/>
    <n v="0"/>
    <n v="0"/>
    <n v="0"/>
    <n v="0"/>
    <n v="0"/>
    <n v="0"/>
    <n v="0"/>
    <n v="0"/>
    <n v="0"/>
    <n v="0"/>
    <n v="0"/>
    <n v="0"/>
    <n v="0"/>
    <n v="0"/>
    <n v="0"/>
    <x v="0"/>
    <x v="1"/>
    <x v="0"/>
    <x v="0"/>
    <x v="0"/>
    <m/>
    <x v="0"/>
    <x v="0"/>
    <n v="21"/>
    <m/>
    <m/>
    <m/>
    <n v="112"/>
    <m/>
    <m/>
    <m/>
    <m/>
    <m/>
    <m/>
    <m/>
    <m/>
    <m/>
    <m/>
    <m/>
    <m/>
    <m/>
    <m/>
    <m/>
    <m/>
    <m/>
    <n v="112"/>
    <n v="112"/>
  </r>
  <r>
    <n v="3514"/>
    <x v="1"/>
    <s v="2016/6417"/>
    <s v="Battersea Gasholder, 101 Prince of Wales Drive"/>
    <s v="Block G"/>
    <n v="528809"/>
    <n v="177181"/>
    <x v="12"/>
    <d v="2016-10-19T00:00:00"/>
    <m/>
    <n v="0"/>
    <n v="90"/>
    <n v="90"/>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0.15600000321865101"/>
    <d v="2019-08-01T00:00:00"/>
    <x v="1"/>
    <m/>
    <x v="0"/>
    <s v="M"/>
    <s v="2.1.4"/>
    <m/>
    <n v="90"/>
    <n v="0"/>
    <n v="9"/>
    <n v="0"/>
    <n v="0"/>
    <n v="32"/>
    <n v="32"/>
    <n v="26"/>
    <n v="0"/>
    <n v="0"/>
    <n v="0"/>
    <n v="0"/>
    <n v="32"/>
    <n v="32"/>
    <n v="26"/>
    <n v="0"/>
    <n v="0"/>
    <n v="0"/>
    <n v="0"/>
    <n v="0"/>
    <n v="0"/>
    <n v="0"/>
    <n v="0"/>
    <n v="0"/>
    <n v="0"/>
    <n v="0"/>
    <n v="0"/>
    <n v="0"/>
    <n v="0"/>
    <n v="0"/>
    <n v="0"/>
    <n v="0"/>
    <x v="0"/>
    <x v="1"/>
    <x v="0"/>
    <x v="0"/>
    <x v="0"/>
    <m/>
    <x v="0"/>
    <x v="0"/>
    <n v="21"/>
    <m/>
    <m/>
    <n v="90"/>
    <m/>
    <m/>
    <m/>
    <m/>
    <m/>
    <m/>
    <m/>
    <m/>
    <m/>
    <m/>
    <m/>
    <m/>
    <m/>
    <m/>
    <m/>
    <m/>
    <m/>
    <m/>
    <n v="90"/>
    <n v="90"/>
  </r>
  <r>
    <n v="3514"/>
    <x v="1"/>
    <s v="2016/6417"/>
    <s v="Battersea Gasholder, 101 Prince of Wales Drive"/>
    <s v="Block G"/>
    <n v="528809"/>
    <n v="177181"/>
    <x v="12"/>
    <d v="2016-10-19T00:00:00"/>
    <m/>
    <n v="0"/>
    <n v="16"/>
    <n v="16"/>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2.8000000864267301E-2"/>
    <d v="2019-08-01T00:00:00"/>
    <x v="1"/>
    <m/>
    <x v="1"/>
    <s v="ISO"/>
    <s v="2.1.4"/>
    <m/>
    <n v="16"/>
    <n v="0"/>
    <n v="2"/>
    <n v="0"/>
    <n v="0"/>
    <n v="8"/>
    <n v="8"/>
    <n v="0"/>
    <n v="0"/>
    <n v="0"/>
    <n v="0"/>
    <n v="0"/>
    <n v="8"/>
    <n v="8"/>
    <n v="0"/>
    <n v="0"/>
    <n v="0"/>
    <n v="0"/>
    <n v="0"/>
    <n v="0"/>
    <n v="0"/>
    <n v="0"/>
    <n v="0"/>
    <n v="0"/>
    <n v="0"/>
    <n v="0"/>
    <n v="0"/>
    <n v="0"/>
    <n v="0"/>
    <n v="0"/>
    <n v="0"/>
    <n v="0"/>
    <x v="0"/>
    <x v="1"/>
    <x v="0"/>
    <x v="0"/>
    <x v="0"/>
    <m/>
    <x v="0"/>
    <x v="0"/>
    <n v="21"/>
    <m/>
    <m/>
    <n v="16"/>
    <m/>
    <m/>
    <m/>
    <m/>
    <m/>
    <m/>
    <m/>
    <m/>
    <m/>
    <m/>
    <m/>
    <m/>
    <m/>
    <m/>
    <m/>
    <m/>
    <m/>
    <m/>
    <n v="16"/>
    <n v="16"/>
  </r>
  <r>
    <n v="3514"/>
    <x v="1"/>
    <s v="2016/6417"/>
    <s v="Battersea Gasholder, 101 Prince of Wales Drive"/>
    <s v="Block K"/>
    <n v="528809"/>
    <n v="177181"/>
    <x v="12"/>
    <d v="2016-10-19T00:00:00"/>
    <m/>
    <n v="0"/>
    <n v="77"/>
    <n v="77"/>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0.13300000131130199"/>
    <d v="2019-08-01T00:00:00"/>
    <x v="1"/>
    <m/>
    <x v="2"/>
    <s v="AA"/>
    <s v="2.1.4"/>
    <m/>
    <n v="77"/>
    <n v="0"/>
    <n v="8"/>
    <n v="0"/>
    <n v="0"/>
    <n v="33"/>
    <n v="33"/>
    <n v="11"/>
    <n v="0"/>
    <n v="0"/>
    <n v="0"/>
    <n v="0"/>
    <n v="33"/>
    <n v="33"/>
    <n v="11"/>
    <n v="0"/>
    <n v="0"/>
    <n v="0"/>
    <n v="0"/>
    <n v="0"/>
    <n v="0"/>
    <n v="0"/>
    <n v="0"/>
    <n v="0"/>
    <n v="0"/>
    <n v="0"/>
    <n v="0"/>
    <n v="0"/>
    <n v="0"/>
    <n v="0"/>
    <n v="0"/>
    <n v="0"/>
    <x v="0"/>
    <x v="1"/>
    <x v="0"/>
    <x v="0"/>
    <x v="0"/>
    <m/>
    <x v="0"/>
    <x v="0"/>
    <n v="21"/>
    <m/>
    <m/>
    <n v="77"/>
    <m/>
    <m/>
    <m/>
    <m/>
    <m/>
    <m/>
    <m/>
    <m/>
    <m/>
    <m/>
    <m/>
    <m/>
    <m/>
    <m/>
    <m/>
    <m/>
    <m/>
    <m/>
    <n v="77"/>
    <n v="77"/>
  </r>
  <r>
    <n v="3514"/>
    <x v="1"/>
    <s v="2016/6417"/>
    <s v="Battersea Gasholder, 101 Prince of Wales Drive"/>
    <s v="Block L"/>
    <n v="528809"/>
    <n v="177181"/>
    <x v="12"/>
    <d v="2016-10-19T00:00:00"/>
    <m/>
    <n v="0"/>
    <n v="99"/>
    <n v="99"/>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0.17100000381469699"/>
    <d v="2019-05-01T00:00:00"/>
    <x v="1"/>
    <m/>
    <x v="2"/>
    <s v="AA"/>
    <s v="2.1.4"/>
    <m/>
    <n v="99"/>
    <n v="0"/>
    <n v="10"/>
    <n v="0"/>
    <n v="0"/>
    <n v="66"/>
    <n v="33"/>
    <n v="0"/>
    <n v="0"/>
    <n v="0"/>
    <n v="0"/>
    <n v="0"/>
    <n v="66"/>
    <n v="33"/>
    <n v="0"/>
    <n v="0"/>
    <n v="0"/>
    <n v="0"/>
    <n v="0"/>
    <n v="0"/>
    <n v="0"/>
    <n v="0"/>
    <n v="0"/>
    <n v="0"/>
    <n v="0"/>
    <n v="0"/>
    <n v="0"/>
    <n v="0"/>
    <n v="0"/>
    <n v="0"/>
    <n v="0"/>
    <n v="0"/>
    <x v="0"/>
    <x v="1"/>
    <x v="0"/>
    <x v="0"/>
    <x v="0"/>
    <m/>
    <x v="0"/>
    <x v="0"/>
    <n v="21"/>
    <m/>
    <m/>
    <n v="99"/>
    <m/>
    <m/>
    <m/>
    <m/>
    <m/>
    <m/>
    <m/>
    <m/>
    <m/>
    <m/>
    <m/>
    <m/>
    <m/>
    <m/>
    <m/>
    <m/>
    <m/>
    <m/>
    <n v="99"/>
    <n v="99"/>
  </r>
  <r>
    <n v="3515"/>
    <x v="1"/>
    <s v="2014/7344"/>
    <s v="56-70, 56-66 Putney High Street (Wereldhave Site)"/>
    <m/>
    <n v="524039"/>
    <n v="175460"/>
    <x v="0"/>
    <d v="2018-12-10T00:00:00"/>
    <m/>
    <n v="0"/>
    <n v="78"/>
    <n v="78"/>
    <n v="97"/>
    <n v="95"/>
    <x v="1"/>
    <s v="Demolition of existing building and erection of a new mixed use development up to six-storeys high, with a partial seventh-storey along Felsham Road frontage (recessed on all sides), plus the provision of basement levels, providing 3137 sq.m. of commercial floorspace (flexible class A1, A2 or A3 uses) at ground floor and basement level; 447 sq.m. of class D2 assembly and leisure use (predominantly at basement level with separate entrance off Walkers Place), and 97 residential units on the upper floors (comprising 1x studio, 33 x one-bedroom; 57 x two-bedroom and 6 x three-bedroom units), with associated balconies, roof terraces and winter gardens, with 26 basement car parking spaces (accessed via car lift off Felsham Road), and associated cycle parking spaces; mechanical plant; landscaping and public realm works, including provision of a new public square along Lacy Road."/>
    <s v="PFLA"/>
    <d v="2015-01-06T00:00:00"/>
    <d v="2016-04-29T00:00:00"/>
    <x v="0"/>
    <s v="Nil"/>
    <m/>
    <s v="BF"/>
    <s v="NB"/>
    <x v="1"/>
    <x v="7"/>
    <n v="0.23199999332428001"/>
    <d v="2018-12-10T00:00:00"/>
    <x v="0"/>
    <m/>
    <x v="0"/>
    <s v="M"/>
    <s v="6.1.1"/>
    <m/>
    <n v="78"/>
    <n v="0"/>
    <n v="8"/>
    <n v="0"/>
    <n v="1"/>
    <n v="19"/>
    <n v="52"/>
    <n v="6"/>
    <n v="0"/>
    <n v="0"/>
    <n v="0"/>
    <n v="1"/>
    <n v="19"/>
    <n v="52"/>
    <n v="6"/>
    <n v="0"/>
    <n v="0"/>
    <n v="0"/>
    <n v="0"/>
    <n v="0"/>
    <n v="0"/>
    <n v="0"/>
    <n v="0"/>
    <n v="0"/>
    <n v="0"/>
    <n v="0"/>
    <n v="0"/>
    <n v="0"/>
    <n v="0"/>
    <n v="0"/>
    <n v="0"/>
    <n v="0"/>
    <x v="2"/>
    <x v="0"/>
    <x v="0"/>
    <x v="0"/>
    <x v="0"/>
    <m/>
    <x v="0"/>
    <x v="0"/>
    <n v="5"/>
    <m/>
    <m/>
    <n v="19.5"/>
    <n v="19.5"/>
    <n v="19.5"/>
    <n v="19.5"/>
    <m/>
    <m/>
    <m/>
    <m/>
    <m/>
    <m/>
    <m/>
    <m/>
    <m/>
    <m/>
    <m/>
    <m/>
    <m/>
    <m/>
    <m/>
    <n v="78"/>
    <n v="78"/>
  </r>
  <r>
    <n v="3515"/>
    <x v="1"/>
    <s v="2014/7344"/>
    <s v="56-70, 56-66 Putney High Street (Wereldhave Site)"/>
    <m/>
    <n v="524039"/>
    <n v="175460"/>
    <x v="0"/>
    <d v="2018-12-10T00:00:00"/>
    <m/>
    <n v="2"/>
    <n v="19"/>
    <n v="17"/>
    <n v="97"/>
    <n v="95"/>
    <x v="1"/>
    <s v="Demolition of existing building and erection of a new mixed use development up to six-storeys high, with a partial seventh-storey along Felsham Road frontage (recessed on all sides), plus the provision of basement levels, providing 3137 sq.m. of commercial floorspace (flexible class A1, A2 or A3 uses) at ground floor and basement level; 447 sq.m. of class D2 assembly and leisure use (predominantly at basement level with separate entrance off Walkers Place), and 97 residential units on the upper floors (comprising 1x studio, 33 x one-bedroom; 57 x two-bedroom and 6 x three-bedroom units), with associated balconies, roof terraces and winter gardens, with 26 basement car parking spaces (accessed via car lift off Felsham Road), and associated cycle parking spaces; mechanical plant; landscaping and public realm works, including provision of a new public square along Lacy Road."/>
    <s v="PFLA"/>
    <d v="2015-01-06T00:00:00"/>
    <d v="2016-04-29T00:00:00"/>
    <x v="0"/>
    <s v="Nil"/>
    <m/>
    <s v="BF"/>
    <s v="NB"/>
    <x v="1"/>
    <x v="7"/>
    <n v="5.7999998331069898E-2"/>
    <d v="2018-12-10T00:00:00"/>
    <x v="0"/>
    <m/>
    <x v="1"/>
    <s v="ISO"/>
    <s v="6.1.1"/>
    <m/>
    <n v="19"/>
    <n v="0"/>
    <n v="2"/>
    <n v="0"/>
    <n v="0"/>
    <n v="14"/>
    <n v="5"/>
    <n v="-2"/>
    <n v="0"/>
    <n v="0"/>
    <n v="0"/>
    <n v="0"/>
    <n v="14"/>
    <n v="5"/>
    <n v="-2"/>
    <n v="0"/>
    <n v="0"/>
    <n v="0"/>
    <n v="0"/>
    <n v="0"/>
    <n v="0"/>
    <n v="0"/>
    <n v="0"/>
    <n v="0"/>
    <n v="0"/>
    <n v="0"/>
    <n v="0"/>
    <n v="0"/>
    <n v="0"/>
    <n v="0"/>
    <n v="0"/>
    <n v="0"/>
    <x v="2"/>
    <x v="0"/>
    <x v="0"/>
    <x v="0"/>
    <x v="0"/>
    <m/>
    <x v="0"/>
    <x v="0"/>
    <n v="5"/>
    <m/>
    <m/>
    <n v="4.25"/>
    <n v="4.25"/>
    <n v="4.25"/>
    <n v="4.25"/>
    <m/>
    <m/>
    <m/>
    <m/>
    <m/>
    <m/>
    <m/>
    <m/>
    <m/>
    <m/>
    <m/>
    <m/>
    <m/>
    <m/>
    <m/>
    <n v="17"/>
    <n v="17"/>
  </r>
  <r>
    <n v="3521"/>
    <x v="1"/>
    <s v="2017/5837"/>
    <s v="Peabody Estate, St Johns Hill"/>
    <s v="Phase 2"/>
    <n v="527156"/>
    <n v="175243"/>
    <x v="4"/>
    <d v="2020-02-01T00:00:00"/>
    <m/>
    <n v="0"/>
    <n v="109"/>
    <n v="109"/>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54500001668930098"/>
    <d v="2020-02-01T00:00:00"/>
    <x v="1"/>
    <m/>
    <x v="2"/>
    <s v="AS"/>
    <s v="4.1.5"/>
    <m/>
    <n v="109"/>
    <n v="0"/>
    <n v="0"/>
    <n v="0"/>
    <n v="0"/>
    <n v="31"/>
    <n v="52"/>
    <n v="25"/>
    <n v="1"/>
    <n v="0"/>
    <n v="0"/>
    <n v="0"/>
    <n v="31"/>
    <n v="52"/>
    <n v="25"/>
    <n v="1"/>
    <n v="0"/>
    <n v="0"/>
    <n v="0"/>
    <n v="0"/>
    <n v="0"/>
    <n v="0"/>
    <n v="0"/>
    <n v="0"/>
    <n v="0"/>
    <n v="0"/>
    <n v="0"/>
    <n v="0"/>
    <n v="0"/>
    <n v="0"/>
    <n v="0"/>
    <n v="0"/>
    <x v="0"/>
    <x v="0"/>
    <x v="0"/>
    <x v="1"/>
    <x v="0"/>
    <m/>
    <x v="0"/>
    <x v="0"/>
    <n v="4"/>
    <m/>
    <m/>
    <m/>
    <n v="109"/>
    <m/>
    <m/>
    <m/>
    <m/>
    <m/>
    <m/>
    <m/>
    <m/>
    <m/>
    <m/>
    <m/>
    <m/>
    <m/>
    <m/>
    <m/>
    <m/>
    <m/>
    <n v="109"/>
    <n v="109"/>
  </r>
  <r>
    <n v="3521"/>
    <x v="1"/>
    <s v="2017/5837"/>
    <s v="Peabody Estate, St Johns Hill"/>
    <s v="Phase 2"/>
    <n v="527156"/>
    <n v="175243"/>
    <x v="4"/>
    <d v="2020-02-01T00:00:00"/>
    <m/>
    <n v="0"/>
    <n v="54"/>
    <n v="54"/>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270000010728836"/>
    <d v="2020-02-01T00:00:00"/>
    <x v="1"/>
    <m/>
    <x v="2"/>
    <s v="AS"/>
    <s v="4.1.5"/>
    <m/>
    <n v="54"/>
    <n v="0"/>
    <n v="0"/>
    <n v="0"/>
    <n v="0"/>
    <n v="54"/>
    <n v="0"/>
    <n v="0"/>
    <n v="0"/>
    <n v="0"/>
    <n v="0"/>
    <n v="0"/>
    <n v="54"/>
    <n v="0"/>
    <n v="0"/>
    <n v="0"/>
    <n v="0"/>
    <n v="0"/>
    <n v="0"/>
    <n v="0"/>
    <n v="0"/>
    <n v="0"/>
    <n v="0"/>
    <n v="0"/>
    <n v="0"/>
    <n v="0"/>
    <n v="0"/>
    <n v="0"/>
    <n v="0"/>
    <n v="0"/>
    <n v="0"/>
    <n v="0"/>
    <x v="0"/>
    <x v="0"/>
    <x v="0"/>
    <x v="1"/>
    <x v="0"/>
    <m/>
    <x v="0"/>
    <x v="0"/>
    <n v="4"/>
    <m/>
    <m/>
    <m/>
    <n v="54"/>
    <m/>
    <m/>
    <m/>
    <m/>
    <m/>
    <m/>
    <m/>
    <m/>
    <m/>
    <m/>
    <m/>
    <m/>
    <m/>
    <m/>
    <m/>
    <m/>
    <m/>
    <n v="54"/>
    <n v="54"/>
  </r>
  <r>
    <n v="3521"/>
    <x v="1"/>
    <s v="2017/5837"/>
    <s v="Peabody Estate, St Johns Hill"/>
    <s v="Phase 2"/>
    <n v="527156"/>
    <n v="175243"/>
    <x v="4"/>
    <d v="2020-02-01T00:00:00"/>
    <m/>
    <n v="0"/>
    <n v="35"/>
    <n v="35"/>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17499999701976801"/>
    <d v="2020-02-01T00:00:00"/>
    <x v="1"/>
    <m/>
    <x v="1"/>
    <s v="IR"/>
    <s v="4.1.5"/>
    <m/>
    <n v="35"/>
    <n v="0"/>
    <n v="0"/>
    <n v="0"/>
    <n v="0"/>
    <n v="18"/>
    <n v="13"/>
    <n v="4"/>
    <n v="0"/>
    <n v="0"/>
    <n v="0"/>
    <n v="0"/>
    <n v="18"/>
    <n v="13"/>
    <n v="4"/>
    <n v="0"/>
    <n v="0"/>
    <n v="0"/>
    <n v="0"/>
    <n v="0"/>
    <n v="0"/>
    <n v="0"/>
    <n v="0"/>
    <n v="0"/>
    <n v="0"/>
    <n v="0"/>
    <n v="0"/>
    <n v="0"/>
    <n v="0"/>
    <n v="0"/>
    <n v="0"/>
    <n v="0"/>
    <x v="0"/>
    <x v="0"/>
    <x v="0"/>
    <x v="1"/>
    <x v="0"/>
    <m/>
    <x v="0"/>
    <x v="0"/>
    <n v="4"/>
    <m/>
    <m/>
    <m/>
    <n v="35"/>
    <m/>
    <m/>
    <m/>
    <m/>
    <m/>
    <m/>
    <m/>
    <m/>
    <m/>
    <m/>
    <m/>
    <m/>
    <m/>
    <m/>
    <m/>
    <m/>
    <m/>
    <n v="35"/>
    <n v="35"/>
  </r>
  <r>
    <n v="3521"/>
    <x v="1"/>
    <s v="2017/5837"/>
    <s v="Peabody Estate, St Johns Hill"/>
    <s v="Phase 2"/>
    <n v="527156"/>
    <n v="175243"/>
    <x v="4"/>
    <d v="2020-02-01T00:00:00"/>
    <m/>
    <n v="61"/>
    <n v="0"/>
    <n v="-61"/>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
    <d v="2020-02-01T00:00:00"/>
    <x v="1"/>
    <m/>
    <x v="0"/>
    <s v="M"/>
    <s v="4.1.5"/>
    <m/>
    <n v="0"/>
    <n v="0"/>
    <n v="0"/>
    <n v="0"/>
    <n v="-1"/>
    <n v="-26"/>
    <n v="-26"/>
    <n v="-7"/>
    <n v="-1"/>
    <n v="0"/>
    <n v="0"/>
    <n v="-1"/>
    <n v="-26"/>
    <n v="-26"/>
    <n v="-7"/>
    <n v="-1"/>
    <n v="0"/>
    <n v="0"/>
    <n v="0"/>
    <n v="0"/>
    <n v="0"/>
    <n v="0"/>
    <n v="0"/>
    <n v="0"/>
    <n v="0"/>
    <n v="0"/>
    <n v="0"/>
    <n v="0"/>
    <n v="0"/>
    <n v="0"/>
    <n v="0"/>
    <n v="0"/>
    <x v="0"/>
    <x v="0"/>
    <x v="0"/>
    <x v="1"/>
    <x v="0"/>
    <m/>
    <x v="0"/>
    <x v="0"/>
    <n v="4"/>
    <m/>
    <m/>
    <m/>
    <n v="-61"/>
    <m/>
    <m/>
    <m/>
    <m/>
    <m/>
    <m/>
    <m/>
    <m/>
    <m/>
    <m/>
    <m/>
    <m/>
    <m/>
    <m/>
    <m/>
    <m/>
    <m/>
    <n v="-61"/>
    <n v="-61"/>
  </r>
  <r>
    <n v="3521"/>
    <x v="1"/>
    <s v="2017/5837"/>
    <s v="Peabody Estate, St Johns Hill"/>
    <s v="Phase 2"/>
    <n v="527156"/>
    <n v="175243"/>
    <x v="4"/>
    <d v="2020-02-01T00:00:00"/>
    <m/>
    <n v="97"/>
    <n v="0"/>
    <n v="-97"/>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
    <d v="2020-02-01T00:00:00"/>
    <x v="1"/>
    <m/>
    <x v="2"/>
    <s v="AS"/>
    <s v="4.1.5"/>
    <m/>
    <n v="0"/>
    <n v="0"/>
    <n v="0"/>
    <n v="0"/>
    <n v="-2"/>
    <n v="-31"/>
    <n v="-39"/>
    <n v="-25"/>
    <n v="0"/>
    <n v="0"/>
    <n v="0"/>
    <n v="-2"/>
    <n v="-31"/>
    <n v="-39"/>
    <n v="-25"/>
    <n v="0"/>
    <n v="0"/>
    <n v="0"/>
    <n v="0"/>
    <n v="0"/>
    <n v="0"/>
    <n v="0"/>
    <n v="0"/>
    <n v="0"/>
    <n v="0"/>
    <n v="0"/>
    <n v="0"/>
    <n v="0"/>
    <n v="0"/>
    <n v="0"/>
    <n v="0"/>
    <n v="0"/>
    <x v="0"/>
    <x v="0"/>
    <x v="0"/>
    <x v="1"/>
    <x v="0"/>
    <m/>
    <x v="0"/>
    <x v="0"/>
    <n v="4"/>
    <m/>
    <m/>
    <m/>
    <n v="-97"/>
    <m/>
    <m/>
    <m/>
    <m/>
    <m/>
    <m/>
    <m/>
    <m/>
    <m/>
    <m/>
    <m/>
    <m/>
    <m/>
    <m/>
    <m/>
    <m/>
    <m/>
    <n v="-97"/>
    <n v="-97"/>
  </r>
  <r>
    <n v="3526"/>
    <x v="1"/>
    <s v="2018/5903"/>
    <s v="Homebase, 198 York Road (Coda)"/>
    <s v="Block A"/>
    <n v="526547"/>
    <n v="175744"/>
    <x v="11"/>
    <d v="2019-03-31T00:00:00"/>
    <m/>
    <n v="0"/>
    <n v="47"/>
    <n v="47"/>
    <n v="299"/>
    <n v="299"/>
    <x v="1"/>
    <s v="Non-material amendment to planning permission dated 19/07/2018 ref 2017/4380 (Erection of a podium building with three buildings above (providing part 2, 6, 8, 11 and 24 storeys plus basement level) to provide 299 residential units including affordable and market housing, with circa 5,943 sq m of Class D1 education space, including 537 sq m of associated Class A3/A4 café and drinking establishment space. Provision of car parking, cycle parking, refuse storage and plant in the basement, and associated roof plant enclosure. Removal of and replacement of trees, landscaping, provision of and improvements to public realm including the removal of tree planters, widening of street frontages and resurfacing of York Place (on north-western side) to create a shared surface and introduction of a drop off point) _x000d__x000a__x000d__x000a_Proposed non-material amendments are:_x000d__x000a__x000d__x000a_Changes to configuration of RAD accommodation on ground and first floors_x000d__x000a_Change from 2 bed 4 person units to 2 bed 3 person units in Blocks A, B and C (47 units)_x000d__x000a_Change from 1 bed 2 person intermediate units to 1 bed 1 person intermediate units in Block A (3 units) _x000d__x000a_Internalisation of amenity space to four flats in Block C on 12th and 13th floors_x000d__x000a_Change of material to frame of Block C from GRC to PPC metal cladding _x000d__x000a_Installation of metal bars to glazed balcony balustrades on all levels (Block C). _x000d__x000a_Changes to number and positions of windows, balconies and glazed doors on both side elevations (facing Block A and Block B) _x000d__x000a_Installation of new (matching) windows in rear elevation (Block C) on 16th and 17th floors_x000d__x000a_Change the aluminium windows to composite aluminium/timber windows (Blocks A, B and C) _x000d__x000a_Provision of metal balustrades to all balconies on Blocks A and B _x000d__x000a_Change horizontal and vertical tracery (i.e banding) from GRC to aluminium (Blocks A and B) _x000d__x000a_Increase the fascia depth of all balcony fascias from 300mm to 365mm._x000d__x000a_Reduction in height of plant enclosures on roofs (Blocks A and B)._x000d__x000a_Change to windows/doors at ground floor level side elevation Blocks A and B_x000d__x000a_White bricks now proposed for side elevations of Blocks A and B (facing Block C) _x000d__x000a_Installation of new (recessed) glazed doors to first floor flats (Block B rear elevation)"/>
    <s v="S96A"/>
    <d v="2018-12-14T00:00:00"/>
    <d v="2019-01-17T00:00:00"/>
    <x v="0"/>
    <s v="Nil"/>
    <m/>
    <s v="BF"/>
    <s v="NB"/>
    <x v="1"/>
    <x v="7"/>
    <n v="6.4000003039836897E-2"/>
    <d v="2019-03-31T00:00:00"/>
    <x v="0"/>
    <m/>
    <x v="0"/>
    <s v="M"/>
    <s v="10.4"/>
    <m/>
    <n v="0"/>
    <n v="0"/>
    <n v="0"/>
    <n v="0"/>
    <n v="0"/>
    <n v="5"/>
    <n v="38"/>
    <n v="4"/>
    <n v="0"/>
    <n v="0"/>
    <n v="0"/>
    <n v="0"/>
    <n v="5"/>
    <n v="38"/>
    <n v="4"/>
    <n v="0"/>
    <n v="0"/>
    <n v="0"/>
    <n v="0"/>
    <n v="0"/>
    <n v="0"/>
    <n v="0"/>
    <n v="0"/>
    <n v="0"/>
    <n v="0"/>
    <n v="0"/>
    <n v="0"/>
    <n v="0"/>
    <n v="0"/>
    <n v="0"/>
    <n v="0"/>
    <n v="0"/>
    <x v="0"/>
    <x v="0"/>
    <x v="0"/>
    <x v="0"/>
    <x v="0"/>
    <m/>
    <x v="1"/>
    <x v="0"/>
    <n v="5"/>
    <m/>
    <m/>
    <n v="11.75"/>
    <n v="11.75"/>
    <n v="11.75"/>
    <n v="11.75"/>
    <m/>
    <m/>
    <m/>
    <m/>
    <m/>
    <m/>
    <m/>
    <m/>
    <m/>
    <m/>
    <m/>
    <m/>
    <m/>
    <m/>
    <m/>
    <n v="47"/>
    <n v="47"/>
  </r>
  <r>
    <n v="3526"/>
    <x v="1"/>
    <s v="2018/5903"/>
    <s v="Homebase, 198 York Road (Coda)"/>
    <s v="Block A"/>
    <n v="526547"/>
    <n v="175744"/>
    <x v="11"/>
    <d v="2019-03-31T00:00:00"/>
    <m/>
    <n v="0"/>
    <n v="20"/>
    <n v="20"/>
    <n v="299"/>
    <n v="299"/>
    <x v="1"/>
    <s v="Non-material amendment to planning permission dated 19/07/2018 ref 2017/4380 (Erection of a podium building with three buildings above (providing part 2, 6, 8, 11 and 24 storeys plus basement level) to provide 299 residential units including affordable and market housing, with circa 5,943 sq m of Class D1 education space, including 537 sq m of associated Class A3/A4 café and drinking establishment space. Provision of car parking, cycle parking, refuse storage and plant in the basement, and associated roof plant enclosure. Removal of and replacement of trees, landscaping, provision of and improvements to public realm including the removal of tree planters, widening of street frontages and resurfacing of York Place (on north-western side) to create a shared surface and introduction of a drop off point) _x000d__x000a__x000d__x000a_Proposed non-material amendments are:_x000d__x000a__x000d__x000a_Changes to configuration of RAD accommodation on ground and first floors_x000d__x000a_Change from 2 bed 4 person units to 2 bed 3 person units in Blocks A, B and C (47 units)_x000d__x000a_Change from 1 bed 2 person intermediate units to 1 bed 1 person intermediate units in Block A (3 units) _x000d__x000a_Internalisation of amenity space to four flats in Block C on 12th and 13th floors_x000d__x000a_Change of material to frame of Block C from GRC to PPC metal cladding _x000d__x000a_Installation of metal bars to glazed balcony balustrades on all levels (Block C). _x000d__x000a_Changes to number and positions of windows, balconies and glazed doors on both side elevations (facing Block A and Block B) _x000d__x000a_Installation of new (matching) windows in rear elevation (Block C) on 16th and 17th floors_x000d__x000a_Change the aluminium windows to composite aluminium/timber windows (Blocks A, B and C) _x000d__x000a_Provision of metal balustrades to all balconies on Blocks A and B _x000d__x000a_Change horizontal and vertical tracery (i.e banding) from GRC to aluminium (Blocks A and B) _x000d__x000a_Increase the fascia depth of all balcony fascias from 300mm to 365mm._x000d__x000a_Reduction in height of plant enclosures on roofs (Blocks A and B)._x000d__x000a_Change to windows/doors at ground floor level side elevation Blocks A and B_x000d__x000a_White bricks now proposed for side elevations of Blocks A and B (facing Block C) _x000d__x000a_Installation of new (recessed) glazed doors to first floor flats (Block B rear elevation)"/>
    <s v="S96A"/>
    <d v="2018-12-14T00:00:00"/>
    <d v="2019-01-17T00:00:00"/>
    <x v="0"/>
    <s v="Nil"/>
    <m/>
    <s v="BF"/>
    <s v="NB"/>
    <x v="1"/>
    <x v="7"/>
    <n v="2.8000000864267301E-2"/>
    <d v="2019-03-31T00:00:00"/>
    <x v="0"/>
    <m/>
    <x v="1"/>
    <s v="IR"/>
    <s v="10.4"/>
    <m/>
    <n v="0"/>
    <n v="0"/>
    <n v="29"/>
    <n v="0"/>
    <n v="0"/>
    <n v="12"/>
    <n v="8"/>
    <n v="0"/>
    <n v="0"/>
    <n v="0"/>
    <n v="0"/>
    <n v="0"/>
    <n v="12"/>
    <n v="8"/>
    <n v="0"/>
    <n v="0"/>
    <n v="0"/>
    <n v="0"/>
    <n v="0"/>
    <n v="0"/>
    <n v="0"/>
    <n v="0"/>
    <n v="0"/>
    <n v="0"/>
    <n v="0"/>
    <n v="0"/>
    <n v="0"/>
    <n v="0"/>
    <n v="0"/>
    <n v="0"/>
    <n v="0"/>
    <n v="0"/>
    <x v="0"/>
    <x v="0"/>
    <x v="0"/>
    <x v="0"/>
    <x v="0"/>
    <m/>
    <x v="1"/>
    <x v="0"/>
    <n v="5"/>
    <m/>
    <m/>
    <n v="5"/>
    <n v="5"/>
    <n v="5"/>
    <n v="5"/>
    <m/>
    <m/>
    <m/>
    <m/>
    <m/>
    <m/>
    <m/>
    <m/>
    <m/>
    <m/>
    <m/>
    <m/>
    <m/>
    <m/>
    <m/>
    <n v="20"/>
    <n v="20"/>
  </r>
  <r>
    <n v="3526"/>
    <x v="1"/>
    <s v="2018/5903"/>
    <s v="Homebase, 198 York Road (Coda)"/>
    <s v="Block B"/>
    <n v="526547"/>
    <n v="175744"/>
    <x v="11"/>
    <d v="2019-03-31T00:00:00"/>
    <m/>
    <n v="0"/>
    <n v="72"/>
    <n v="72"/>
    <n v="299"/>
    <n v="299"/>
    <x v="1"/>
    <s v="Non-material amendment to planning permission dated 19/07/2018 ref 2017/4380 (Erection of a podium building with three buildings above (providing part 2, 6, 8, 11 and 24 storeys plus basement level) to provide 299 residential units including affordable and market housing, with circa 5,943 sq m of Class D1 education space, including 537 sq m of associated Class A3/A4 café and drinking establishment space. Provision of car parking, cycle parking, refuse storage and plant in the basement, and associated roof plant enclosure. Removal of and replacement of trees, landscaping, provision of and improvements to public realm including the removal of tree planters, widening of street frontages and resurfacing of York Place (on north-western side) to create a shared surface and introduction of a drop off point) _x000d__x000a__x000d__x000a_Proposed non-material amendments are:_x000d__x000a__x000d__x000a_Changes to configuration of RAD accommodation on ground and first floors_x000d__x000a_Change from 2 bed 4 person units to 2 bed 3 person units in Blocks A, B and C (47 units)_x000d__x000a_Change from 1 bed 2 person intermediate units to 1 bed 1 person intermediate units in Block A (3 units) _x000d__x000a_Internalisation of amenity space to four flats in Block C on 12th and 13th floors_x000d__x000a_Change of material to frame of Block C from GRC to PPC metal cladding _x000d__x000a_Installation of metal bars to glazed balcony balustrades on all levels (Block C). _x000d__x000a_Changes to number and positions of windows, balconies and glazed doors on both side elevations (facing Block A and Block B) _x000d__x000a_Installation of new (matching) windows in rear elevation (Block C) on 16th and 17th floors_x000d__x000a_Change the aluminium windows to composite aluminium/timber windows (Blocks A, B and C) _x000d__x000a_Provision of metal balustrades to all balconies on Blocks A and B _x000d__x000a_Change horizontal and vertical tracery (i.e banding) from GRC to aluminium (Blocks A and B) _x000d__x000a_Increase the fascia depth of all balcony fascias from 300mm to 365mm._x000d__x000a_Reduction in height of plant enclosures on roofs (Blocks A and B)._x000d__x000a_Change to windows/doors at ground floor level side elevation Blocks A and B_x000d__x000a_White bricks now proposed for side elevations of Blocks A and B (facing Block C) _x000d__x000a_Installation of new (recessed) glazed doors to first floor flats (Block B rear elevation)"/>
    <s v="S96A"/>
    <d v="2018-12-14T00:00:00"/>
    <d v="2019-01-17T00:00:00"/>
    <x v="0"/>
    <s v="Nil"/>
    <m/>
    <s v="BF"/>
    <s v="NB"/>
    <x v="1"/>
    <x v="7"/>
    <n v="9.8999999463558197E-2"/>
    <d v="2019-03-31T00:00:00"/>
    <x v="0"/>
    <m/>
    <x v="0"/>
    <s v="M"/>
    <s v="10.4"/>
    <m/>
    <n v="0"/>
    <n v="0"/>
    <n v="0"/>
    <n v="0"/>
    <n v="0"/>
    <n v="6"/>
    <n v="57"/>
    <n v="9"/>
    <n v="0"/>
    <n v="0"/>
    <n v="0"/>
    <n v="0"/>
    <n v="6"/>
    <n v="57"/>
    <n v="9"/>
    <n v="0"/>
    <n v="0"/>
    <n v="0"/>
    <n v="0"/>
    <n v="0"/>
    <n v="0"/>
    <n v="0"/>
    <n v="0"/>
    <n v="0"/>
    <n v="0"/>
    <n v="0"/>
    <n v="0"/>
    <n v="0"/>
    <n v="0"/>
    <n v="0"/>
    <n v="0"/>
    <n v="0"/>
    <x v="0"/>
    <x v="0"/>
    <x v="0"/>
    <x v="0"/>
    <x v="0"/>
    <m/>
    <x v="1"/>
    <x v="0"/>
    <n v="5"/>
    <m/>
    <m/>
    <n v="18"/>
    <n v="18"/>
    <n v="18"/>
    <n v="18"/>
    <m/>
    <m/>
    <m/>
    <m/>
    <m/>
    <m/>
    <m/>
    <m/>
    <m/>
    <m/>
    <m/>
    <m/>
    <m/>
    <m/>
    <m/>
    <n v="72"/>
    <n v="72"/>
  </r>
  <r>
    <n v="3526"/>
    <x v="1"/>
    <s v="2018/5903"/>
    <s v="Homebase, 198 York Road (Coda)"/>
    <s v="Block B"/>
    <n v="526547"/>
    <n v="175744"/>
    <x v="11"/>
    <d v="2019-03-31T00:00:00"/>
    <m/>
    <n v="0"/>
    <n v="30"/>
    <n v="30"/>
    <n v="299"/>
    <n v="299"/>
    <x v="1"/>
    <s v="Non-material amendment to planning permission dated 19/07/2018 ref 2017/4380 (Erection of a podium building with three buildings above (providing part 2, 6, 8, 11 and 24 storeys plus basement level) to provide 299 residential units including affordable and market housing, with circa 5,943 sq m of Class D1 education space, including 537 sq m of associated Class A3/A4 café and drinking establishment space. Provision of car parking, cycle parking, refuse storage and plant in the basement, and associated roof plant enclosure. Removal of and replacement of trees, landscaping, provision of and improvements to public realm including the removal of tree planters, widening of street frontages and resurfacing of York Place (on north-western side) to create a shared surface and introduction of a drop off point) _x000d__x000a__x000d__x000a_Proposed non-material amendments are:_x000d__x000a__x000d__x000a_Changes to configuration of RAD accommodation on ground and first floors_x000d__x000a_Change from 2 bed 4 person units to 2 bed 3 person units in Blocks A, B and C (47 units)_x000d__x000a_Change from 1 bed 2 person intermediate units to 1 bed 1 person intermediate units in Block A (3 units) _x000d__x000a_Internalisation of amenity space to four flats in Block C on 12th and 13th floors_x000d__x000a_Change of material to frame of Block C from GRC to PPC metal cladding _x000d__x000a_Installation of metal bars to glazed balcony balustrades on all levels (Block C). _x000d__x000a_Changes to number and positions of windows, balconies and glazed doors on both side elevations (facing Block A and Block B) _x000d__x000a_Installation of new (matching) windows in rear elevation (Block C) on 16th and 17th floors_x000d__x000a_Change the aluminium windows to composite aluminium/timber windows (Blocks A, B and C) _x000d__x000a_Provision of metal balustrades to all balconies on Blocks A and B _x000d__x000a_Change horizontal and vertical tracery (i.e banding) from GRC to aluminium (Blocks A and B) _x000d__x000a_Increase the fascia depth of all balcony fascias from 300mm to 365mm._x000d__x000a_Reduction in height of plant enclosures on roofs (Blocks A and B)._x000d__x000a_Change to windows/doors at ground floor level side elevation Blocks A and B_x000d__x000a_White bricks now proposed for side elevations of Blocks A and B (facing Block C) _x000d__x000a_Installation of new (recessed) glazed doors to first floor flats (Block B rear elevation)"/>
    <s v="S96A"/>
    <d v="2018-12-14T00:00:00"/>
    <d v="2019-01-17T00:00:00"/>
    <x v="0"/>
    <s v="Nil"/>
    <m/>
    <s v="BF"/>
    <s v="NB"/>
    <x v="1"/>
    <x v="7"/>
    <n v="4.1000001132488299E-2"/>
    <d v="2019-03-31T00:00:00"/>
    <x v="0"/>
    <m/>
    <x v="1"/>
    <s v="IR"/>
    <s v="10.4"/>
    <m/>
    <n v="0"/>
    <n v="0"/>
    <n v="0"/>
    <n v="0"/>
    <n v="0"/>
    <n v="20"/>
    <n v="10"/>
    <n v="0"/>
    <n v="0"/>
    <n v="0"/>
    <n v="0"/>
    <n v="0"/>
    <n v="20"/>
    <n v="10"/>
    <n v="0"/>
    <n v="0"/>
    <n v="0"/>
    <n v="0"/>
    <n v="0"/>
    <n v="0"/>
    <n v="0"/>
    <n v="0"/>
    <n v="0"/>
    <n v="0"/>
    <n v="0"/>
    <n v="0"/>
    <n v="0"/>
    <n v="0"/>
    <n v="0"/>
    <n v="0"/>
    <n v="0"/>
    <n v="0"/>
    <x v="0"/>
    <x v="0"/>
    <x v="0"/>
    <x v="0"/>
    <x v="0"/>
    <m/>
    <x v="1"/>
    <x v="0"/>
    <n v="5"/>
    <m/>
    <m/>
    <n v="7.5"/>
    <n v="7.5"/>
    <n v="7.5"/>
    <n v="7.5"/>
    <m/>
    <m/>
    <m/>
    <m/>
    <m/>
    <m/>
    <m/>
    <m/>
    <m/>
    <m/>
    <m/>
    <m/>
    <m/>
    <m/>
    <m/>
    <n v="30"/>
    <n v="30"/>
  </r>
  <r>
    <n v="3526"/>
    <x v="1"/>
    <s v="2019/5016"/>
    <s v="Homebase, 198 York Road (Coda)"/>
    <s v="Block C"/>
    <n v="526547"/>
    <n v="175744"/>
    <x v="11"/>
    <d v="2019-03-31T00:00:00"/>
    <m/>
    <n v="0"/>
    <n v="129"/>
    <n v="129"/>
    <n v="129"/>
    <n v="129"/>
    <x v="1"/>
    <s v="Non-material amendment to planning permission dated 19/07/2018 ref 2017/4380 (Erection of a podium building with three buildings above (providing part 2, 6, 8, 11 and 24 storeys plus basement level) to provide 299 residential units including affordable and market housing, with circa 5,943 sq m of Class D1 education space, including 537 sq m of associated Class A3/A4 café and drinking establishment space. Provision of car parking, cycle parking, refuse storage and plant in the basement, and associated roof plant enclosure. Removal of and replacement of trees, landscaping, provision of and improvements to public realm including the removal of tree planters, widening of street frontages and resurfacing of York Place (on north-western side) to create a shared surface and introduction of a drop off point.) to allow conversion of the 2 x 3 bed flats on level 23 of Block C to a 1 x 3 bed. penthouse."/>
    <s v="S96A"/>
    <d v="2019-12-11T00:00:00"/>
    <d v="2019-12-19T00:00:00"/>
    <x v="1"/>
    <s v="Nil"/>
    <m/>
    <s v="BF"/>
    <s v="NB"/>
    <x v="1"/>
    <x v="7"/>
    <n v="0.178000003099442"/>
    <d v="2019-03-31T00:00:00"/>
    <x v="0"/>
    <m/>
    <x v="0"/>
    <s v="M"/>
    <s v="10.4"/>
    <m/>
    <n v="0"/>
    <n v="0"/>
    <n v="0"/>
    <n v="0"/>
    <n v="2"/>
    <n v="40"/>
    <n v="76"/>
    <n v="11"/>
    <n v="0"/>
    <n v="0"/>
    <n v="0"/>
    <n v="2"/>
    <n v="40"/>
    <n v="76"/>
    <n v="11"/>
    <n v="0"/>
    <n v="0"/>
    <n v="0"/>
    <n v="0"/>
    <n v="0"/>
    <n v="0"/>
    <n v="0"/>
    <n v="0"/>
    <n v="0"/>
    <n v="0"/>
    <n v="0"/>
    <n v="0"/>
    <n v="0"/>
    <n v="0"/>
    <n v="0"/>
    <n v="0"/>
    <n v="0"/>
    <x v="0"/>
    <x v="0"/>
    <x v="0"/>
    <x v="0"/>
    <x v="0"/>
    <m/>
    <x v="1"/>
    <x v="0"/>
    <n v="5"/>
    <m/>
    <m/>
    <n v="32.25"/>
    <n v="32.25"/>
    <n v="32.25"/>
    <n v="32.25"/>
    <m/>
    <m/>
    <m/>
    <m/>
    <m/>
    <m/>
    <m/>
    <m/>
    <m/>
    <m/>
    <m/>
    <m/>
    <m/>
    <m/>
    <m/>
    <n v="129"/>
    <n v="129"/>
  </r>
  <r>
    <n v="3568"/>
    <x v="1"/>
    <s v="2017/3099"/>
    <s v="33 Roedean Crescent"/>
    <m/>
    <n v="521152"/>
    <n v="174359"/>
    <x v="13"/>
    <d v="2018-03-31T00:00:00"/>
    <m/>
    <n v="1"/>
    <n v="1"/>
    <n v="0"/>
    <n v="2"/>
    <n v="1"/>
    <x v="0"/>
    <s v="Demolition of existing building and erection of 2 x 5-bedroom three storey houses (top floor in roof); associated garages, landscaping and parking and alterations to front boundary; (Amended scheme to that granted planning permission dated 28/06/16 ref. 2016/1017 [Demolition of existing house and erection of 2 x three-storey houses plus basement houses with external light-wells and associated landscaping and car parking. Alterations to front boundary) to omit basements and lightwells and amend site layout."/>
    <s v="PF"/>
    <d v="2017-06-19T00:00:00"/>
    <d v="2017-10-19T00:00:00"/>
    <x v="0"/>
    <s v="Nil"/>
    <m/>
    <s v="Gdn"/>
    <s v="NB"/>
    <x v="0"/>
    <x v="5"/>
    <n v="6.9000000000000006E-2"/>
    <d v="2019-06-30T00:00:00"/>
    <x v="1"/>
    <m/>
    <x v="0"/>
    <s v="M"/>
    <m/>
    <m/>
    <n v="0"/>
    <n v="1"/>
    <n v="0"/>
    <n v="0"/>
    <n v="0"/>
    <n v="0"/>
    <n v="0"/>
    <n v="0"/>
    <n v="-1"/>
    <n v="1"/>
    <n v="0"/>
    <n v="0"/>
    <n v="0"/>
    <n v="0"/>
    <n v="0"/>
    <n v="0"/>
    <n v="0"/>
    <n v="0"/>
    <n v="0"/>
    <n v="0"/>
    <n v="0"/>
    <n v="0"/>
    <n v="-1"/>
    <n v="1"/>
    <n v="0"/>
    <n v="0"/>
    <n v="0"/>
    <n v="0"/>
    <n v="0"/>
    <n v="0"/>
    <n v="0"/>
    <n v="0"/>
    <x v="0"/>
    <x v="0"/>
    <x v="0"/>
    <x v="0"/>
    <x v="0"/>
    <m/>
    <x v="0"/>
    <x v="0"/>
    <n v="2"/>
    <m/>
    <n v="0"/>
    <m/>
    <m/>
    <m/>
    <m/>
    <m/>
    <m/>
    <m/>
    <m/>
    <m/>
    <m/>
    <m/>
    <m/>
    <m/>
    <m/>
    <m/>
    <m/>
    <m/>
    <m/>
    <m/>
    <n v="0"/>
    <n v="0"/>
  </r>
  <r>
    <n v="3652"/>
    <x v="1"/>
    <s v="2016/0654"/>
    <s v="9-15 Elcho Street"/>
    <m/>
    <n v="527224"/>
    <n v="177200"/>
    <x v="11"/>
    <d v="2019-04-16T00:00:00"/>
    <m/>
    <n v="0"/>
    <n v="4"/>
    <n v="4"/>
    <n v="4"/>
    <n v="4"/>
    <x v="0"/>
    <s v="Demolition of existing garage and erection of a ten-storey building comprising 4 residential units (4 x two-bedrooms) and 108 sq m of flexible commercial floorspace (Use Classes B1 (office)/A1 (retail)/A3 (restaurant/cafe)/D1 (non-residential institution) at ground and first floor levels, including associated balconies and roof terraces, cycle parking and refuse storage."/>
    <s v="PF"/>
    <d v="2016-02-12T00:00:00"/>
    <d v="2016-05-27T00:00:00"/>
    <x v="0"/>
    <s v="Nil"/>
    <m/>
    <s v="BF"/>
    <s v="NB"/>
    <x v="0"/>
    <x v="5"/>
    <n v="4.1999999433755902E-2"/>
    <d v="2019-04-16T00:00:00"/>
    <x v="1"/>
    <m/>
    <x v="0"/>
    <s v="M"/>
    <m/>
    <m/>
    <n v="0"/>
    <n v="0"/>
    <n v="0"/>
    <n v="0"/>
    <n v="0"/>
    <n v="0"/>
    <n v="4"/>
    <n v="0"/>
    <n v="0"/>
    <n v="0"/>
    <n v="0"/>
    <n v="0"/>
    <n v="0"/>
    <n v="4"/>
    <n v="0"/>
    <n v="0"/>
    <n v="0"/>
    <n v="0"/>
    <n v="0"/>
    <n v="0"/>
    <n v="0"/>
    <n v="0"/>
    <n v="0"/>
    <n v="0"/>
    <n v="0"/>
    <n v="0"/>
    <n v="0"/>
    <n v="0"/>
    <n v="0"/>
    <n v="0"/>
    <n v="0"/>
    <n v="0"/>
    <x v="0"/>
    <x v="0"/>
    <x v="0"/>
    <x v="0"/>
    <x v="0"/>
    <m/>
    <x v="1"/>
    <x v="0"/>
    <n v="2"/>
    <m/>
    <n v="4"/>
    <m/>
    <m/>
    <m/>
    <m/>
    <m/>
    <m/>
    <m/>
    <m/>
    <m/>
    <m/>
    <m/>
    <m/>
    <m/>
    <m/>
    <m/>
    <m/>
    <m/>
    <m/>
    <m/>
    <n v="4"/>
    <n v="4"/>
  </r>
  <r>
    <n v="3704"/>
    <x v="1"/>
    <s v="2019/4763"/>
    <s v="67 Blakenham Road"/>
    <m/>
    <n v="527795"/>
    <n v="171699"/>
    <x v="10"/>
    <d v="2017-10-03T00:00:00"/>
    <m/>
    <n v="0"/>
    <n v="1"/>
    <n v="1"/>
    <n v="1"/>
    <n v="1"/>
    <x v="0"/>
    <s v="Demolition of existing building and erection of a two-storey (plus basement) 2-bedroom dwelling (retrospective)."/>
    <s v="PF"/>
    <d v="2019-12-10T00:00:00"/>
    <d v="2020-02-11T00:00:00"/>
    <x v="1"/>
    <s v="Nil"/>
    <m/>
    <s v="BF"/>
    <s v="NB"/>
    <x v="0"/>
    <x v="5"/>
    <n v="4.0000001899898104E-3"/>
    <d v="2017-10-03T00:00:00"/>
    <x v="0"/>
    <m/>
    <x v="0"/>
    <s v="M"/>
    <m/>
    <m/>
    <n v="0"/>
    <n v="0"/>
    <n v="0"/>
    <n v="0"/>
    <n v="0"/>
    <n v="0"/>
    <n v="1"/>
    <n v="0"/>
    <n v="0"/>
    <n v="0"/>
    <n v="0"/>
    <n v="0"/>
    <n v="0"/>
    <n v="0"/>
    <n v="0"/>
    <n v="0"/>
    <n v="0"/>
    <n v="0"/>
    <n v="0"/>
    <n v="0"/>
    <n v="1"/>
    <n v="0"/>
    <n v="0"/>
    <n v="0"/>
    <n v="0"/>
    <n v="0"/>
    <n v="0"/>
    <n v="0"/>
    <n v="0"/>
    <n v="0"/>
    <n v="0"/>
    <n v="0"/>
    <x v="0"/>
    <x v="0"/>
    <x v="0"/>
    <x v="0"/>
    <x v="0"/>
    <m/>
    <x v="0"/>
    <x v="0"/>
    <n v="2"/>
    <m/>
    <n v="1"/>
    <m/>
    <m/>
    <m/>
    <m/>
    <m/>
    <m/>
    <m/>
    <m/>
    <m/>
    <m/>
    <m/>
    <m/>
    <m/>
    <m/>
    <m/>
    <m/>
    <m/>
    <m/>
    <m/>
    <n v="1"/>
    <n v="1"/>
  </r>
  <r>
    <n v="3938"/>
    <x v="1"/>
    <s v="2016/3778"/>
    <s v="Sleaford Street Industrial Estate &amp; Dairy Crest Distribution Depot, Sleaford Street (Battersea Power Station Phase 4A)"/>
    <s v="Phase 4A (A1.1, A1.2 and A1.3)"/>
    <n v="529318"/>
    <n v="177190"/>
    <x v="12"/>
    <d v="2019-03-25T00:00:00"/>
    <m/>
    <n v="0"/>
    <n v="168"/>
    <n v="168"/>
    <n v="386"/>
    <n v="386"/>
    <x v="1"/>
    <s v="Application under Section 73 of the Town and Country Planning Act (as amended) for Amendments to planning permission (ref: 2015/3555) dated 3rd December 2015 (as amended by 19th April 2016 approval for non-material amendments under Section 96A - ref: 2016/2065) for the demolition of all existing buildings, and construction of seven new buildings of between 1-storey and 18-storeys, containing residential units; non-residential institution (D1) floorspace; business (B1) floorspace; retail/restaurant &amp; cafe (A1/A3) floorspace); and an electricity substation. The proposals include vehicle/cycle parking, plant, the alteration of the vehicle access from Thessaly Road, and associated works and landscaping. (The Amendments include removal of the primary electricity substation; removal of the basement level; provision of car and cycle parking at grade; replacement of flexible B1/C3 use on ground floor of Block A2 with B1 use and flexible A1/A3/B1 use; reconfiguration of health centre; revised finished floor level to Block A1; reduction in footprint of Block A2; minor alterations to elevations; and reconfiguration of internal layouts resulting in changes to unit and tenure mix and 12 additional residential units overall). An Environmental Statement has been submitted with the application under the Town and Country Planning (Environmental Impact Assessment) Regulations 2011 (as amended 2015)."/>
    <s v="S73"/>
    <d v="2016-06-30T00:00:00"/>
    <d v="2016-11-21T00:00:00"/>
    <x v="0"/>
    <s v="Nil"/>
    <m/>
    <s v="BF"/>
    <s v="NB"/>
    <x v="1"/>
    <x v="7"/>
    <n v="0.30899998545646701"/>
    <d v="2019-03-25T00:00:00"/>
    <x v="0"/>
    <m/>
    <x v="1"/>
    <s v="IR"/>
    <s v="2.1.14"/>
    <m/>
    <n v="168"/>
    <n v="0"/>
    <n v="17"/>
    <n v="26"/>
    <n v="0"/>
    <n v="62"/>
    <n v="44"/>
    <n v="30"/>
    <n v="32"/>
    <n v="0"/>
    <n v="0"/>
    <n v="0"/>
    <n v="62"/>
    <n v="44"/>
    <n v="30"/>
    <n v="32"/>
    <n v="0"/>
    <n v="0"/>
    <n v="0"/>
    <n v="0"/>
    <n v="0"/>
    <n v="0"/>
    <n v="0"/>
    <n v="0"/>
    <n v="0"/>
    <n v="0"/>
    <n v="0"/>
    <n v="0"/>
    <n v="0"/>
    <n v="0"/>
    <n v="0"/>
    <n v="0"/>
    <x v="0"/>
    <x v="1"/>
    <x v="0"/>
    <x v="0"/>
    <x v="0"/>
    <m/>
    <x v="0"/>
    <x v="0"/>
    <n v="21"/>
    <m/>
    <m/>
    <n v="168"/>
    <m/>
    <m/>
    <m/>
    <m/>
    <m/>
    <m/>
    <m/>
    <m/>
    <m/>
    <m/>
    <m/>
    <m/>
    <m/>
    <m/>
    <m/>
    <m/>
    <m/>
    <m/>
    <n v="168"/>
    <n v="168"/>
  </r>
  <r>
    <n v="3938"/>
    <x v="1"/>
    <s v="2016/3778"/>
    <s v="Sleaford Street Industrial Estate &amp; Dairy Crest Distribution Depot, Sleaford Street (Battersea Power Station Phase 4A)"/>
    <s v="Phase 4A (A1.4 and A1.5)"/>
    <n v="529318"/>
    <n v="177190"/>
    <x v="12"/>
    <d v="2019-03-25T00:00:00"/>
    <m/>
    <n v="0"/>
    <n v="136"/>
    <n v="136"/>
    <n v="386"/>
    <n v="386"/>
    <x v="1"/>
    <s v="Application under Section 73 of the Town and Country Planning Act (as amended) for Amendments to planning permission (ref: 2015/3555) dated 3rd December 2015 (as amended by 19th April 2016 approval for non-material amendments under Section 96A - ref: 2016/2065) for the demolition of all existing buildings, and construction of seven new buildings of between 1-storey and 18-storeys, containing residential units; non-residential institution (D1) floorspace; business (B1) floorspace; retail/restaurant &amp; cafe (A1/A3) floorspace); and an electricity substation. The proposals include vehicle/cycle parking, plant, the alteration of the vehicle access from Thessaly Road, and associated works and landscaping. (The Amendments include removal of the primary electricity substation; removal of the basement level; provision of car and cycle parking at grade; replacement of flexible B1/C3 use on ground floor of Block A2 with B1 use and flexible A1/A3/B1 use; reconfiguration of health centre; revised finished floor level to Block A1; reduction in footprint of Block A2; minor alterations to elevations; and reconfiguration of internal layouts resulting in changes to unit and tenure mix and 12 additional residential units overall). An Environmental Statement has been submitted with the application under the Town and Country Planning (Environmental Impact Assessment) Regulations 2011 (as amended 2015)."/>
    <s v="S73"/>
    <d v="2016-06-30T00:00:00"/>
    <d v="2016-11-21T00:00:00"/>
    <x v="0"/>
    <s v="Nil"/>
    <m/>
    <s v="BF"/>
    <s v="NB"/>
    <x v="1"/>
    <x v="7"/>
    <n v="0.25"/>
    <d v="2019-03-25T00:00:00"/>
    <x v="0"/>
    <m/>
    <x v="1"/>
    <s v="ISO"/>
    <s v="2.1.14"/>
    <m/>
    <n v="136"/>
    <n v="0"/>
    <n v="14"/>
    <n v="13"/>
    <n v="6"/>
    <n v="78"/>
    <n v="52"/>
    <n v="0"/>
    <n v="0"/>
    <n v="0"/>
    <n v="0"/>
    <n v="6"/>
    <n v="78"/>
    <n v="52"/>
    <n v="0"/>
    <n v="0"/>
    <n v="0"/>
    <n v="0"/>
    <n v="0"/>
    <n v="0"/>
    <n v="0"/>
    <n v="0"/>
    <n v="0"/>
    <n v="0"/>
    <n v="0"/>
    <n v="0"/>
    <n v="0"/>
    <n v="0"/>
    <n v="0"/>
    <n v="0"/>
    <n v="0"/>
    <n v="0"/>
    <x v="0"/>
    <x v="1"/>
    <x v="0"/>
    <x v="0"/>
    <x v="0"/>
    <m/>
    <x v="0"/>
    <x v="0"/>
    <n v="21"/>
    <m/>
    <m/>
    <n v="136"/>
    <m/>
    <m/>
    <m/>
    <m/>
    <m/>
    <m/>
    <m/>
    <m/>
    <m/>
    <m/>
    <m/>
    <m/>
    <m/>
    <m/>
    <m/>
    <m/>
    <m/>
    <m/>
    <n v="136"/>
    <n v="136"/>
  </r>
  <r>
    <n v="3938"/>
    <x v="1"/>
    <s v="2016/3778"/>
    <s v="Sleaford Street Industrial Estate &amp; Dairy Crest Distribution Depot, Sleaford Street (Battersea Power Station Phase 4A)"/>
    <s v="Phase 4A (A2 and A3)"/>
    <n v="529318"/>
    <n v="177190"/>
    <x v="12"/>
    <d v="2019-03-25T00:00:00"/>
    <m/>
    <n v="0"/>
    <n v="82"/>
    <n v="82"/>
    <n v="386"/>
    <n v="386"/>
    <x v="1"/>
    <s v="Application under Section 73 of the Town and Country Planning Act (as amended) for Amendments to planning permission (ref: 2015/3555) dated 3rd December 2015 (as amended by 19th April 2016 approval for non-material amendments under Section 96A - ref: 2016/2065) for the demolition of all existing buildings, and construction of seven new buildings of between 1-storey and 18-storeys, containing residential units; non-residential institution (D1) floorspace; business (B1) floorspace; retail/restaurant &amp; cafe (A1/A3) floorspace); and an electricity substation. The proposals include vehicle/cycle parking, plant, the alteration of the vehicle access from Thessaly Road, and associated works and landscaping. (The Amendments include removal of the primary electricity substation; removal of the basement level; provision of car and cycle parking at grade; replacement of flexible B1/C3 use on ground floor of Block A2 with B1 use and flexible A1/A3/B1 use; reconfiguration of health centre; revised finished floor level to Block A1; reduction in footprint of Block A2; minor alterations to elevations; and reconfiguration of internal layouts resulting in changes to unit and tenure mix and 12 additional residential units overall). An Environmental Statement has been submitted with the application under the Town and Country Planning (Environmental Impact Assessment) Regulations 2011 (as amended 2015)."/>
    <s v="S73"/>
    <d v="2016-06-30T00:00:00"/>
    <d v="2016-11-21T00:00:00"/>
    <x v="0"/>
    <s v="Nil"/>
    <m/>
    <s v="BF"/>
    <s v="NB"/>
    <x v="1"/>
    <x v="7"/>
    <n v="0.15099999308586101"/>
    <d v="2020-03-23T00:00:00"/>
    <x v="1"/>
    <m/>
    <x v="1"/>
    <s v="IR"/>
    <s v="2.1.14"/>
    <m/>
    <n v="82"/>
    <n v="0"/>
    <n v="8"/>
    <n v="0"/>
    <n v="0"/>
    <n v="0"/>
    <n v="40"/>
    <n v="39"/>
    <n v="3"/>
    <n v="0"/>
    <n v="0"/>
    <n v="0"/>
    <n v="0"/>
    <n v="40"/>
    <n v="39"/>
    <n v="3"/>
    <n v="0"/>
    <n v="0"/>
    <n v="0"/>
    <n v="0"/>
    <n v="0"/>
    <n v="0"/>
    <n v="0"/>
    <n v="0"/>
    <n v="0"/>
    <n v="0"/>
    <n v="0"/>
    <n v="0"/>
    <n v="0"/>
    <n v="0"/>
    <n v="0"/>
    <n v="0"/>
    <x v="0"/>
    <x v="1"/>
    <x v="0"/>
    <x v="0"/>
    <x v="0"/>
    <m/>
    <x v="0"/>
    <x v="0"/>
    <n v="21"/>
    <m/>
    <m/>
    <n v="82"/>
    <m/>
    <m/>
    <m/>
    <m/>
    <m/>
    <m/>
    <m/>
    <m/>
    <m/>
    <m/>
    <m/>
    <m/>
    <m/>
    <m/>
    <m/>
    <m/>
    <m/>
    <m/>
    <n v="82"/>
    <n v="82"/>
  </r>
  <r>
    <n v="3943"/>
    <x v="1"/>
    <s v="2017/6764"/>
    <s v="Royal Mail Group Site, Ponton Road (Nine Elms Park)"/>
    <s v="Plots B and D"/>
    <n v="529575"/>
    <n v="177401"/>
    <x v="12"/>
    <d v="2019-09-03T00:00:00"/>
    <m/>
    <n v="0"/>
    <n v="733"/>
    <n v="733"/>
    <n v="894"/>
    <n v="894"/>
    <x v="1"/>
    <s v="Reserved Matters application for scale, layout, access, external appearance and landscaping pursuant to Condition 3 of planning application 2017/6762 for &quot;Minor Material Amendment pursuant to conditions 1, 2, 9, 11, 15, 32 and 41 of part outline and part detailed planning permission 2016/2424, dated 23rd January 2017 for Minor Material Amendment pursuant to conditions 3 , 9 , 10 , 13 , 18 , 32 and 41 of part outline/part detailed planning permission 2011/2462, dated 30/03/12 for demolition of all existing buildings and construction of mixed use redevelopment comprising 7 building plots with buildings up to 23 storeys to provide residential units; commercial and community floorspace; associated basement parking and part of the 'Nine Elms Linear Park'. All matters reserved apart from appearance and scale of Blocks B1, D1 &amp; G and two new access points from Nine Elms Lane.&quot;"/>
    <s v="DT"/>
    <d v="2017-12-12T00:00:00"/>
    <d v="2019-03-29T00:00:00"/>
    <x v="0"/>
    <s v="Nil"/>
    <m/>
    <s v="BF"/>
    <s v="NB"/>
    <x v="1"/>
    <x v="7"/>
    <n v="0.71600002050399802"/>
    <d v="2019-09-03T00:00:00"/>
    <x v="1"/>
    <m/>
    <x v="0"/>
    <s v="MR"/>
    <s v="2.1.18"/>
    <m/>
    <n v="0"/>
    <n v="660"/>
    <n v="0"/>
    <n v="73"/>
    <n v="176"/>
    <n v="175"/>
    <n v="305"/>
    <n v="77"/>
    <n v="0"/>
    <n v="0"/>
    <n v="0"/>
    <n v="176"/>
    <n v="175"/>
    <n v="305"/>
    <n v="77"/>
    <n v="0"/>
    <n v="0"/>
    <n v="0"/>
    <n v="0"/>
    <n v="0"/>
    <n v="0"/>
    <n v="0"/>
    <n v="0"/>
    <n v="0"/>
    <n v="0"/>
    <n v="0"/>
    <n v="0"/>
    <n v="0"/>
    <n v="0"/>
    <n v="0"/>
    <n v="0"/>
    <n v="0"/>
    <x v="0"/>
    <x v="1"/>
    <x v="0"/>
    <x v="0"/>
    <x v="0"/>
    <m/>
    <x v="0"/>
    <x v="0"/>
    <n v="21"/>
    <m/>
    <m/>
    <m/>
    <m/>
    <n v="733"/>
    <m/>
    <m/>
    <m/>
    <m/>
    <m/>
    <m/>
    <m/>
    <m/>
    <m/>
    <m/>
    <m/>
    <m/>
    <m/>
    <m/>
    <m/>
    <m/>
    <n v="733"/>
    <n v="733"/>
  </r>
  <r>
    <n v="3943"/>
    <x v="1"/>
    <s v="2017/6764"/>
    <s v="Royal Mail Group Site, Ponton Road (Nine Elms Park)"/>
    <s v="Plots B and D"/>
    <n v="529575"/>
    <n v="177401"/>
    <x v="12"/>
    <d v="2019-09-03T00:00:00"/>
    <m/>
    <n v="0"/>
    <n v="161"/>
    <n v="161"/>
    <n v="894"/>
    <n v="894"/>
    <x v="1"/>
    <s v="Reserved Matters application for scale, layout, access, external appearance and landscaping pursuant to Condition 3 of planning application 2017/6762 for &quot;Minor Material Amendment pursuant to conditions 1, 2, 9, 11, 15, 32 and 41 of part outline and part detailed planning permission 2016/2424, dated 23rd January 2017 for Minor Material Amendment pursuant to conditions 3 , 9 , 10 , 13 , 18 , 32 and 41 of part outline/part detailed planning permission 2011/2462, dated 30/03/12 for demolition of all existing buildings and construction of mixed use redevelopment comprising 7 building plots with buildings up to 23 storeys to provide residential units; commercial and community floorspace; associated basement parking and part of the 'Nine Elms Linear Park'. All matters reserved apart from appearance and scale of Blocks B1, D1 &amp; G and two new access points from Nine Elms Lane.&quot;"/>
    <s v="DT"/>
    <d v="2017-12-12T00:00:00"/>
    <d v="2019-03-29T00:00:00"/>
    <x v="0"/>
    <s v="Nil"/>
    <m/>
    <s v="BF"/>
    <s v="NB"/>
    <x v="1"/>
    <x v="12"/>
    <n v="0.15700000524520899"/>
    <d v="2019-09-03T00:00:00"/>
    <x v="1"/>
    <m/>
    <x v="1"/>
    <s v="IRD"/>
    <s v="2.1.18"/>
    <m/>
    <n v="0"/>
    <n v="145"/>
    <n v="0"/>
    <n v="16"/>
    <n v="0"/>
    <n v="56"/>
    <n v="95"/>
    <n v="10"/>
    <n v="0"/>
    <n v="0"/>
    <n v="0"/>
    <n v="0"/>
    <n v="56"/>
    <n v="95"/>
    <n v="10"/>
    <n v="0"/>
    <n v="0"/>
    <n v="0"/>
    <n v="0"/>
    <n v="0"/>
    <n v="0"/>
    <n v="0"/>
    <n v="0"/>
    <n v="0"/>
    <n v="0"/>
    <n v="0"/>
    <n v="0"/>
    <n v="0"/>
    <n v="0"/>
    <n v="0"/>
    <n v="0"/>
    <n v="0"/>
    <x v="0"/>
    <x v="1"/>
    <x v="0"/>
    <x v="0"/>
    <x v="0"/>
    <m/>
    <x v="0"/>
    <x v="0"/>
    <n v="21"/>
    <m/>
    <m/>
    <m/>
    <m/>
    <n v="161"/>
    <m/>
    <m/>
    <m/>
    <m/>
    <m/>
    <m/>
    <m/>
    <m/>
    <m/>
    <m/>
    <m/>
    <m/>
    <m/>
    <m/>
    <m/>
    <m/>
    <n v="161"/>
    <n v="161"/>
  </r>
  <r>
    <n v="3943"/>
    <x v="1"/>
    <s v="2019/1696"/>
    <s v="Royal Mail Group Site, Ponton Road (Nine Elms Park)"/>
    <s v="Plot C1 - Block A"/>
    <n v="529575"/>
    <n v="177401"/>
    <x v="12"/>
    <d v="2019-11-29T00:00:00"/>
    <m/>
    <n v="0"/>
    <n v="96"/>
    <n v="96"/>
    <n v="262"/>
    <n v="262"/>
    <x v="1"/>
    <s v="Application for approval of reserved matters (Access, Appearance, Landscaping, Layout and Scale) for Plot C1 pursuant to Condition 3 of part outline and part detailed planning permission 2017/6762 dated 28/03/2019 for &quot;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quot;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quot;"/>
    <s v="DT"/>
    <d v="2019-04-17T00:00:00"/>
    <d v="2019-06-19T00:00:00"/>
    <x v="1"/>
    <s v="Nil"/>
    <m/>
    <s v="BF"/>
    <s v="NB"/>
    <x v="1"/>
    <x v="7"/>
    <n v="0.104000002145767"/>
    <d v="2020-03-31T00:00:00"/>
    <x v="1"/>
    <m/>
    <x v="0"/>
    <s v="M"/>
    <s v="2.1.18"/>
    <m/>
    <n v="0"/>
    <n v="86"/>
    <n v="0"/>
    <n v="10"/>
    <n v="0"/>
    <n v="32"/>
    <n v="43"/>
    <n v="21"/>
    <n v="0"/>
    <n v="0"/>
    <n v="0"/>
    <n v="0"/>
    <n v="32"/>
    <n v="43"/>
    <n v="21"/>
    <n v="0"/>
    <n v="0"/>
    <n v="0"/>
    <n v="0"/>
    <n v="0"/>
    <n v="0"/>
    <n v="0"/>
    <n v="0"/>
    <n v="0"/>
    <n v="0"/>
    <n v="0"/>
    <n v="0"/>
    <n v="0"/>
    <n v="0"/>
    <n v="0"/>
    <n v="0"/>
    <n v="0"/>
    <x v="0"/>
    <x v="1"/>
    <x v="0"/>
    <x v="0"/>
    <x v="0"/>
    <m/>
    <x v="0"/>
    <x v="0"/>
    <n v="21"/>
    <m/>
    <m/>
    <m/>
    <m/>
    <n v="96"/>
    <m/>
    <m/>
    <m/>
    <m/>
    <m/>
    <m/>
    <m/>
    <m/>
    <m/>
    <m/>
    <m/>
    <m/>
    <m/>
    <m/>
    <m/>
    <m/>
    <n v="96"/>
    <n v="96"/>
  </r>
  <r>
    <n v="3943"/>
    <x v="1"/>
    <s v="2019/1696"/>
    <s v="Royal Mail Group Site, Ponton Road (Nine Elms Park)"/>
    <s v="Plot C1 - Block B"/>
    <n v="529575"/>
    <n v="177401"/>
    <x v="12"/>
    <d v="2019-11-29T00:00:00"/>
    <m/>
    <n v="0"/>
    <n v="100"/>
    <n v="100"/>
    <n v="262"/>
    <n v="262"/>
    <x v="1"/>
    <s v="Application for approval of reserved matters (Access, Appearance, Landscaping, Layout and Scale) for Plot C1 pursuant to Condition 3 of part outline and part detailed planning permission 2017/6762 dated 28/03/2019 for &quot;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quot;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quot;"/>
    <s v="DT"/>
    <d v="2019-04-17T00:00:00"/>
    <d v="2019-06-19T00:00:00"/>
    <x v="1"/>
    <s v="Nil"/>
    <m/>
    <s v="BF"/>
    <s v="NB"/>
    <x v="1"/>
    <x v="7"/>
    <n v="0.108000002801418"/>
    <d v="2020-03-31T00:00:00"/>
    <x v="1"/>
    <m/>
    <x v="0"/>
    <s v="M"/>
    <s v="2.1.18"/>
    <m/>
    <n v="0"/>
    <n v="90"/>
    <n v="0"/>
    <n v="10"/>
    <n v="0"/>
    <n v="30"/>
    <n v="70"/>
    <n v="0"/>
    <n v="0"/>
    <n v="0"/>
    <n v="0"/>
    <n v="0"/>
    <n v="30"/>
    <n v="70"/>
    <n v="0"/>
    <n v="0"/>
    <n v="0"/>
    <n v="0"/>
    <n v="0"/>
    <n v="0"/>
    <n v="0"/>
    <n v="0"/>
    <n v="0"/>
    <n v="0"/>
    <n v="0"/>
    <n v="0"/>
    <n v="0"/>
    <n v="0"/>
    <n v="0"/>
    <n v="0"/>
    <n v="0"/>
    <n v="0"/>
    <x v="0"/>
    <x v="1"/>
    <x v="0"/>
    <x v="0"/>
    <x v="0"/>
    <m/>
    <x v="0"/>
    <x v="0"/>
    <n v="21"/>
    <m/>
    <m/>
    <m/>
    <m/>
    <n v="100"/>
    <m/>
    <m/>
    <m/>
    <m/>
    <m/>
    <m/>
    <m/>
    <m/>
    <m/>
    <m/>
    <m/>
    <m/>
    <m/>
    <m/>
    <m/>
    <m/>
    <n v="100"/>
    <n v="100"/>
  </r>
  <r>
    <n v="3943"/>
    <x v="1"/>
    <s v="2019/1696"/>
    <s v="Royal Mail Group Site, Ponton Road (Nine Elms Park)"/>
    <s v="Plot C1 - Block C"/>
    <n v="529575"/>
    <n v="177401"/>
    <x v="12"/>
    <d v="2019-11-29T00:00:00"/>
    <m/>
    <n v="0"/>
    <n v="40"/>
    <n v="40"/>
    <n v="262"/>
    <n v="262"/>
    <x v="1"/>
    <s v="Application for approval of reserved matters (Access, Appearance, Landscaping, Layout and Scale) for Plot C1 pursuant to Condition 3 of part outline and part detailed planning permission 2017/6762 dated 28/03/2019 for &quot;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quot;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quot;"/>
    <s v="DT"/>
    <d v="2019-04-17T00:00:00"/>
    <d v="2019-06-19T00:00:00"/>
    <x v="1"/>
    <s v="Nil"/>
    <m/>
    <s v="BF"/>
    <s v="NB"/>
    <x v="1"/>
    <x v="7"/>
    <n v="4.3000001460313797E-2"/>
    <d v="2020-03-31T00:00:00"/>
    <x v="1"/>
    <m/>
    <x v="2"/>
    <s v="AA"/>
    <s v="2.1.18"/>
    <m/>
    <n v="0"/>
    <n v="36"/>
    <n v="0"/>
    <n v="4"/>
    <n v="0"/>
    <n v="10"/>
    <n v="17"/>
    <n v="12"/>
    <n v="1"/>
    <n v="0"/>
    <n v="0"/>
    <n v="0"/>
    <n v="10"/>
    <n v="17"/>
    <n v="12"/>
    <n v="1"/>
    <n v="0"/>
    <n v="0"/>
    <n v="0"/>
    <n v="0"/>
    <n v="0"/>
    <n v="0"/>
    <n v="0"/>
    <n v="0"/>
    <n v="0"/>
    <n v="0"/>
    <n v="0"/>
    <n v="0"/>
    <n v="0"/>
    <n v="0"/>
    <n v="0"/>
    <n v="0"/>
    <x v="0"/>
    <x v="1"/>
    <x v="0"/>
    <x v="0"/>
    <x v="0"/>
    <m/>
    <x v="0"/>
    <x v="0"/>
    <n v="21"/>
    <m/>
    <m/>
    <m/>
    <m/>
    <n v="40"/>
    <m/>
    <m/>
    <m/>
    <m/>
    <m/>
    <m/>
    <m/>
    <m/>
    <m/>
    <m/>
    <m/>
    <m/>
    <m/>
    <m/>
    <m/>
    <m/>
    <n v="40"/>
    <n v="40"/>
  </r>
  <r>
    <n v="3943"/>
    <x v="1"/>
    <s v="2019/1696"/>
    <s v="Royal Mail Group Site, Ponton Road (Nine Elms Park)"/>
    <s v="Plot C1 - Block C"/>
    <n v="529575"/>
    <n v="177401"/>
    <x v="12"/>
    <d v="2019-11-29T00:00:00"/>
    <m/>
    <n v="0"/>
    <n v="26"/>
    <n v="26"/>
    <n v="262"/>
    <n v="262"/>
    <x v="1"/>
    <s v="Application for approval of reserved matters (Access, Appearance, Landscaping, Layout and Scale) for Plot C1 pursuant to Condition 3 of part outline and part detailed planning permission 2017/6762 dated 28/03/2019 for &quot;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quot;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quot;"/>
    <s v="DT"/>
    <d v="2019-04-17T00:00:00"/>
    <d v="2019-06-19T00:00:00"/>
    <x v="1"/>
    <s v="Nil"/>
    <m/>
    <s v="BF"/>
    <s v="NB"/>
    <x v="1"/>
    <x v="7"/>
    <n v="2.8000000864267301E-2"/>
    <d v="2020-03-31T00:00:00"/>
    <x v="1"/>
    <m/>
    <x v="1"/>
    <s v="ISO"/>
    <s v="2.1.18"/>
    <m/>
    <n v="0"/>
    <n v="23"/>
    <n v="0"/>
    <n v="3"/>
    <n v="0"/>
    <n v="8"/>
    <n v="18"/>
    <n v="0"/>
    <n v="0"/>
    <n v="0"/>
    <n v="0"/>
    <n v="0"/>
    <n v="8"/>
    <n v="18"/>
    <n v="0"/>
    <n v="0"/>
    <n v="0"/>
    <n v="0"/>
    <n v="0"/>
    <n v="0"/>
    <n v="0"/>
    <n v="0"/>
    <n v="0"/>
    <n v="0"/>
    <n v="0"/>
    <n v="0"/>
    <n v="0"/>
    <n v="0"/>
    <n v="0"/>
    <n v="0"/>
    <n v="0"/>
    <n v="0"/>
    <x v="0"/>
    <x v="1"/>
    <x v="0"/>
    <x v="0"/>
    <x v="0"/>
    <m/>
    <x v="0"/>
    <x v="0"/>
    <n v="21"/>
    <m/>
    <m/>
    <m/>
    <m/>
    <n v="26"/>
    <m/>
    <m/>
    <m/>
    <m/>
    <m/>
    <m/>
    <m/>
    <m/>
    <m/>
    <m/>
    <m/>
    <m/>
    <m/>
    <m/>
    <m/>
    <m/>
    <n v="26"/>
    <n v="26"/>
  </r>
  <r>
    <n v="3961"/>
    <x v="1"/>
    <s v="2017/4726"/>
    <s v="Dadu's Parade, 180-218 Upper Tooting Road"/>
    <m/>
    <n v="527645"/>
    <n v="171873"/>
    <x v="1"/>
    <d v="2018-10-03T00:00:00"/>
    <m/>
    <n v="0"/>
    <n v="29"/>
    <n v="29"/>
    <n v="41"/>
    <n v="41"/>
    <x v="1"/>
    <s v="Demolition of the existing buildings, with the retention and restoration of the RACS building facade and redevelopment of the remainder of the site to provide a part single/part four/part five-storey building to provide up to 2,105sqm of flexible floorspace at ground level for retail, financial and professional services, restaurant, pub and bar (Classes A1-A4) and 173sqm floorspace for community use (Class D1/D2); a 96-bedroom hotel (Class C1); 41 residential units (comprising 9 x 1-bedroom, 29 x 2-bedroom and 3 x 3-bedroom units); associated car parking for 45 cars (including 29 spaces for public use), 124 cycle parking spaces, servicing areas and landscaping."/>
    <s v="PFLA"/>
    <d v="2017-08-24T00:00:00"/>
    <d v="2018-08-10T00:00:00"/>
    <x v="0"/>
    <s v="Nil"/>
    <m/>
    <s v="BF"/>
    <s v="NB"/>
    <x v="1"/>
    <x v="7"/>
    <n v="0.14599999785423301"/>
    <d v="2018-10-03T00:00:00"/>
    <x v="0"/>
    <m/>
    <x v="0"/>
    <s v="M"/>
    <s v="5.1"/>
    <m/>
    <n v="0"/>
    <n v="26"/>
    <n v="0"/>
    <n v="3"/>
    <n v="0"/>
    <n v="7"/>
    <n v="20"/>
    <n v="2"/>
    <n v="0"/>
    <n v="0"/>
    <n v="0"/>
    <n v="0"/>
    <n v="7"/>
    <n v="20"/>
    <n v="2"/>
    <n v="0"/>
    <n v="0"/>
    <n v="0"/>
    <n v="0"/>
    <n v="0"/>
    <n v="0"/>
    <n v="0"/>
    <n v="0"/>
    <n v="0"/>
    <n v="0"/>
    <n v="0"/>
    <n v="0"/>
    <n v="0"/>
    <n v="0"/>
    <n v="0"/>
    <n v="0"/>
    <n v="0"/>
    <x v="4"/>
    <x v="0"/>
    <x v="0"/>
    <x v="0"/>
    <x v="0"/>
    <m/>
    <x v="0"/>
    <x v="0"/>
    <n v="4"/>
    <m/>
    <m/>
    <n v="29"/>
    <m/>
    <m/>
    <m/>
    <m/>
    <m/>
    <m/>
    <m/>
    <m/>
    <m/>
    <m/>
    <m/>
    <m/>
    <m/>
    <m/>
    <m/>
    <m/>
    <m/>
    <m/>
    <n v="29"/>
    <n v="29"/>
  </r>
  <r>
    <n v="3961"/>
    <x v="1"/>
    <s v="2017/4726"/>
    <s v="Dadu's Parade, 180-218 Upper Tooting Road"/>
    <m/>
    <n v="527645"/>
    <n v="171873"/>
    <x v="1"/>
    <d v="2018-10-03T00:00:00"/>
    <m/>
    <n v="0"/>
    <n v="12"/>
    <n v="12"/>
    <n v="41"/>
    <n v="41"/>
    <x v="1"/>
    <s v="Demolition of the existing buildings, with the retention and restoration of the RACS building facade and redevelopment of the remainder of the site to provide a part single/part four/part five-storey building to provide up to 2,105sqm of flexible floorspace at ground level for retail, financial and professional services, restaurant, pub and bar (Classes A1-A4) and 173sqm floorspace for community use (Class D1/D2); a 96-bedroom hotel (Class C1); 41 residential units (comprising 9 x 1-bedroom, 29 x 2-bedroom and 3 x 3-bedroom units); associated car parking for 45 cars (including 29 spaces for public use), 124 cycle parking spaces, servicing areas and landscaping."/>
    <s v="PFLA"/>
    <d v="2017-08-24T00:00:00"/>
    <d v="2018-08-10T00:00:00"/>
    <x v="0"/>
    <s v="Nil"/>
    <m/>
    <s v="BF"/>
    <s v="NB"/>
    <x v="1"/>
    <x v="7"/>
    <n v="5.9999998658895499E-2"/>
    <d v="2018-10-03T00:00:00"/>
    <x v="0"/>
    <m/>
    <x v="1"/>
    <s v="ISO"/>
    <s v="5.1"/>
    <m/>
    <n v="0"/>
    <n v="11"/>
    <n v="0"/>
    <n v="1"/>
    <n v="0"/>
    <n v="2"/>
    <n v="8"/>
    <n v="1"/>
    <n v="1"/>
    <n v="0"/>
    <n v="0"/>
    <n v="0"/>
    <n v="2"/>
    <n v="8"/>
    <n v="1"/>
    <n v="1"/>
    <n v="0"/>
    <n v="0"/>
    <n v="0"/>
    <n v="0"/>
    <n v="0"/>
    <n v="0"/>
    <n v="0"/>
    <n v="0"/>
    <n v="0"/>
    <n v="0"/>
    <n v="0"/>
    <n v="0"/>
    <n v="0"/>
    <n v="0"/>
    <n v="0"/>
    <n v="0"/>
    <x v="4"/>
    <x v="0"/>
    <x v="0"/>
    <x v="0"/>
    <x v="0"/>
    <m/>
    <x v="0"/>
    <x v="0"/>
    <n v="4"/>
    <m/>
    <m/>
    <n v="12"/>
    <m/>
    <m/>
    <m/>
    <m/>
    <m/>
    <m/>
    <m/>
    <m/>
    <m/>
    <m/>
    <m/>
    <m/>
    <m/>
    <m/>
    <m/>
    <m/>
    <m/>
    <m/>
    <n v="12"/>
    <n v="12"/>
  </r>
  <r>
    <n v="4122"/>
    <x v="1"/>
    <s v="2017/1096"/>
    <s v="Land rear of 134, Cavendish Road"/>
    <m/>
    <n v="529138"/>
    <n v="174076"/>
    <x v="6"/>
    <d v="2019-03-04T00:00:00"/>
    <m/>
    <n v="0"/>
    <n v="1"/>
    <n v="1"/>
    <n v="1"/>
    <n v="1"/>
    <x v="0"/>
    <s v="Erection of two-storey 3-bedroom house (with loft level accommodation provided via a rear dormer) to the end of the Hazelbourne Road terrace."/>
    <s v="PF"/>
    <d v="2017-02-24T00:00:00"/>
    <d v="2017-04-21T00:00:00"/>
    <x v="0"/>
    <s v="Nil"/>
    <m/>
    <s v="BF"/>
    <s v="NB"/>
    <x v="0"/>
    <x v="5"/>
    <n v="7.0000002160668399E-3"/>
    <d v="2019-03-04T00:00:00"/>
    <x v="0"/>
    <m/>
    <x v="0"/>
    <s v="M"/>
    <m/>
    <m/>
    <n v="0"/>
    <n v="0"/>
    <n v="0"/>
    <n v="0"/>
    <n v="0"/>
    <n v="0"/>
    <n v="0"/>
    <n v="1"/>
    <n v="0"/>
    <n v="0"/>
    <n v="0"/>
    <n v="0"/>
    <n v="0"/>
    <n v="0"/>
    <n v="0"/>
    <n v="0"/>
    <n v="0"/>
    <n v="0"/>
    <n v="0"/>
    <n v="0"/>
    <n v="0"/>
    <n v="1"/>
    <n v="0"/>
    <n v="0"/>
    <n v="0"/>
    <n v="0"/>
    <n v="0"/>
    <n v="0"/>
    <n v="0"/>
    <n v="0"/>
    <n v="0"/>
    <n v="0"/>
    <x v="0"/>
    <x v="0"/>
    <x v="0"/>
    <x v="0"/>
    <x v="0"/>
    <m/>
    <x v="0"/>
    <x v="0"/>
    <n v="2"/>
    <m/>
    <n v="1"/>
    <m/>
    <m/>
    <m/>
    <m/>
    <m/>
    <m/>
    <m/>
    <m/>
    <m/>
    <m/>
    <m/>
    <m/>
    <m/>
    <m/>
    <m/>
    <m/>
    <m/>
    <m/>
    <m/>
    <n v="1"/>
    <n v="1"/>
  </r>
  <r>
    <n v="4260"/>
    <x v="1"/>
    <s v="2013/5264"/>
    <s v="155 Burntwood Lane"/>
    <m/>
    <n v="526461"/>
    <n v="172543"/>
    <x v="8"/>
    <d v="2018-03-31T00:00:00"/>
    <m/>
    <n v="0"/>
    <n v="4"/>
    <n v="4"/>
    <n v="4"/>
    <n v="4"/>
    <x v="0"/>
    <s v="Demolition of rear addition and alterations including erection of part single part two-storey front, side, rear extensions to rear addition, alterations to front and side ground floor elevations and enclosure of front and side forecourt in connection with use as three flats."/>
    <s v="PF"/>
    <d v="2013-10-21T00:00:00"/>
    <d v="2013-10-21T00:00:00"/>
    <x v="0"/>
    <s v="Nil"/>
    <m/>
    <s v="BF"/>
    <s v="MIX"/>
    <x v="0"/>
    <x v="4"/>
    <n v="3.4000001847744002E-2"/>
    <d v="2018-03-31T00:00:00"/>
    <x v="0"/>
    <m/>
    <x v="0"/>
    <s v="M"/>
    <m/>
    <m/>
    <n v="0"/>
    <n v="0"/>
    <n v="0"/>
    <n v="0"/>
    <n v="0"/>
    <n v="1"/>
    <n v="2"/>
    <n v="1"/>
    <n v="0"/>
    <n v="0"/>
    <n v="0"/>
    <n v="0"/>
    <n v="1"/>
    <n v="2"/>
    <n v="1"/>
    <n v="0"/>
    <n v="0"/>
    <n v="0"/>
    <n v="0"/>
    <n v="0"/>
    <n v="0"/>
    <n v="0"/>
    <n v="0"/>
    <n v="0"/>
    <n v="0"/>
    <n v="0"/>
    <n v="0"/>
    <n v="0"/>
    <n v="0"/>
    <n v="0"/>
    <n v="0"/>
    <n v="0"/>
    <x v="0"/>
    <x v="0"/>
    <x v="0"/>
    <x v="0"/>
    <x v="0"/>
    <m/>
    <x v="0"/>
    <x v="0"/>
    <n v="13"/>
    <m/>
    <n v="4"/>
    <m/>
    <m/>
    <m/>
    <m/>
    <m/>
    <m/>
    <m/>
    <m/>
    <m/>
    <m/>
    <m/>
    <m/>
    <m/>
    <m/>
    <m/>
    <m/>
    <m/>
    <m/>
    <m/>
    <n v="4"/>
    <n v="4"/>
  </r>
  <r>
    <n v="4368"/>
    <x v="1"/>
    <s v="2015/5221"/>
    <s v="6 Lavender Hill"/>
    <m/>
    <n v="528539"/>
    <n v="175783"/>
    <x v="9"/>
    <d v="2016-03-16T00:00:00"/>
    <m/>
    <n v="0"/>
    <n v="2"/>
    <n v="2"/>
    <n v="2"/>
    <n v="2"/>
    <x v="0"/>
    <s v="Alterations in connection with the use of the upper floors as 2 flats (1 x three-bedroom and 1 x 1-bedroom) including erection of front and rear roof extension to provide an additional floor of accommodation."/>
    <s v="PF"/>
    <d v="2015-10-16T00:00:00"/>
    <d v="2016-03-16T00:00:00"/>
    <x v="0"/>
    <s v="Nil"/>
    <m/>
    <s v="BF"/>
    <s v="MIX"/>
    <x v="0"/>
    <x v="5"/>
    <n v="7.0000002160668399E-3"/>
    <d v="2016-03-16T00:00:00"/>
    <x v="0"/>
    <m/>
    <x v="0"/>
    <s v="M"/>
    <m/>
    <m/>
    <n v="0"/>
    <n v="0"/>
    <n v="0"/>
    <n v="0"/>
    <n v="0"/>
    <n v="1"/>
    <n v="0"/>
    <n v="1"/>
    <n v="0"/>
    <n v="0"/>
    <n v="0"/>
    <n v="0"/>
    <n v="1"/>
    <n v="0"/>
    <n v="1"/>
    <n v="0"/>
    <n v="0"/>
    <n v="0"/>
    <n v="0"/>
    <n v="0"/>
    <n v="0"/>
    <n v="0"/>
    <n v="0"/>
    <n v="0"/>
    <n v="0"/>
    <n v="0"/>
    <n v="0"/>
    <n v="0"/>
    <n v="0"/>
    <n v="0"/>
    <n v="0"/>
    <n v="0"/>
    <x v="0"/>
    <x v="0"/>
    <x v="0"/>
    <x v="0"/>
    <x v="0"/>
    <m/>
    <x v="0"/>
    <x v="0"/>
    <n v="13"/>
    <m/>
    <n v="2"/>
    <m/>
    <m/>
    <m/>
    <m/>
    <m/>
    <m/>
    <m/>
    <m/>
    <m/>
    <m/>
    <m/>
    <m/>
    <m/>
    <m/>
    <m/>
    <m/>
    <m/>
    <m/>
    <m/>
    <n v="2"/>
    <n v="2"/>
  </r>
  <r>
    <n v="4474"/>
    <x v="1"/>
    <s v="2014/5383"/>
    <s v="19-21 Mitcham Road"/>
    <m/>
    <n v="527533"/>
    <n v="171477"/>
    <x v="10"/>
    <d v="2019-08-06T00:00:00"/>
    <m/>
    <n v="0"/>
    <n v="13"/>
    <n v="13"/>
    <n v="19"/>
    <n v="19"/>
    <x v="1"/>
    <s v="Conversion of existing building at first, second, and third floor levels into 19 self contained apartments."/>
    <s v="PFLA"/>
    <d v="2014-09-09T00:00:00"/>
    <d v="2016-08-12T00:00:00"/>
    <x v="0"/>
    <s v="Nil"/>
    <m/>
    <s v="BF"/>
    <s v="COU"/>
    <x v="3"/>
    <x v="7"/>
    <n v="0.10000000149011599"/>
    <d v="2019-08-06T00:00:00"/>
    <x v="1"/>
    <m/>
    <x v="0"/>
    <s v="MR"/>
    <s v="5.2"/>
    <m/>
    <n v="9"/>
    <n v="0"/>
    <n v="2"/>
    <n v="0"/>
    <n v="1"/>
    <n v="1"/>
    <n v="11"/>
    <n v="0"/>
    <n v="0"/>
    <n v="0"/>
    <n v="0"/>
    <n v="1"/>
    <n v="1"/>
    <n v="11"/>
    <n v="0"/>
    <n v="0"/>
    <n v="0"/>
    <n v="0"/>
    <n v="0"/>
    <n v="0"/>
    <n v="0"/>
    <n v="0"/>
    <n v="0"/>
    <n v="0"/>
    <n v="0"/>
    <n v="0"/>
    <n v="0"/>
    <n v="0"/>
    <n v="0"/>
    <n v="0"/>
    <n v="0"/>
    <n v="0"/>
    <x v="4"/>
    <x v="0"/>
    <x v="0"/>
    <x v="0"/>
    <x v="0"/>
    <m/>
    <x v="0"/>
    <x v="0"/>
    <n v="13"/>
    <m/>
    <n v="13"/>
    <m/>
    <m/>
    <m/>
    <m/>
    <m/>
    <m/>
    <m/>
    <m/>
    <m/>
    <m/>
    <m/>
    <m/>
    <m/>
    <m/>
    <m/>
    <m/>
    <m/>
    <m/>
    <m/>
    <n v="13"/>
    <n v="13"/>
  </r>
  <r>
    <n v="4474"/>
    <x v="1"/>
    <s v="2014/5383"/>
    <s v="19-21 Mitcham Road"/>
    <m/>
    <n v="527533"/>
    <n v="171477"/>
    <x v="10"/>
    <d v="2019-08-06T00:00:00"/>
    <m/>
    <n v="0"/>
    <n v="6"/>
    <n v="6"/>
    <n v="19"/>
    <n v="19"/>
    <x v="1"/>
    <s v="Conversion of existing building at first, second, and third floor levels into 19 self contained apartments."/>
    <s v="PFLA"/>
    <d v="2014-09-09T00:00:00"/>
    <d v="2016-08-12T00:00:00"/>
    <x v="0"/>
    <s v="Nil"/>
    <m/>
    <s v="BF"/>
    <s v="COU"/>
    <x v="3"/>
    <x v="7"/>
    <n v="4.3000001460313797E-2"/>
    <d v="2019-08-06T00:00:00"/>
    <x v="1"/>
    <m/>
    <x v="1"/>
    <s v="IR"/>
    <s v="5.2"/>
    <m/>
    <n v="0"/>
    <n v="0"/>
    <n v="0"/>
    <n v="0"/>
    <n v="0"/>
    <n v="3"/>
    <n v="3"/>
    <n v="0"/>
    <n v="0"/>
    <n v="0"/>
    <n v="0"/>
    <n v="0"/>
    <n v="3"/>
    <n v="3"/>
    <n v="0"/>
    <n v="0"/>
    <n v="0"/>
    <n v="0"/>
    <n v="0"/>
    <n v="0"/>
    <n v="0"/>
    <n v="0"/>
    <n v="0"/>
    <n v="0"/>
    <n v="0"/>
    <n v="0"/>
    <n v="0"/>
    <n v="0"/>
    <n v="0"/>
    <n v="0"/>
    <n v="0"/>
    <n v="0"/>
    <x v="4"/>
    <x v="0"/>
    <x v="0"/>
    <x v="0"/>
    <x v="0"/>
    <m/>
    <x v="0"/>
    <x v="0"/>
    <n v="13"/>
    <m/>
    <n v="6"/>
    <m/>
    <m/>
    <m/>
    <m/>
    <m/>
    <m/>
    <m/>
    <m/>
    <m/>
    <m/>
    <m/>
    <m/>
    <m/>
    <m/>
    <m/>
    <m/>
    <m/>
    <m/>
    <m/>
    <n v="6"/>
    <n v="6"/>
  </r>
  <r>
    <n v="4482"/>
    <x v="1"/>
    <s v="2016/6164"/>
    <s v="Linton Fuels, Osiers Road (Land at Linton Fuels Osiers Road)"/>
    <m/>
    <n v="525443"/>
    <n v="175090"/>
    <x v="0"/>
    <d v="2017-10-01T00:00:00"/>
    <m/>
    <n v="0"/>
    <n v="80"/>
    <n v="80"/>
    <n v="109"/>
    <n v="109"/>
    <x v="1"/>
    <s v="Redevelopment of the site to provide a mixed use development in buildings ranging in height between ten and fourteen storeys, linked by a two-storey podium element, to provide 926 sq.m. (GIA) of flexible commercial floorspace (for use for either A1 (retail), A2 (financial and professional services), A3 (restaurant), B1 (business), D1 (non-residential institutions) or D2 (assembly and leisure), and 109 residential units, together with 20 car parking spaces at first floor level (with ramped access from Osiers Road) and 222  cycle parking spaces, with associated amenity space provision, including roof terraces and balconies, together with provision  of landscaping/areas of public realm and other associated works."/>
    <s v="PFLA"/>
    <d v="2016-10-25T00:00:00"/>
    <d v="2017-09-07T00:00:00"/>
    <x v="0"/>
    <s v="Nil"/>
    <m/>
    <s v="BF"/>
    <s v="NB"/>
    <x v="1"/>
    <x v="7"/>
    <n v="0.14200000464916199"/>
    <d v="2017-10-01T00:00:00"/>
    <x v="0"/>
    <m/>
    <x v="0"/>
    <s v="M"/>
    <s v="3.3.4"/>
    <m/>
    <n v="80"/>
    <n v="75"/>
    <n v="0"/>
    <n v="5"/>
    <n v="0"/>
    <n v="6"/>
    <n v="64"/>
    <n v="10"/>
    <n v="0"/>
    <n v="0"/>
    <n v="0"/>
    <n v="0"/>
    <n v="6"/>
    <n v="64"/>
    <n v="10"/>
    <n v="0"/>
    <n v="0"/>
    <n v="0"/>
    <n v="0"/>
    <n v="0"/>
    <n v="0"/>
    <n v="0"/>
    <n v="0"/>
    <n v="0"/>
    <n v="0"/>
    <n v="0"/>
    <n v="0"/>
    <n v="0"/>
    <n v="0"/>
    <n v="0"/>
    <n v="0"/>
    <n v="0"/>
    <x v="0"/>
    <x v="0"/>
    <x v="1"/>
    <x v="0"/>
    <x v="0"/>
    <m/>
    <x v="0"/>
    <x v="0"/>
    <n v="5"/>
    <m/>
    <m/>
    <n v="20"/>
    <n v="20"/>
    <n v="20"/>
    <n v="20"/>
    <m/>
    <m/>
    <m/>
    <m/>
    <m/>
    <m/>
    <m/>
    <m/>
    <m/>
    <m/>
    <m/>
    <m/>
    <m/>
    <m/>
    <m/>
    <n v="80"/>
    <n v="80"/>
  </r>
  <r>
    <n v="4482"/>
    <x v="1"/>
    <s v="2016/6164"/>
    <s v="Linton Fuels, Osiers Road (Land at Linton Fuels Osiers Road)"/>
    <m/>
    <n v="525443"/>
    <n v="175090"/>
    <x v="0"/>
    <d v="2017-10-01T00:00:00"/>
    <m/>
    <n v="0"/>
    <n v="29"/>
    <n v="29"/>
    <n v="109"/>
    <n v="109"/>
    <x v="1"/>
    <s v="Redevelopment of the site to provide a mixed use development in buildings ranging in height between ten and fourteen storeys, linked by a two-storey podium element, to provide 926 sq.m. (GIA) of flexible commercial floorspace (for use for either A1 (retail), A2 (financial and professional services), A3 (restaurant), B1 (business), D1 (non-residential institutions) or D2 (assembly and leisure), and 109 residential units, together with 20 car parking spaces at first floor level (with ramped access from Osiers Road) and 222  cycle parking spaces, with associated amenity space provision, including roof terraces and balconies, together with provision  of landscaping/areas of public realm and other associated works."/>
    <s v="PFLA"/>
    <d v="2016-10-25T00:00:00"/>
    <d v="2017-09-07T00:00:00"/>
    <x v="0"/>
    <s v="Nil"/>
    <m/>
    <s v="BF"/>
    <s v="NB"/>
    <x v="1"/>
    <x v="7"/>
    <n v="9.4999998807907104E-2"/>
    <d v="2017-10-01T00:00:00"/>
    <x v="0"/>
    <m/>
    <x v="1"/>
    <s v="ISO"/>
    <s v="3.3.4"/>
    <m/>
    <n v="29"/>
    <n v="23"/>
    <n v="0"/>
    <n v="6"/>
    <n v="0"/>
    <n v="16"/>
    <n v="13"/>
    <n v="0"/>
    <n v="0"/>
    <n v="0"/>
    <n v="0"/>
    <n v="0"/>
    <n v="16"/>
    <n v="13"/>
    <n v="0"/>
    <n v="0"/>
    <n v="0"/>
    <n v="0"/>
    <n v="0"/>
    <n v="0"/>
    <n v="0"/>
    <n v="0"/>
    <n v="0"/>
    <n v="0"/>
    <n v="0"/>
    <n v="0"/>
    <n v="0"/>
    <n v="0"/>
    <n v="0"/>
    <n v="0"/>
    <n v="0"/>
    <n v="0"/>
    <x v="0"/>
    <x v="0"/>
    <x v="1"/>
    <x v="0"/>
    <x v="0"/>
    <m/>
    <x v="0"/>
    <x v="0"/>
    <n v="5"/>
    <m/>
    <m/>
    <n v="7.25"/>
    <n v="7.25"/>
    <n v="7.25"/>
    <n v="7.25"/>
    <m/>
    <m/>
    <m/>
    <m/>
    <m/>
    <m/>
    <m/>
    <m/>
    <m/>
    <m/>
    <m/>
    <m/>
    <m/>
    <m/>
    <m/>
    <n v="29"/>
    <n v="29"/>
  </r>
  <r>
    <n v="4513"/>
    <x v="1"/>
    <s v="2018/3709"/>
    <s v="9, 11 and 19 Osiers Road"/>
    <m/>
    <n v="525336"/>
    <n v="175122"/>
    <x v="0"/>
    <d v="2020-01-06T00:00:00"/>
    <m/>
    <n v="0"/>
    <n v="93"/>
    <n v="93"/>
    <n v="168"/>
    <n v="168"/>
    <x v="1"/>
    <s v="Demolition of existing buildings, and erection of a mixed use development in buildings ranging in height between 10 and 14 storeys, with a two-storey linked element, to provide 3,653 sq.m. (GIA) of business (class B1) floorspace, with ancillary café (Class A3), and 152 sq.m. of flexible commercial floorspace for either A1 (retail), A2 (financial and professional services), A3 (restaurant), B1 (business), D1(non-residential institutions) or D2 (assembly and leisure) use, and 168 residential units (all of affordable tenure) with associated amenity space, including roof terrace and balconies, together with 10 disabled persons car parking spaces at basement level, and 333 cycle parking spaces, with the provision of landscaping and areas of public realm, and other associated works including highway improvements and provision of a new sub-station."/>
    <s v="PFLA"/>
    <d v="2018-07-31T00:00:00"/>
    <d v="2019-10-18T00:00:00"/>
    <x v="1"/>
    <s v="Nil"/>
    <m/>
    <s v="BF"/>
    <s v="NB"/>
    <x v="0"/>
    <x v="5"/>
    <n v="0.101000003516674"/>
    <d v="2020-01-06T00:00:00"/>
    <x v="1"/>
    <m/>
    <x v="1"/>
    <s v="ISO"/>
    <s v="3.3.3"/>
    <n v="17320283"/>
    <n v="0"/>
    <n v="84"/>
    <n v="0"/>
    <n v="9"/>
    <n v="0"/>
    <n v="17"/>
    <n v="68"/>
    <n v="8"/>
    <n v="0"/>
    <n v="0"/>
    <n v="0"/>
    <n v="0"/>
    <n v="17"/>
    <n v="68"/>
    <n v="8"/>
    <n v="0"/>
    <n v="0"/>
    <n v="0"/>
    <n v="0"/>
    <n v="0"/>
    <n v="0"/>
    <n v="0"/>
    <n v="0"/>
    <n v="0"/>
    <n v="0"/>
    <n v="0"/>
    <n v="0"/>
    <n v="0"/>
    <n v="0"/>
    <n v="0"/>
    <n v="0"/>
    <n v="0"/>
    <x v="0"/>
    <x v="0"/>
    <x v="1"/>
    <x v="0"/>
    <x v="0"/>
    <m/>
    <x v="0"/>
    <x v="0"/>
    <n v="4"/>
    <m/>
    <m/>
    <m/>
    <n v="93"/>
    <m/>
    <m/>
    <m/>
    <m/>
    <m/>
    <m/>
    <m/>
    <m/>
    <m/>
    <m/>
    <m/>
    <m/>
    <m/>
    <m/>
    <m/>
    <m/>
    <m/>
    <n v="93"/>
    <n v="93"/>
  </r>
  <r>
    <n v="4513"/>
    <x v="1"/>
    <s v="2018/3709"/>
    <s v="9, 11 and 19 Osiers Road"/>
    <m/>
    <n v="525336"/>
    <n v="175122"/>
    <x v="0"/>
    <d v="2020-01-06T00:00:00"/>
    <m/>
    <n v="0"/>
    <n v="75"/>
    <n v="75"/>
    <n v="168"/>
    <n v="168"/>
    <x v="1"/>
    <s v="Demolition of existing buildings, and erection of a mixed use development in buildings ranging in height between 10 and 14 storeys, with a two-storey linked element, to provide 3,653 sq.m. (GIA) of business (class B1) floorspace, with ancillary café (Class A3), and 152 sq.m. of flexible commercial floorspace for either A1 (retail), A2 (financial and professional services), A3 (restaurant), B1 (business), D1(non-residential institutions) or D2 (assembly and leisure) use, and 168 residential units (all of affordable tenure) with associated amenity space, including roof terrace and balconies, together with 10 disabled persons car parking spaces at basement level, and 333 cycle parking spaces, with the provision of landscaping and areas of public realm, and other associated works including highway improvements and provision of a new sub-station."/>
    <s v="PFLA"/>
    <d v="2018-07-31T00:00:00"/>
    <d v="2019-10-18T00:00:00"/>
    <x v="1"/>
    <s v="Nil"/>
    <m/>
    <s v="BF"/>
    <s v="NB"/>
    <x v="1"/>
    <x v="7"/>
    <n v="8.2000002264976501E-2"/>
    <d v="2020-01-06T00:00:00"/>
    <x v="1"/>
    <m/>
    <x v="2"/>
    <s v="AL"/>
    <s v="3.3.3"/>
    <n v="17320283"/>
    <n v="0"/>
    <n v="68"/>
    <n v="0"/>
    <n v="8"/>
    <n v="0"/>
    <n v="20"/>
    <n v="43"/>
    <n v="11"/>
    <n v="1"/>
    <n v="0"/>
    <n v="0"/>
    <n v="0"/>
    <n v="20"/>
    <n v="43"/>
    <n v="11"/>
    <n v="1"/>
    <n v="0"/>
    <n v="0"/>
    <n v="0"/>
    <n v="0"/>
    <n v="0"/>
    <n v="0"/>
    <n v="0"/>
    <n v="0"/>
    <n v="0"/>
    <n v="0"/>
    <n v="0"/>
    <n v="0"/>
    <n v="0"/>
    <n v="0"/>
    <n v="0"/>
    <n v="0"/>
    <x v="0"/>
    <x v="0"/>
    <x v="1"/>
    <x v="0"/>
    <x v="0"/>
    <m/>
    <x v="0"/>
    <x v="0"/>
    <n v="4"/>
    <m/>
    <m/>
    <m/>
    <n v="75"/>
    <m/>
    <m/>
    <m/>
    <m/>
    <m/>
    <m/>
    <m/>
    <m/>
    <m/>
    <m/>
    <m/>
    <m/>
    <m/>
    <m/>
    <m/>
    <m/>
    <m/>
    <n v="75"/>
    <n v="75"/>
  </r>
  <r>
    <n v="4717"/>
    <x v="1"/>
    <s v="2014/5149"/>
    <s v="South Thames College &amp; Welbeck House, 17-27 Garratt Lane (Wandsworth Exchange)"/>
    <s v="Block B"/>
    <n v="525735"/>
    <n v="174565"/>
    <x v="2"/>
    <d v="2016-06-01T00:00:00"/>
    <m/>
    <n v="0"/>
    <n v="106"/>
    <n v="106"/>
    <n v="201"/>
    <n v="201"/>
    <x v="1"/>
    <s v="Demolition of existing buildings and erection of four new buildings ranging in height from 4 to 26 storeys to provide 201 residential units, 2,458sq.m of commercial floor space (Class A1, A2, A3, A4 and A5, B1(a)) and D1 (relocation of Wandsworth library) and associated parking, access routes, amenity space, public realm works and alterations to the adjacent Old Burial Ground on Garratt Lane."/>
    <s v="PFLA"/>
    <d v="2014-10-08T00:00:00"/>
    <d v="2015-07-08T00:00:00"/>
    <x v="0"/>
    <s v="Nil"/>
    <m/>
    <s v="BF"/>
    <s v="NB"/>
    <x v="1"/>
    <x v="7"/>
    <n v="0.29100000858306901"/>
    <d v="2016-06-01T00:00:00"/>
    <x v="0"/>
    <m/>
    <x v="0"/>
    <s v="M"/>
    <s v="3.1.4"/>
    <m/>
    <n v="106"/>
    <n v="0"/>
    <n v="0"/>
    <n v="12"/>
    <n v="0"/>
    <n v="15"/>
    <n v="84"/>
    <n v="7"/>
    <n v="0"/>
    <n v="0"/>
    <n v="0"/>
    <n v="0"/>
    <n v="15"/>
    <n v="84"/>
    <n v="7"/>
    <n v="0"/>
    <n v="0"/>
    <n v="0"/>
    <n v="0"/>
    <n v="0"/>
    <n v="0"/>
    <n v="0"/>
    <n v="0"/>
    <n v="0"/>
    <n v="0"/>
    <n v="0"/>
    <n v="0"/>
    <n v="0"/>
    <n v="0"/>
    <n v="0"/>
    <n v="0"/>
    <n v="0"/>
    <x v="3"/>
    <x v="0"/>
    <x v="1"/>
    <x v="0"/>
    <x v="0"/>
    <m/>
    <x v="0"/>
    <x v="0"/>
    <n v="4"/>
    <m/>
    <n v="106"/>
    <m/>
    <m/>
    <m/>
    <m/>
    <m/>
    <m/>
    <m/>
    <m/>
    <m/>
    <m/>
    <m/>
    <m/>
    <m/>
    <m/>
    <m/>
    <m/>
    <m/>
    <m/>
    <m/>
    <n v="106"/>
    <n v="106"/>
  </r>
  <r>
    <n v="4718"/>
    <x v="1"/>
    <s v="2017/7069"/>
    <s v="Main Site, Ballymore, Ponton Road (Embassy Gardens)"/>
    <s v="A03"/>
    <n v="529643"/>
    <n v="177593"/>
    <x v="12"/>
    <d v="2016-09-01T00:00:00"/>
    <m/>
    <n v="0"/>
    <n v="313"/>
    <n v="313"/>
    <n v="313"/>
    <n v="313"/>
    <x v="1"/>
    <s v="Revised Reserved Matters Details (scale, layout, access, external appearance and landscaping) in respect of Phase 2, to allow (i) Reconfiguration of floorplans to Plot A03 to provide 34 additional units and (ii) minor design changes to balconies, ground and mezzanine floors and façade elevations associated with the above floorplan amendments. Details pursuant to condition 3 of planning permission 2011/1815 dated 30th March 2012 for demolition of all existing buildings and construction of a mixed use redevelopment to provide residential units, including affordable housing, retail, financial and professional services, café/restaurant, bar and hot food take-away uses, car showrooms, office floorspace and flexible workspace, a hotel, community uses and assembly and leisure uses, associated basement and ground level parking and servicing; energy centres; new vehicle and pedestrian access and circulation; and new public amenity space and landscaping including part of the 'Linear Park'."/>
    <s v="DT"/>
    <d v="2018-01-04T00:00:00"/>
    <d v="2018-10-25T00:00:00"/>
    <x v="0"/>
    <s v="Nil"/>
    <m/>
    <s v="BF"/>
    <s v="NB"/>
    <x v="1"/>
    <x v="7"/>
    <n v="0.44220000505447399"/>
    <d v="2016-09-01T00:00:00"/>
    <x v="0"/>
    <m/>
    <x v="0"/>
    <s v="M"/>
    <s v="2.1.16"/>
    <m/>
    <n v="313"/>
    <n v="0"/>
    <n v="0"/>
    <n v="0"/>
    <n v="11"/>
    <n v="75"/>
    <n v="190"/>
    <n v="37"/>
    <n v="0"/>
    <n v="0"/>
    <n v="0"/>
    <n v="11"/>
    <n v="75"/>
    <n v="190"/>
    <n v="37"/>
    <n v="0"/>
    <n v="0"/>
    <n v="0"/>
    <n v="0"/>
    <n v="0"/>
    <n v="0"/>
    <n v="0"/>
    <n v="0"/>
    <n v="0"/>
    <n v="0"/>
    <n v="0"/>
    <n v="0"/>
    <n v="0"/>
    <n v="0"/>
    <n v="0"/>
    <n v="0"/>
    <n v="0"/>
    <x v="0"/>
    <x v="1"/>
    <x v="0"/>
    <x v="0"/>
    <x v="0"/>
    <m/>
    <x v="0"/>
    <x v="0"/>
    <n v="21"/>
    <m/>
    <n v="313"/>
    <m/>
    <m/>
    <m/>
    <m/>
    <m/>
    <m/>
    <m/>
    <m/>
    <m/>
    <m/>
    <m/>
    <m/>
    <m/>
    <m/>
    <m/>
    <m/>
    <m/>
    <m/>
    <m/>
    <n v="313"/>
    <n v="313"/>
  </r>
  <r>
    <n v="4718"/>
    <x v="1"/>
    <s v="2019/0536"/>
    <s v="Main Site, Ballymore, Ponton Road (Embassy Gardens)"/>
    <s v="A05"/>
    <n v="529643"/>
    <n v="177593"/>
    <x v="12"/>
    <d v="2016-09-01T00:00:00"/>
    <m/>
    <n v="0"/>
    <n v="253"/>
    <n v="253"/>
    <n v="336"/>
    <n v="336"/>
    <x v="1"/>
    <s v="Revised Reserved Matters details (appearance, layout) application in relation to Plot A05 within Phase 2 of the development permitted under planning permission 2011/1815, dated 30/03/12 (as amended) for the demolition of all existing buildings and construction of a mixed use redevelopment to provide residential units, including affordable housing, retail, financial and professional services, cafe/restaurant, bar and hot food take-away uses, car showrooms, office floorspace and flexible workspace, a hotel, community uses and assembly and leisure uses, associated basement and ground level parking and servicing; energy centres; new vehicle and pedestrian access and circulation; and new public amenity space and landscaping including part of the 'Linear Park'. The revised Reserved Matters are for the reconfiguration of the mezzanine area to achieve 2no. additional residential units, amendments to the ground floor layout and erection of additional retail screens, canopies and awnings."/>
    <s v="DT"/>
    <d v="2019-02-06T00:00:00"/>
    <d v="2019-04-12T00:00:00"/>
    <x v="1"/>
    <s v="Nil"/>
    <m/>
    <s v="BF"/>
    <s v="NB"/>
    <x v="1"/>
    <x v="7"/>
    <n v="0.33799999952316301"/>
    <d v="2016-09-01T00:00:00"/>
    <x v="0"/>
    <m/>
    <x v="0"/>
    <s v="M"/>
    <s v="2.1.16"/>
    <m/>
    <n v="0"/>
    <n v="0"/>
    <n v="0"/>
    <n v="0"/>
    <n v="0"/>
    <n v="21"/>
    <n v="48"/>
    <n v="160"/>
    <n v="23"/>
    <n v="1"/>
    <n v="0"/>
    <n v="0"/>
    <n v="21"/>
    <n v="48"/>
    <n v="160"/>
    <n v="23"/>
    <n v="1"/>
    <n v="0"/>
    <n v="0"/>
    <n v="0"/>
    <n v="0"/>
    <n v="0"/>
    <n v="0"/>
    <n v="0"/>
    <n v="0"/>
    <n v="0"/>
    <n v="0"/>
    <n v="0"/>
    <n v="0"/>
    <n v="0"/>
    <n v="0"/>
    <n v="0"/>
    <x v="0"/>
    <x v="1"/>
    <x v="0"/>
    <x v="0"/>
    <x v="0"/>
    <m/>
    <x v="0"/>
    <x v="0"/>
    <n v="21"/>
    <m/>
    <n v="253"/>
    <m/>
    <m/>
    <m/>
    <m/>
    <m/>
    <m/>
    <m/>
    <m/>
    <m/>
    <m/>
    <m/>
    <m/>
    <m/>
    <m/>
    <m/>
    <m/>
    <m/>
    <m/>
    <m/>
    <n v="253"/>
    <n v="253"/>
  </r>
  <r>
    <n v="4735"/>
    <x v="1"/>
    <s v="2019/2735"/>
    <s v="2 Penwortham Road"/>
    <m/>
    <n v="529233"/>
    <n v="171130"/>
    <x v="7"/>
    <d v="2020-02-11T00:00:00"/>
    <m/>
    <n v="0"/>
    <n v="1"/>
    <n v="1"/>
    <n v="1"/>
    <n v="1"/>
    <x v="0"/>
    <s v="Alterations including excavation works in connection with change of use from Office/Business (Class A2) to residential (Class C3) to provide 1 x 1 bedroom unit with roof terrace."/>
    <s v="PF"/>
    <d v="2019-07-15T00:00:00"/>
    <d v="2019-08-19T00:00:00"/>
    <x v="1"/>
    <s v="Nil"/>
    <m/>
    <s v="BF"/>
    <s v="COU"/>
    <x v="0"/>
    <x v="6"/>
    <n v="2.0000000949949E-3"/>
    <d v="2020-02-11T00:00:00"/>
    <x v="1"/>
    <m/>
    <x v="0"/>
    <s v="M"/>
    <m/>
    <m/>
    <n v="0"/>
    <n v="0"/>
    <n v="0"/>
    <n v="0"/>
    <n v="0"/>
    <n v="1"/>
    <n v="0"/>
    <n v="0"/>
    <n v="0"/>
    <n v="0"/>
    <n v="0"/>
    <n v="0"/>
    <n v="0"/>
    <n v="0"/>
    <n v="0"/>
    <n v="0"/>
    <n v="0"/>
    <n v="0"/>
    <n v="0"/>
    <n v="1"/>
    <n v="0"/>
    <n v="0"/>
    <n v="0"/>
    <n v="0"/>
    <n v="0"/>
    <n v="0"/>
    <n v="0"/>
    <n v="0"/>
    <n v="0"/>
    <n v="0"/>
    <n v="0"/>
    <n v="0"/>
    <x v="0"/>
    <x v="0"/>
    <x v="0"/>
    <x v="0"/>
    <x v="0"/>
    <m/>
    <x v="0"/>
    <x v="0"/>
    <n v="14"/>
    <m/>
    <n v="0.5"/>
    <n v="0.5"/>
    <m/>
    <m/>
    <m/>
    <m/>
    <m/>
    <m/>
    <m/>
    <m/>
    <m/>
    <m/>
    <m/>
    <m/>
    <m/>
    <m/>
    <m/>
    <m/>
    <m/>
    <m/>
    <n v="1"/>
    <n v="1"/>
  </r>
  <r>
    <n v="4775"/>
    <x v="1"/>
    <s v="2017/6840"/>
    <s v="Templeton, 118 Priory Lane"/>
    <m/>
    <n v="521333"/>
    <n v="174425"/>
    <x v="13"/>
    <m/>
    <m/>
    <n v="3"/>
    <n v="6"/>
    <n v="3"/>
    <n v="6"/>
    <n v="3"/>
    <x v="0"/>
    <s v="Alterations including redevelopment of the wardens' cottages to create 4 x 3-bedroomed two-storey (plus basement) cottages. Erection of new stable block including 2 x horse stalls, 2 x 1-bedroomed staff cottages, artist's studio and associated paddock. Erection of 1 x 5-bedroom two-storey (plus roof and basement) house."/>
    <s v="PF"/>
    <d v="2017-12-13T00:00:00"/>
    <d v="2018-04-19T00:00:00"/>
    <x v="0"/>
    <s v="Nil"/>
    <m/>
    <s v="BF"/>
    <s v="MIX"/>
    <x v="0"/>
    <x v="5"/>
    <n v="0.112999998033047"/>
    <d v="2019-03-31T00:00:00"/>
    <x v="0"/>
    <m/>
    <x v="0"/>
    <s v="M"/>
    <m/>
    <m/>
    <n v="0"/>
    <n v="0"/>
    <n v="0"/>
    <n v="0"/>
    <n v="0"/>
    <n v="1"/>
    <n v="1"/>
    <n v="1"/>
    <n v="0"/>
    <n v="0"/>
    <n v="0"/>
    <n v="0"/>
    <n v="0"/>
    <n v="0"/>
    <n v="0"/>
    <n v="0"/>
    <n v="0"/>
    <n v="0"/>
    <n v="0"/>
    <n v="1"/>
    <n v="1"/>
    <n v="1"/>
    <n v="0"/>
    <n v="0"/>
    <n v="0"/>
    <n v="0"/>
    <n v="0"/>
    <n v="0"/>
    <n v="0"/>
    <n v="0"/>
    <n v="0"/>
    <n v="0"/>
    <x v="0"/>
    <x v="0"/>
    <x v="0"/>
    <x v="0"/>
    <x v="0"/>
    <m/>
    <x v="0"/>
    <x v="0"/>
    <n v="16"/>
    <m/>
    <m/>
    <n v="3"/>
    <m/>
    <m/>
    <m/>
    <m/>
    <m/>
    <m/>
    <m/>
    <m/>
    <m/>
    <m/>
    <m/>
    <m/>
    <m/>
    <m/>
    <m/>
    <m/>
    <m/>
    <m/>
    <n v="3"/>
    <n v="3"/>
  </r>
  <r>
    <n v="4801"/>
    <x v="1"/>
    <s v="2014/4515"/>
    <s v="50 Thessaly Road"/>
    <m/>
    <n v="529529"/>
    <n v="176787"/>
    <x v="12"/>
    <d v="2015-03-31T00:00:00"/>
    <m/>
    <n v="0"/>
    <n v="15"/>
    <n v="15"/>
    <n v="15"/>
    <n v="15"/>
    <x v="1"/>
    <s v="Demolition of existing buildings and construction of a new development consisting of a four-storey block to provide 8no. flats, and 7no. two-storey (plus roof space) family houses, all for affordable rent.  Associated landscaping, car parking, bicycle and refuse storage."/>
    <s v="PF"/>
    <d v="2014-08-21T00:00:00"/>
    <d v="2014-11-10T00:00:00"/>
    <x v="0"/>
    <s v="Nil"/>
    <m/>
    <s v="BF"/>
    <s v="COU"/>
    <x v="3"/>
    <x v="7"/>
    <n v="0.15099999308586101"/>
    <d v="2015-03-31T00:00:00"/>
    <x v="0"/>
    <m/>
    <x v="2"/>
    <s v="AC"/>
    <m/>
    <m/>
    <n v="15"/>
    <n v="0"/>
    <n v="2"/>
    <n v="0"/>
    <n v="0"/>
    <n v="1"/>
    <n v="7"/>
    <n v="3"/>
    <n v="4"/>
    <n v="0"/>
    <n v="0"/>
    <n v="0"/>
    <n v="1"/>
    <n v="7"/>
    <n v="0"/>
    <n v="0"/>
    <n v="0"/>
    <n v="0"/>
    <n v="0"/>
    <n v="0"/>
    <n v="0"/>
    <n v="3"/>
    <n v="4"/>
    <n v="0"/>
    <n v="0"/>
    <n v="0"/>
    <n v="0"/>
    <n v="0"/>
    <n v="0"/>
    <n v="0"/>
    <n v="0"/>
    <n v="0"/>
    <x v="0"/>
    <x v="1"/>
    <x v="0"/>
    <x v="0"/>
    <x v="0"/>
    <m/>
    <x v="0"/>
    <x v="0"/>
    <n v="21"/>
    <m/>
    <n v="15"/>
    <m/>
    <m/>
    <m/>
    <m/>
    <m/>
    <m/>
    <m/>
    <m/>
    <m/>
    <m/>
    <m/>
    <m/>
    <m/>
    <m/>
    <m/>
    <m/>
    <m/>
    <m/>
    <m/>
    <n v="15"/>
    <n v="15"/>
  </r>
  <r>
    <n v="4864"/>
    <x v="1"/>
    <s v="2019/2541"/>
    <s v="1 Lavender Sweep"/>
    <m/>
    <n v="527602"/>
    <n v="175480"/>
    <x v="9"/>
    <d v="2020-01-30T00:00:00"/>
    <m/>
    <n v="0"/>
    <n v="1"/>
    <n v="1"/>
    <n v="1"/>
    <n v="1"/>
    <x v="0"/>
    <s v="Change of use from office (Class B1a) to residential (Class C3) to provide 1 x 5-bed dwellinghouse."/>
    <s v="PAG"/>
    <d v="2019-06-19T00:00:00"/>
    <d v="2019-08-05T00:00:00"/>
    <x v="1"/>
    <s v="Nil"/>
    <m/>
    <s v="BF"/>
    <s v="COU"/>
    <x v="0"/>
    <x v="6"/>
    <n v="1.4999999664723899E-2"/>
    <d v="2020-01-30T00:00:00"/>
    <x v="1"/>
    <m/>
    <x v="0"/>
    <s v="M"/>
    <m/>
    <m/>
    <n v="0"/>
    <n v="0"/>
    <n v="0"/>
    <n v="0"/>
    <n v="0"/>
    <n v="0"/>
    <n v="0"/>
    <n v="0"/>
    <n v="0"/>
    <n v="1"/>
    <n v="0"/>
    <n v="0"/>
    <n v="0"/>
    <n v="0"/>
    <n v="0"/>
    <n v="0"/>
    <n v="0"/>
    <n v="0"/>
    <n v="0"/>
    <n v="0"/>
    <n v="0"/>
    <n v="0"/>
    <n v="0"/>
    <n v="1"/>
    <n v="0"/>
    <n v="0"/>
    <n v="0"/>
    <n v="0"/>
    <n v="0"/>
    <n v="0"/>
    <n v="0"/>
    <n v="0"/>
    <x v="1"/>
    <x v="0"/>
    <x v="0"/>
    <x v="0"/>
    <x v="0"/>
    <m/>
    <x v="0"/>
    <x v="0"/>
    <n v="14"/>
    <m/>
    <n v="0.5"/>
    <n v="0.5"/>
    <m/>
    <m/>
    <m/>
    <m/>
    <m/>
    <m/>
    <m/>
    <m/>
    <m/>
    <m/>
    <m/>
    <m/>
    <m/>
    <m/>
    <m/>
    <m/>
    <m/>
    <m/>
    <n v="1"/>
    <n v="1"/>
  </r>
  <r>
    <n v="4865"/>
    <x v="1"/>
    <s v="2016/5341"/>
    <s v="1 Withycombe Road"/>
    <m/>
    <n v="523686"/>
    <n v="173656"/>
    <x v="18"/>
    <d v="2020-03-31T00:00:00"/>
    <m/>
    <n v="1"/>
    <n v="2"/>
    <n v="1"/>
    <n v="2"/>
    <n v="1"/>
    <x v="0"/>
    <s v="Demolition of existing house and erection of two, two-storey (plus basement) 3 -bedroom semi-detached houses including new boundary treatment."/>
    <s v="PF"/>
    <d v="2016-09-13T00:00:00"/>
    <d v="2016-11-08T00:00:00"/>
    <x v="0"/>
    <s v="Nil"/>
    <m/>
    <s v="BF"/>
    <s v="NB"/>
    <x v="0"/>
    <x v="5"/>
    <n v="2.4000000208616298E-2"/>
    <d v="2020-03-31T00:00:00"/>
    <x v="1"/>
    <m/>
    <x v="0"/>
    <s v="M"/>
    <m/>
    <m/>
    <n v="2"/>
    <n v="0"/>
    <n v="0"/>
    <n v="0"/>
    <n v="0"/>
    <n v="0"/>
    <n v="-1"/>
    <n v="2"/>
    <n v="0"/>
    <n v="0"/>
    <n v="0"/>
    <n v="0"/>
    <n v="0"/>
    <n v="0"/>
    <n v="0"/>
    <n v="0"/>
    <n v="0"/>
    <n v="0"/>
    <n v="0"/>
    <n v="0"/>
    <n v="-1"/>
    <n v="2"/>
    <n v="0"/>
    <n v="0"/>
    <n v="0"/>
    <n v="0"/>
    <n v="0"/>
    <n v="0"/>
    <n v="0"/>
    <n v="0"/>
    <n v="0"/>
    <n v="0"/>
    <x v="0"/>
    <x v="0"/>
    <x v="0"/>
    <x v="0"/>
    <x v="0"/>
    <m/>
    <x v="0"/>
    <x v="0"/>
    <n v="3"/>
    <m/>
    <n v="0.5"/>
    <n v="0.5"/>
    <m/>
    <m/>
    <m/>
    <m/>
    <m/>
    <m/>
    <m/>
    <m/>
    <m/>
    <m/>
    <m/>
    <m/>
    <m/>
    <m/>
    <m/>
    <m/>
    <m/>
    <m/>
    <n v="1"/>
    <n v="1"/>
  </r>
  <r>
    <n v="4945"/>
    <x v="1"/>
    <s v="2015/3449"/>
    <s v="3 &amp; 4 The Boulevard, Balham High Road"/>
    <m/>
    <n v="528361"/>
    <n v="172945"/>
    <x v="19"/>
    <d v="2018-03-31T00:00:00"/>
    <m/>
    <n v="1"/>
    <n v="2"/>
    <n v="1"/>
    <n v="2"/>
    <n v="1"/>
    <x v="0"/>
    <s v="Alterations including erection of a mansard roof extension to the main rear roofs of both properties in connection with the creation of one additional flat in each building."/>
    <s v="PF"/>
    <d v="2015-09-07T00:00:00"/>
    <d v="2016-01-08T00:00:00"/>
    <x v="0"/>
    <s v="Nil"/>
    <m/>
    <s v="BF"/>
    <s v="EXT"/>
    <x v="0"/>
    <x v="3"/>
    <n v="1.7999999225139601E-2"/>
    <d v="2018-03-31T00:00:00"/>
    <x v="0"/>
    <m/>
    <x v="0"/>
    <s v="M"/>
    <m/>
    <m/>
    <n v="0"/>
    <n v="0"/>
    <n v="0"/>
    <n v="0"/>
    <n v="-1"/>
    <n v="2"/>
    <n v="0"/>
    <n v="0"/>
    <n v="0"/>
    <n v="0"/>
    <n v="0"/>
    <n v="-1"/>
    <n v="2"/>
    <n v="0"/>
    <n v="0"/>
    <n v="0"/>
    <n v="0"/>
    <n v="0"/>
    <n v="0"/>
    <n v="0"/>
    <n v="0"/>
    <n v="0"/>
    <n v="0"/>
    <n v="0"/>
    <n v="0"/>
    <n v="0"/>
    <n v="0"/>
    <n v="0"/>
    <n v="0"/>
    <n v="0"/>
    <n v="0"/>
    <n v="0"/>
    <x v="0"/>
    <x v="0"/>
    <x v="0"/>
    <x v="0"/>
    <x v="0"/>
    <m/>
    <x v="0"/>
    <x v="0"/>
    <n v="13"/>
    <m/>
    <n v="1"/>
    <m/>
    <m/>
    <m/>
    <m/>
    <m/>
    <m/>
    <m/>
    <m/>
    <m/>
    <m/>
    <m/>
    <m/>
    <m/>
    <m/>
    <m/>
    <m/>
    <m/>
    <m/>
    <m/>
    <n v="1"/>
    <n v="1"/>
  </r>
  <r>
    <n v="4968"/>
    <x v="1"/>
    <s v="2017/0126"/>
    <s v="100 Trinity Road"/>
    <m/>
    <n v="527773"/>
    <n v="172716"/>
    <x v="3"/>
    <d v="2019-03-31T00:00:00"/>
    <m/>
    <n v="1"/>
    <n v="2"/>
    <n v="1"/>
    <n v="2"/>
    <n v="1"/>
    <x v="0"/>
    <s v="Alterations including erection of mansard roof extension to main rear roof with 2x rooflights in the front roofslope and erection of single-storey rear/side extension in connection with the conversion of the property into 2 x 3-bedroom flats. Installation of bin stores in front garden."/>
    <s v="PF"/>
    <d v="2017-01-20T00:00:00"/>
    <d v="2017-03-16T00:00:00"/>
    <x v="0"/>
    <s v="Nil"/>
    <m/>
    <s v="BF"/>
    <s v="CON"/>
    <x v="0"/>
    <x v="2"/>
    <n v="1.7000000923872001E-2"/>
    <d v="2019-03-31T00:00:00"/>
    <x v="0"/>
    <m/>
    <x v="0"/>
    <s v="M"/>
    <m/>
    <m/>
    <n v="0"/>
    <n v="0"/>
    <n v="0"/>
    <n v="0"/>
    <n v="0"/>
    <n v="0"/>
    <n v="0"/>
    <n v="2"/>
    <n v="-1"/>
    <n v="0"/>
    <n v="0"/>
    <n v="0"/>
    <n v="0"/>
    <n v="0"/>
    <n v="2"/>
    <n v="0"/>
    <n v="0"/>
    <n v="0"/>
    <n v="0"/>
    <n v="0"/>
    <n v="0"/>
    <n v="0"/>
    <n v="-1"/>
    <n v="0"/>
    <n v="0"/>
    <n v="0"/>
    <n v="0"/>
    <n v="0"/>
    <n v="0"/>
    <n v="0"/>
    <n v="0"/>
    <n v="0"/>
    <x v="0"/>
    <x v="0"/>
    <x v="0"/>
    <x v="0"/>
    <x v="0"/>
    <m/>
    <x v="0"/>
    <x v="0"/>
    <n v="13"/>
    <m/>
    <n v="1"/>
    <m/>
    <m/>
    <m/>
    <m/>
    <m/>
    <m/>
    <m/>
    <m/>
    <m/>
    <m/>
    <m/>
    <m/>
    <m/>
    <m/>
    <m/>
    <m/>
    <m/>
    <m/>
    <m/>
    <n v="1"/>
    <n v="1"/>
  </r>
  <r>
    <n v="4984"/>
    <x v="1"/>
    <s v="2018/1942"/>
    <s v="Southfields Post Office, 265-271 Wimbledon Park Road"/>
    <m/>
    <n v="524707"/>
    <n v="173200"/>
    <x v="18"/>
    <d v="2018-11-26T00:00:00"/>
    <m/>
    <n v="1"/>
    <n v="9"/>
    <n v="8"/>
    <n v="9"/>
    <n v="8"/>
    <x v="0"/>
    <s v="Demolition of existing building and erection of a four storey building plus lower ground floor and basement levels, to provide one retail unit (class A1/A2) at the front of the ground floor/basement, and one commercial (class B1) unit at the rear of the ground floor/basement, with 9 residential units with terraces/balconies on the upper floors, with associated cycle parking and refuse storage."/>
    <s v="PF"/>
    <d v="2018-05-09T00:00:00"/>
    <d v="2018-07-20T00:00:00"/>
    <x v="0"/>
    <s v="Nil"/>
    <m/>
    <s v="BF"/>
    <s v="NB"/>
    <x v="0"/>
    <x v="5"/>
    <n v="3.9000000804662698E-2"/>
    <d v="2018-11-26T00:00:00"/>
    <x v="0"/>
    <m/>
    <x v="0"/>
    <s v="M"/>
    <m/>
    <m/>
    <n v="0"/>
    <n v="0"/>
    <n v="0"/>
    <n v="0"/>
    <n v="0"/>
    <n v="2"/>
    <n v="6"/>
    <n v="1"/>
    <n v="-1"/>
    <n v="0"/>
    <n v="0"/>
    <n v="0"/>
    <n v="2"/>
    <n v="6"/>
    <n v="1"/>
    <n v="-1"/>
    <n v="0"/>
    <n v="0"/>
    <n v="0"/>
    <n v="0"/>
    <n v="0"/>
    <n v="0"/>
    <n v="0"/>
    <n v="0"/>
    <n v="0"/>
    <n v="0"/>
    <n v="0"/>
    <n v="0"/>
    <n v="0"/>
    <n v="0"/>
    <n v="0"/>
    <n v="0"/>
    <x v="0"/>
    <x v="0"/>
    <x v="0"/>
    <x v="0"/>
    <x v="0"/>
    <m/>
    <x v="0"/>
    <x v="0"/>
    <n v="2"/>
    <m/>
    <n v="8"/>
    <m/>
    <m/>
    <m/>
    <m/>
    <m/>
    <m/>
    <m/>
    <m/>
    <m/>
    <m/>
    <m/>
    <m/>
    <m/>
    <m/>
    <m/>
    <m/>
    <m/>
    <m/>
    <m/>
    <n v="8"/>
    <n v="8"/>
  </r>
  <r>
    <n v="5114"/>
    <x v="1"/>
    <s v="2016/2096"/>
    <s v="134-142 Mitcham Road (Pearl Chemist)"/>
    <m/>
    <n v="527786"/>
    <n v="171065"/>
    <x v="10"/>
    <d v="2017-03-31T00:00:00"/>
    <m/>
    <n v="0"/>
    <n v="9"/>
    <n v="9"/>
    <n v="9"/>
    <n v="9"/>
    <x v="0"/>
    <s v="Erection of four storey building plus basement to provide mixed use building comprising ground floor Class A1 retail shop and pharmacy shop with associated offices and storage at basement level, Class D1 Medical/Therapy centre at first floor and 9 x residential flats (Class C3 - 2 x 1-bedroom, 5 x 2-bedroom and 2 x 3-bedroom flats) at second and third floor levels with associated roof terrace and communal garden."/>
    <s v="PF"/>
    <d v="2016-04-14T00:00:00"/>
    <d v="2016-08-17T00:00:00"/>
    <x v="0"/>
    <s v="Nil"/>
    <m/>
    <s v="BF"/>
    <s v="NB"/>
    <x v="0"/>
    <x v="5"/>
    <n v="4.3000001460313797E-2"/>
    <d v="2017-03-31T00:00:00"/>
    <x v="0"/>
    <m/>
    <x v="0"/>
    <s v="M"/>
    <m/>
    <m/>
    <n v="9"/>
    <n v="0"/>
    <n v="0"/>
    <n v="0"/>
    <n v="0"/>
    <n v="2"/>
    <n v="5"/>
    <n v="2"/>
    <n v="0"/>
    <n v="0"/>
    <n v="0"/>
    <n v="0"/>
    <n v="2"/>
    <n v="5"/>
    <n v="2"/>
    <n v="0"/>
    <n v="0"/>
    <n v="0"/>
    <n v="0"/>
    <n v="0"/>
    <n v="0"/>
    <n v="0"/>
    <n v="0"/>
    <n v="0"/>
    <n v="0"/>
    <n v="0"/>
    <n v="0"/>
    <n v="0"/>
    <n v="0"/>
    <n v="0"/>
    <n v="0"/>
    <n v="0"/>
    <x v="4"/>
    <x v="0"/>
    <x v="0"/>
    <x v="0"/>
    <x v="0"/>
    <m/>
    <x v="0"/>
    <x v="0"/>
    <n v="2"/>
    <m/>
    <n v="9"/>
    <m/>
    <m/>
    <m/>
    <m/>
    <m/>
    <m/>
    <m/>
    <m/>
    <m/>
    <m/>
    <m/>
    <m/>
    <m/>
    <m/>
    <m/>
    <m/>
    <m/>
    <m/>
    <m/>
    <n v="9"/>
    <n v="9"/>
  </r>
  <r>
    <n v="5215"/>
    <x v="1"/>
    <s v="2017/4140"/>
    <s v="21 Balham High Road"/>
    <m/>
    <n v="528754"/>
    <n v="173676"/>
    <x v="6"/>
    <d v="2018-03-31T00:00:00"/>
    <m/>
    <n v="0"/>
    <n v="1"/>
    <n v="1"/>
    <n v="1"/>
    <n v="1"/>
    <x v="0"/>
    <s v="Demolition of two-storey back addition. Erection of single storey rear extension to provide 1 x 1-bedroom flats."/>
    <s v="PF"/>
    <d v="2017-07-28T00:00:00"/>
    <d v="2017-09-22T00:00:00"/>
    <x v="0"/>
    <s v="Nil"/>
    <m/>
    <s v="BF"/>
    <s v="NB"/>
    <x v="0"/>
    <x v="5"/>
    <n v="4.0000001899898104E-3"/>
    <d v="2018-03-31T00:00:00"/>
    <x v="0"/>
    <m/>
    <x v="0"/>
    <s v="M"/>
    <m/>
    <m/>
    <n v="0"/>
    <n v="0"/>
    <n v="0"/>
    <n v="0"/>
    <n v="0"/>
    <n v="1"/>
    <n v="0"/>
    <n v="0"/>
    <n v="0"/>
    <n v="0"/>
    <n v="0"/>
    <n v="0"/>
    <n v="1"/>
    <n v="0"/>
    <n v="0"/>
    <n v="0"/>
    <n v="0"/>
    <n v="0"/>
    <n v="0"/>
    <n v="0"/>
    <n v="0"/>
    <n v="0"/>
    <n v="0"/>
    <n v="0"/>
    <n v="0"/>
    <n v="0"/>
    <n v="0"/>
    <n v="0"/>
    <n v="0"/>
    <n v="0"/>
    <n v="0"/>
    <n v="0"/>
    <x v="5"/>
    <x v="0"/>
    <x v="0"/>
    <x v="0"/>
    <x v="0"/>
    <m/>
    <x v="0"/>
    <x v="0"/>
    <n v="2"/>
    <m/>
    <n v="1"/>
    <m/>
    <m/>
    <m/>
    <m/>
    <m/>
    <m/>
    <m/>
    <m/>
    <m/>
    <m/>
    <m/>
    <m/>
    <m/>
    <m/>
    <m/>
    <m/>
    <m/>
    <m/>
    <m/>
    <n v="1"/>
    <n v="1"/>
  </r>
  <r>
    <n v="5219"/>
    <x v="1"/>
    <s v="2019/0362"/>
    <s v="567 Battersea Park Road"/>
    <s v="conversion"/>
    <n v="527294"/>
    <n v="176284"/>
    <x v="16"/>
    <d v="2020-01-13T00:00:00"/>
    <m/>
    <n v="1"/>
    <n v="2"/>
    <n v="1"/>
    <n v="3"/>
    <n v="2"/>
    <x v="0"/>
    <s v="Alterations including erection of mansard roof extension to create an additional storey of accommodation and three-storey rear extension at first floor level in connection with conversion of existing 3 bedroom upper floor flat into 3 x 1-bedroom flats."/>
    <s v="PF"/>
    <d v="2019-01-28T00:00:00"/>
    <d v="2019-03-25T00:00:00"/>
    <x v="0"/>
    <s v="Nil"/>
    <m/>
    <s v="BF"/>
    <s v="MIX"/>
    <x v="0"/>
    <x v="0"/>
    <n v="4.0000001899898104E-3"/>
    <d v="2020-01-13T00:00:00"/>
    <x v="1"/>
    <m/>
    <x v="0"/>
    <s v="M"/>
    <m/>
    <m/>
    <n v="0"/>
    <n v="0"/>
    <n v="0"/>
    <n v="0"/>
    <n v="0"/>
    <n v="2"/>
    <n v="0"/>
    <n v="-1"/>
    <n v="0"/>
    <n v="0"/>
    <n v="0"/>
    <n v="0"/>
    <n v="2"/>
    <n v="0"/>
    <n v="-1"/>
    <n v="0"/>
    <n v="0"/>
    <n v="0"/>
    <n v="0"/>
    <n v="0"/>
    <n v="0"/>
    <n v="0"/>
    <n v="0"/>
    <n v="0"/>
    <n v="0"/>
    <n v="0"/>
    <n v="0"/>
    <n v="0"/>
    <n v="0"/>
    <n v="0"/>
    <n v="0"/>
    <n v="0"/>
    <x v="0"/>
    <x v="0"/>
    <x v="0"/>
    <x v="0"/>
    <x v="0"/>
    <m/>
    <x v="0"/>
    <x v="0"/>
    <n v="14"/>
    <m/>
    <n v="0.5"/>
    <n v="0.5"/>
    <m/>
    <m/>
    <m/>
    <m/>
    <m/>
    <m/>
    <m/>
    <m/>
    <m/>
    <m/>
    <m/>
    <m/>
    <m/>
    <m/>
    <m/>
    <m/>
    <m/>
    <m/>
    <n v="1"/>
    <n v="1"/>
  </r>
  <r>
    <n v="5219"/>
    <x v="1"/>
    <s v="2019/0362"/>
    <s v="567 Battersea Park Road"/>
    <s v="extn to ex"/>
    <n v="527294"/>
    <n v="176284"/>
    <x v="16"/>
    <d v="2020-01-13T00:00:00"/>
    <m/>
    <n v="0"/>
    <n v="1"/>
    <n v="1"/>
    <n v="3"/>
    <n v="2"/>
    <x v="0"/>
    <s v="Alterations including erection of mansard roof extension to create an additional storey of accommodation and three-storey rear extension at first floor level in connection with conversion of existing 3 bedroom upper floor flat into 3 x 1-bedroom flats."/>
    <s v="PF"/>
    <d v="2019-01-28T00:00:00"/>
    <d v="2019-03-25T00:00:00"/>
    <x v="0"/>
    <s v="Nil"/>
    <m/>
    <s v="BF"/>
    <s v="MIX"/>
    <x v="0"/>
    <x v="3"/>
    <n v="1.00000004749745E-3"/>
    <d v="2020-01-13T00:00:00"/>
    <x v="1"/>
    <m/>
    <x v="0"/>
    <s v="M"/>
    <m/>
    <m/>
    <n v="0"/>
    <n v="0"/>
    <n v="0"/>
    <n v="0"/>
    <n v="0"/>
    <n v="1"/>
    <n v="0"/>
    <n v="0"/>
    <n v="0"/>
    <n v="0"/>
    <n v="0"/>
    <n v="0"/>
    <n v="1"/>
    <n v="0"/>
    <n v="0"/>
    <n v="0"/>
    <n v="0"/>
    <n v="0"/>
    <n v="0"/>
    <n v="0"/>
    <n v="0"/>
    <n v="0"/>
    <n v="0"/>
    <n v="0"/>
    <n v="0"/>
    <n v="0"/>
    <n v="0"/>
    <n v="0"/>
    <n v="0"/>
    <n v="0"/>
    <n v="0"/>
    <n v="0"/>
    <x v="0"/>
    <x v="0"/>
    <x v="0"/>
    <x v="0"/>
    <x v="0"/>
    <m/>
    <x v="0"/>
    <x v="0"/>
    <n v="14"/>
    <m/>
    <n v="0.5"/>
    <n v="0.5"/>
    <m/>
    <m/>
    <m/>
    <m/>
    <m/>
    <m/>
    <m/>
    <m/>
    <m/>
    <m/>
    <m/>
    <m/>
    <m/>
    <m/>
    <m/>
    <m/>
    <m/>
    <m/>
    <n v="1"/>
    <n v="1"/>
  </r>
  <r>
    <n v="5245"/>
    <x v="1"/>
    <s v="2013/1313"/>
    <s v="28 Thessaly Road"/>
    <m/>
    <n v="529554"/>
    <n v="176699"/>
    <x v="12"/>
    <d v="2016-04-01T00:00:00"/>
    <m/>
    <n v="0"/>
    <n v="16"/>
    <n v="16"/>
    <n v="16"/>
    <n v="16"/>
    <x v="1"/>
    <s v="Demolition of existing public house and removal of lay-by and construction of a part four, part five, part six storey building, plus basement, comprising 16 residential units each with private balconies/terraces and a communal roof terrace at 5th floor level plus associated cycle parking and landscaping."/>
    <s v="PFLA"/>
    <d v="2013-03-21T00:00:00"/>
    <d v="2013-10-08T00:00:00"/>
    <x v="0"/>
    <s v="Nil"/>
    <m/>
    <s v="BF"/>
    <s v="NB"/>
    <x v="1"/>
    <x v="7"/>
    <n v="2.0999999716877899E-2"/>
    <d v="2016-04-01T00:00:00"/>
    <x v="0"/>
    <m/>
    <x v="0"/>
    <s v="M"/>
    <m/>
    <m/>
    <n v="16"/>
    <n v="0"/>
    <n v="16"/>
    <n v="0"/>
    <n v="0"/>
    <n v="3"/>
    <n v="8"/>
    <n v="5"/>
    <n v="0"/>
    <n v="0"/>
    <n v="0"/>
    <n v="0"/>
    <n v="3"/>
    <n v="8"/>
    <n v="5"/>
    <n v="0"/>
    <n v="0"/>
    <n v="0"/>
    <n v="0"/>
    <n v="0"/>
    <n v="0"/>
    <n v="0"/>
    <n v="0"/>
    <n v="0"/>
    <n v="0"/>
    <n v="0"/>
    <n v="0"/>
    <n v="0"/>
    <n v="0"/>
    <n v="0"/>
    <n v="0"/>
    <n v="0"/>
    <x v="0"/>
    <x v="1"/>
    <x v="0"/>
    <x v="0"/>
    <x v="0"/>
    <m/>
    <x v="0"/>
    <x v="0"/>
    <n v="9"/>
    <m/>
    <m/>
    <m/>
    <m/>
    <n v="5.333333333333333"/>
    <n v="5.333333333333333"/>
    <n v="5.333333333333333"/>
    <m/>
    <m/>
    <m/>
    <m/>
    <m/>
    <m/>
    <m/>
    <m/>
    <m/>
    <m/>
    <m/>
    <m/>
    <m/>
    <m/>
    <n v="10.666666666666666"/>
    <n v="16"/>
  </r>
  <r>
    <n v="5298"/>
    <x v="1"/>
    <s v="2016/4655"/>
    <s v="16 Roehampton Gate"/>
    <m/>
    <n v="521254"/>
    <n v="174526"/>
    <x v="13"/>
    <d v="2019-11-11T00:00:00"/>
    <m/>
    <n v="0"/>
    <n v="1"/>
    <n v="1"/>
    <n v="1"/>
    <n v="1"/>
    <x v="0"/>
    <s v="Demolition of existing building and erection of a two-storey (plus basement and roof levels) house."/>
    <s v="PF"/>
    <d v="2016-08-08T00:00:00"/>
    <d v="2016-11-17T00:00:00"/>
    <x v="0"/>
    <s v="Nil"/>
    <m/>
    <s v="BF"/>
    <s v="NB"/>
    <x v="0"/>
    <x v="5"/>
    <n v="0.108000002801418"/>
    <d v="2019-11-11T00:00:00"/>
    <x v="1"/>
    <m/>
    <x v="0"/>
    <s v="M"/>
    <m/>
    <m/>
    <n v="1"/>
    <n v="0"/>
    <n v="1"/>
    <n v="0"/>
    <n v="0"/>
    <n v="0"/>
    <n v="0"/>
    <n v="0"/>
    <n v="0"/>
    <n v="1"/>
    <n v="0"/>
    <n v="0"/>
    <n v="0"/>
    <n v="0"/>
    <n v="0"/>
    <n v="0"/>
    <n v="0"/>
    <n v="0"/>
    <n v="0"/>
    <n v="0"/>
    <n v="0"/>
    <n v="0"/>
    <n v="0"/>
    <n v="1"/>
    <n v="0"/>
    <n v="0"/>
    <n v="0"/>
    <n v="0"/>
    <n v="0"/>
    <n v="0"/>
    <n v="0"/>
    <n v="0"/>
    <x v="0"/>
    <x v="0"/>
    <x v="0"/>
    <x v="0"/>
    <x v="0"/>
    <m/>
    <x v="0"/>
    <x v="0"/>
    <n v="3"/>
    <m/>
    <n v="0.5"/>
    <n v="0.5"/>
    <m/>
    <m/>
    <m/>
    <m/>
    <m/>
    <m/>
    <m/>
    <m/>
    <m/>
    <m/>
    <m/>
    <m/>
    <m/>
    <m/>
    <m/>
    <m/>
    <m/>
    <m/>
    <n v="1"/>
    <n v="1"/>
  </r>
  <r>
    <n v="5348"/>
    <x v="1"/>
    <s v="2013/3041"/>
    <s v="5 Mayford Road"/>
    <m/>
    <n v="527772"/>
    <n v="173569"/>
    <x v="3"/>
    <d v="2018-03-31T00:00:00"/>
    <m/>
    <n v="0"/>
    <n v="5"/>
    <n v="5"/>
    <n v="5"/>
    <n v="5"/>
    <x v="0"/>
    <s v="Change of use from children's home (currently vacant) to 6 flats. Demolition of rear dormer, construction of two storey rear extension and dormer.  Removal of external stairs.  Demolition of garage and formation of 3 no parking bays.  Demolition of first floor bay to rear elevation."/>
    <s v="RP"/>
    <d v="2013-07-02T00:00:00"/>
    <d v="2014-10-24T00:00:00"/>
    <x v="0"/>
    <s v="APG"/>
    <d v="2015-09-22T00:00:00"/>
    <s v="BF"/>
    <s v="MIX"/>
    <x v="0"/>
    <x v="1"/>
    <n v="3.20000015199184E-2"/>
    <d v="2018-03-31T00:00:00"/>
    <x v="0"/>
    <m/>
    <x v="0"/>
    <s v="M"/>
    <m/>
    <m/>
    <n v="0"/>
    <n v="0"/>
    <n v="0"/>
    <n v="0"/>
    <n v="1"/>
    <n v="2"/>
    <n v="0"/>
    <n v="2"/>
    <n v="0"/>
    <n v="0"/>
    <n v="0"/>
    <n v="1"/>
    <n v="2"/>
    <n v="0"/>
    <n v="2"/>
    <n v="0"/>
    <n v="0"/>
    <n v="0"/>
    <n v="0"/>
    <n v="0"/>
    <n v="0"/>
    <n v="0"/>
    <n v="0"/>
    <n v="0"/>
    <n v="0"/>
    <n v="0"/>
    <n v="0"/>
    <n v="0"/>
    <n v="0"/>
    <n v="0"/>
    <n v="0"/>
    <n v="0"/>
    <x v="0"/>
    <x v="0"/>
    <x v="0"/>
    <x v="0"/>
    <x v="0"/>
    <m/>
    <x v="0"/>
    <x v="0"/>
    <n v="13"/>
    <m/>
    <n v="5"/>
    <m/>
    <m/>
    <m/>
    <m/>
    <m/>
    <m/>
    <m/>
    <m/>
    <m/>
    <m/>
    <m/>
    <m/>
    <m/>
    <m/>
    <m/>
    <m/>
    <m/>
    <m/>
    <m/>
    <n v="5"/>
    <n v="5"/>
  </r>
  <r>
    <n v="5376"/>
    <x v="1"/>
    <s v="2017/2024"/>
    <s v="land adjacent to 72, 72A Bedford Hill"/>
    <m/>
    <n v="528703"/>
    <n v="173099"/>
    <x v="3"/>
    <d v="2017-11-06T00:00:00"/>
    <m/>
    <n v="0"/>
    <n v="1"/>
    <n v="1"/>
    <n v="2"/>
    <n v="2"/>
    <x v="0"/>
    <s v="Erection of a three storey building (between 72 Bedford Hill and the railway embankment) to provide a shop/store on ground floor and a two bedroom maisonette on first and second floors.  (Amended drawings received  showing alterations to the development) (Amendments to planning permission dated 23/07/2014 ref 2013/3267 to include the erection of mansard roof extension to main rear roof and conversion  to provide 1 x 1-bedroom.)"/>
    <s v="PF"/>
    <d v="2017-09-12T00:00:00"/>
    <d v="2017-11-06T00:00:00"/>
    <x v="0"/>
    <s v="Nil"/>
    <m/>
    <s v="BF"/>
    <s v="EXT"/>
    <x v="0"/>
    <x v="5"/>
    <n v="6.0000000521540598E-3"/>
    <d v="2017-11-06T00:00:00"/>
    <x v="0"/>
    <m/>
    <x v="0"/>
    <s v="M"/>
    <m/>
    <m/>
    <n v="0"/>
    <n v="0"/>
    <n v="0"/>
    <n v="0"/>
    <n v="0"/>
    <n v="0"/>
    <n v="1"/>
    <n v="0"/>
    <n v="0"/>
    <n v="0"/>
    <n v="0"/>
    <n v="0"/>
    <n v="0"/>
    <n v="1"/>
    <n v="0"/>
    <n v="0"/>
    <n v="0"/>
    <n v="0"/>
    <n v="0"/>
    <n v="0"/>
    <n v="0"/>
    <n v="0"/>
    <n v="0"/>
    <n v="0"/>
    <n v="0"/>
    <n v="0"/>
    <n v="0"/>
    <n v="0"/>
    <n v="0"/>
    <n v="0"/>
    <n v="0"/>
    <n v="0"/>
    <x v="0"/>
    <x v="0"/>
    <x v="0"/>
    <x v="0"/>
    <x v="0"/>
    <m/>
    <x v="0"/>
    <x v="0"/>
    <n v="13"/>
    <m/>
    <n v="1"/>
    <m/>
    <m/>
    <m/>
    <m/>
    <m/>
    <m/>
    <m/>
    <m/>
    <m/>
    <m/>
    <m/>
    <m/>
    <m/>
    <m/>
    <m/>
    <m/>
    <m/>
    <m/>
    <m/>
    <n v="1"/>
    <n v="1"/>
  </r>
  <r>
    <n v="5376"/>
    <x v="1"/>
    <s v="2017/2024"/>
    <s v="land adjacent to 72, 72A Bedford Hill"/>
    <m/>
    <n v="528703"/>
    <n v="173099"/>
    <x v="3"/>
    <d v="2017-11-06T00:00:00"/>
    <m/>
    <n v="0"/>
    <n v="1"/>
    <n v="1"/>
    <n v="2"/>
    <n v="2"/>
    <x v="0"/>
    <s v="Erection of a three storey building (between 72 Bedford Hill and the railway embankment) to provide a shop/store on ground floor and a two bedroom maisonette on first and second floors.  (Amended drawings received  showing alterations to the development) (Amendments to planning permission dated 23/07/2014 ref 2013/3267 to include the erection of mansard roof extension to main rear roof and conversion  to provide 1 x 1-bedroom.)"/>
    <s v="PF"/>
    <d v="2017-09-12T00:00:00"/>
    <d v="2017-11-06T00:00:00"/>
    <x v="0"/>
    <s v="Nil"/>
    <m/>
    <s v="BF"/>
    <s v="EXT"/>
    <x v="0"/>
    <x v="3"/>
    <n v="4.0000001899898104E-3"/>
    <d v="2017-11-06T00:00:00"/>
    <x v="0"/>
    <m/>
    <x v="0"/>
    <s v="M"/>
    <m/>
    <m/>
    <n v="0"/>
    <n v="0"/>
    <n v="0"/>
    <n v="0"/>
    <n v="1"/>
    <n v="0"/>
    <n v="0"/>
    <n v="0"/>
    <n v="0"/>
    <n v="0"/>
    <n v="0"/>
    <n v="1"/>
    <n v="0"/>
    <n v="0"/>
    <n v="0"/>
    <n v="0"/>
    <n v="0"/>
    <n v="0"/>
    <n v="0"/>
    <n v="0"/>
    <n v="0"/>
    <n v="0"/>
    <n v="0"/>
    <n v="0"/>
    <n v="0"/>
    <n v="0"/>
    <n v="0"/>
    <n v="0"/>
    <n v="0"/>
    <n v="0"/>
    <n v="0"/>
    <n v="0"/>
    <x v="0"/>
    <x v="0"/>
    <x v="0"/>
    <x v="0"/>
    <x v="0"/>
    <m/>
    <x v="0"/>
    <x v="0"/>
    <n v="13"/>
    <m/>
    <n v="1"/>
    <m/>
    <m/>
    <m/>
    <m/>
    <m/>
    <m/>
    <m/>
    <m/>
    <m/>
    <m/>
    <m/>
    <m/>
    <m/>
    <m/>
    <m/>
    <m/>
    <m/>
    <m/>
    <m/>
    <n v="1"/>
    <n v="1"/>
  </r>
  <r>
    <n v="5377"/>
    <x v="1"/>
    <s v="2016/4349"/>
    <s v="28 Tooting Bec Road"/>
    <m/>
    <n v="528146"/>
    <n v="172290"/>
    <x v="19"/>
    <d v="2018-03-31T00:00:00"/>
    <m/>
    <n v="1"/>
    <n v="3"/>
    <n v="2"/>
    <n v="3"/>
    <n v="2"/>
    <x v="0"/>
    <s v="Alterations including the erection of a single storey side and rear extension, rear mansard roof extension and extension over part of rear addition, excavation to create basement including a rear lightwell, installation of roof-lights to the front in connection with conversion of part of the basement level, rear of the ground floor, 1st and 2nd floors of the property to form 2 x 1-bedroom and 1 x 2-bedroom flats, and  use of part of the basement for commercial purposes."/>
    <s v="PF"/>
    <d v="2016-08-05T00:00:00"/>
    <d v="2016-10-24T00:00:00"/>
    <x v="0"/>
    <s v="Nil"/>
    <m/>
    <s v="BF"/>
    <s v="MIX"/>
    <x v="0"/>
    <x v="0"/>
    <n v="7.0000002160668399E-3"/>
    <d v="2018-03-31T00:00:00"/>
    <x v="0"/>
    <m/>
    <x v="0"/>
    <s v="M"/>
    <m/>
    <m/>
    <n v="0"/>
    <n v="0"/>
    <n v="0"/>
    <n v="0"/>
    <n v="0"/>
    <n v="2"/>
    <n v="1"/>
    <n v="-1"/>
    <n v="0"/>
    <n v="0"/>
    <n v="0"/>
    <n v="0"/>
    <n v="2"/>
    <n v="1"/>
    <n v="-1"/>
    <n v="0"/>
    <n v="0"/>
    <n v="0"/>
    <n v="0"/>
    <n v="0"/>
    <n v="0"/>
    <n v="0"/>
    <n v="0"/>
    <n v="0"/>
    <n v="0"/>
    <n v="0"/>
    <n v="0"/>
    <n v="0"/>
    <n v="0"/>
    <n v="0"/>
    <n v="0"/>
    <n v="0"/>
    <x v="0"/>
    <x v="0"/>
    <x v="0"/>
    <x v="0"/>
    <x v="0"/>
    <m/>
    <x v="0"/>
    <x v="0"/>
    <n v="13"/>
    <m/>
    <n v="2"/>
    <m/>
    <m/>
    <m/>
    <m/>
    <m/>
    <m/>
    <m/>
    <m/>
    <m/>
    <m/>
    <m/>
    <m/>
    <m/>
    <m/>
    <m/>
    <m/>
    <m/>
    <m/>
    <m/>
    <n v="2"/>
    <n v="2"/>
  </r>
  <r>
    <n v="5381"/>
    <x v="1"/>
    <s v="2017/5818"/>
    <s v="Battersea Bar/The Chopper, 58-70 York Road"/>
    <m/>
    <n v="526820"/>
    <n v="176155"/>
    <x v="11"/>
    <d v="2018-11-26T00:00:00"/>
    <m/>
    <n v="0"/>
    <n v="52"/>
    <n v="52"/>
    <n v="82"/>
    <n v="82"/>
    <x v="1"/>
    <s v="Demolition of existing building and erection of a part 5, 9, 11, 13 and 14 storey (maximum height 50.6m) mixed-use development plus basement, providing 911sq.m (GIA) of office (Class B1a) floorspace at ground and basement levels with 82 residential units (Use Class C3) comprising market and affordable housing on upper floor levels with access to landscaped amenity deck; with 7 car parking spaces and 145 cycle parking spaces located at basement level; public realm improvements to York Road, Yelverton Road and Badric Court; and associated infrastructure works."/>
    <s v="PFLA"/>
    <d v="2017-10-19T00:00:00"/>
    <d v="2018-05-02T00:00:00"/>
    <x v="0"/>
    <s v="Nil"/>
    <m/>
    <s v="BF"/>
    <s v="NB"/>
    <x v="1"/>
    <x v="7"/>
    <n v="3.9000000804662698E-2"/>
    <d v="2018-11-26T00:00:00"/>
    <x v="0"/>
    <m/>
    <x v="0"/>
    <s v="M"/>
    <s v="10.14"/>
    <m/>
    <n v="0"/>
    <n v="47"/>
    <n v="0"/>
    <n v="5"/>
    <n v="1"/>
    <n v="14"/>
    <n v="31"/>
    <n v="6"/>
    <n v="0"/>
    <n v="0"/>
    <n v="0"/>
    <n v="1"/>
    <n v="14"/>
    <n v="31"/>
    <n v="6"/>
    <n v="0"/>
    <n v="0"/>
    <n v="0"/>
    <n v="0"/>
    <n v="0"/>
    <n v="0"/>
    <n v="0"/>
    <n v="0"/>
    <n v="0"/>
    <n v="0"/>
    <n v="0"/>
    <n v="0"/>
    <n v="0"/>
    <n v="0"/>
    <n v="0"/>
    <n v="0"/>
    <n v="0"/>
    <x v="0"/>
    <x v="0"/>
    <x v="0"/>
    <x v="0"/>
    <x v="0"/>
    <m/>
    <x v="0"/>
    <x v="0"/>
    <n v="5"/>
    <m/>
    <m/>
    <n v="13"/>
    <n v="13"/>
    <n v="13"/>
    <n v="13"/>
    <m/>
    <m/>
    <m/>
    <m/>
    <m/>
    <m/>
    <m/>
    <m/>
    <m/>
    <m/>
    <m/>
    <m/>
    <m/>
    <m/>
    <m/>
    <n v="52"/>
    <n v="52"/>
  </r>
  <r>
    <n v="5381"/>
    <x v="1"/>
    <s v="2017/5818"/>
    <s v="Battersea Bar/The Chopper, 58-70 York Road"/>
    <m/>
    <n v="526820"/>
    <n v="176155"/>
    <x v="11"/>
    <d v="2018-11-26T00:00:00"/>
    <m/>
    <n v="0"/>
    <n v="30"/>
    <n v="30"/>
    <n v="82"/>
    <n v="82"/>
    <x v="1"/>
    <s v="Demolition of existing building and erection of a part 5, 9, 11, 13 and 14 storey (maximum height 50.6m) mixed-use development plus basement, providing 911sq.m (GIA) of office (Class B1a) floorspace at ground and basement levels with 82 residential units (Use Class C3) comprising market and affordable housing on upper floor levels with access to landscaped amenity deck; with 7 car parking spaces and 145 cycle parking spaces located at basement level; public realm improvements to York Road, Yelverton Road and Badric Court; and associated infrastructure works."/>
    <s v="PFLA"/>
    <d v="2017-10-19T00:00:00"/>
    <d v="2018-05-02T00:00:00"/>
    <x v="0"/>
    <s v="Nil"/>
    <m/>
    <s v="BF"/>
    <s v="NB"/>
    <x v="1"/>
    <x v="7"/>
    <n v="1.2000000104308101E-2"/>
    <d v="2018-11-26T00:00:00"/>
    <x v="0"/>
    <m/>
    <x v="1"/>
    <s v="IR"/>
    <s v="10.14"/>
    <m/>
    <n v="0"/>
    <n v="27"/>
    <n v="0"/>
    <n v="3"/>
    <n v="0"/>
    <n v="14"/>
    <n v="14"/>
    <n v="2"/>
    <n v="0"/>
    <n v="0"/>
    <n v="0"/>
    <n v="0"/>
    <n v="14"/>
    <n v="14"/>
    <n v="2"/>
    <n v="0"/>
    <n v="0"/>
    <n v="0"/>
    <n v="0"/>
    <n v="0"/>
    <n v="0"/>
    <n v="0"/>
    <n v="0"/>
    <n v="0"/>
    <n v="0"/>
    <n v="0"/>
    <n v="0"/>
    <n v="0"/>
    <n v="0"/>
    <n v="0"/>
    <n v="0"/>
    <n v="0"/>
    <x v="0"/>
    <x v="0"/>
    <x v="0"/>
    <x v="0"/>
    <x v="0"/>
    <m/>
    <x v="0"/>
    <x v="0"/>
    <n v="5"/>
    <m/>
    <m/>
    <n v="7.5"/>
    <n v="7.5"/>
    <n v="7.5"/>
    <n v="7.5"/>
    <m/>
    <m/>
    <m/>
    <m/>
    <m/>
    <m/>
    <m/>
    <m/>
    <m/>
    <m/>
    <m/>
    <m/>
    <m/>
    <m/>
    <m/>
    <n v="30"/>
    <n v="30"/>
  </r>
  <r>
    <n v="5410"/>
    <x v="1"/>
    <s v="2017/2058"/>
    <s v="129-139 Beaumont Road"/>
    <m/>
    <n v="524095"/>
    <n v="173645"/>
    <x v="18"/>
    <d v="2018-01-26T00:00:00"/>
    <m/>
    <n v="0"/>
    <n v="28"/>
    <n v="28"/>
    <n v="28"/>
    <n v="28"/>
    <x v="1"/>
    <s v="Demolition of the existing parade of shops to be replaced with a mixed use, commercial / residential block. Proposed block to be 5 storey and incorporate 28 residential units with commercial space at ground floor."/>
    <s v="PFLA"/>
    <d v="2017-04-27T00:00:00"/>
    <d v="2018-01-26T00:00:00"/>
    <x v="0"/>
    <s v="Nil"/>
    <m/>
    <s v="BF"/>
    <s v="NB"/>
    <x v="1"/>
    <x v="7"/>
    <n v="4.6999998390674598E-2"/>
    <d v="2018-01-26T00:00:00"/>
    <x v="0"/>
    <m/>
    <x v="0"/>
    <s v="M"/>
    <m/>
    <m/>
    <n v="0"/>
    <n v="0"/>
    <n v="0"/>
    <n v="3"/>
    <n v="0"/>
    <n v="13"/>
    <n v="11"/>
    <n v="4"/>
    <n v="0"/>
    <n v="0"/>
    <n v="0"/>
    <n v="0"/>
    <n v="13"/>
    <n v="11"/>
    <n v="4"/>
    <n v="0"/>
    <n v="0"/>
    <n v="0"/>
    <n v="0"/>
    <n v="0"/>
    <n v="0"/>
    <n v="0"/>
    <n v="0"/>
    <n v="0"/>
    <n v="0"/>
    <n v="0"/>
    <n v="0"/>
    <n v="0"/>
    <n v="0"/>
    <n v="0"/>
    <n v="0"/>
    <n v="0"/>
    <x v="0"/>
    <x v="0"/>
    <x v="0"/>
    <x v="0"/>
    <x v="0"/>
    <m/>
    <x v="0"/>
    <x v="0"/>
    <n v="5"/>
    <m/>
    <m/>
    <n v="7"/>
    <n v="7"/>
    <n v="7"/>
    <n v="7"/>
    <m/>
    <m/>
    <m/>
    <m/>
    <m/>
    <m/>
    <m/>
    <m/>
    <m/>
    <m/>
    <m/>
    <m/>
    <m/>
    <m/>
    <m/>
    <n v="28"/>
    <n v="28"/>
  </r>
  <r>
    <n v="5453"/>
    <x v="1"/>
    <s v="2017/4995"/>
    <s v="Adjacent, 93 Bolingbroke Grove"/>
    <m/>
    <n v="527274"/>
    <n v="174710"/>
    <x v="4"/>
    <d v="2018-03-31T00:00:00"/>
    <m/>
    <n v="0"/>
    <n v="1"/>
    <n v="1"/>
    <n v="1"/>
    <n v="1"/>
    <x v="0"/>
    <s v="Erection of two storey (plus roof and basement) 5-bedroom house with associated car and cycle parking and refuse storage."/>
    <s v="PF"/>
    <d v="2017-09-11T00:00:00"/>
    <d v="2017-12-06T00:00:00"/>
    <x v="0"/>
    <s v="Nil"/>
    <m/>
    <s v="Gdn"/>
    <s v="NB"/>
    <x v="0"/>
    <x v="5"/>
    <n v="9.00000035762787E-2"/>
    <d v="2018-03-31T00:00:00"/>
    <x v="0"/>
    <m/>
    <x v="0"/>
    <s v="M"/>
    <m/>
    <m/>
    <n v="0"/>
    <n v="0"/>
    <n v="0"/>
    <n v="0"/>
    <n v="0"/>
    <n v="0"/>
    <n v="0"/>
    <n v="0"/>
    <n v="0"/>
    <n v="1"/>
    <n v="0"/>
    <n v="0"/>
    <n v="0"/>
    <n v="0"/>
    <n v="0"/>
    <n v="0"/>
    <n v="0"/>
    <n v="0"/>
    <n v="0"/>
    <n v="0"/>
    <n v="0"/>
    <n v="0"/>
    <n v="0"/>
    <n v="1"/>
    <n v="0"/>
    <n v="0"/>
    <n v="0"/>
    <n v="0"/>
    <n v="0"/>
    <n v="0"/>
    <n v="0"/>
    <n v="0"/>
    <x v="0"/>
    <x v="0"/>
    <x v="0"/>
    <x v="0"/>
    <x v="0"/>
    <m/>
    <x v="0"/>
    <x v="0"/>
    <n v="2"/>
    <m/>
    <n v="1"/>
    <m/>
    <m/>
    <m/>
    <m/>
    <m/>
    <m/>
    <m/>
    <m/>
    <m/>
    <m/>
    <m/>
    <m/>
    <m/>
    <m/>
    <m/>
    <m/>
    <m/>
    <m/>
    <m/>
    <n v="1"/>
    <n v="1"/>
  </r>
  <r>
    <n v="5475"/>
    <x v="1"/>
    <s v="2013/5746"/>
    <s v="1 Prince of Wales Drive"/>
    <m/>
    <n v="527437"/>
    <n v="176713"/>
    <x v="11"/>
    <d v="2015-03-31T00:00:00"/>
    <m/>
    <n v="1"/>
    <n v="1"/>
    <n v="0"/>
    <n v="1"/>
    <n v="0"/>
    <x v="0"/>
    <s v="Partial demolition of existing building, and erection of extensions at ground, first and second floor to rear of retained section, with erection of two-storey side extension; excavation of new basement floorspace beneath whole of extended property, with formation of lightwells to the front and basement courtyard area to the rear; installation of new windows; replacement of front boundary treatment."/>
    <s v="PF"/>
    <d v="2013-11-27T00:00:00"/>
    <d v="2014-06-20T00:00:00"/>
    <x v="0"/>
    <s v="Nil"/>
    <m/>
    <s v="BF"/>
    <s v="NB"/>
    <x v="0"/>
    <x v="5"/>
    <n v="3.9000000804662698E-2"/>
    <d v="2015-03-31T00:00:00"/>
    <x v="0"/>
    <m/>
    <x v="0"/>
    <s v="M"/>
    <m/>
    <m/>
    <n v="0"/>
    <n v="0"/>
    <n v="0"/>
    <n v="0"/>
    <n v="0"/>
    <n v="0"/>
    <n v="0"/>
    <n v="0"/>
    <n v="-1"/>
    <n v="1"/>
    <n v="0"/>
    <n v="0"/>
    <n v="0"/>
    <n v="0"/>
    <n v="0"/>
    <n v="0"/>
    <n v="0"/>
    <n v="0"/>
    <n v="0"/>
    <n v="0"/>
    <n v="0"/>
    <n v="0"/>
    <n v="-1"/>
    <n v="1"/>
    <n v="0"/>
    <n v="0"/>
    <n v="0"/>
    <n v="0"/>
    <n v="0"/>
    <n v="0"/>
    <n v="0"/>
    <n v="0"/>
    <x v="0"/>
    <x v="0"/>
    <x v="0"/>
    <x v="0"/>
    <x v="0"/>
    <m/>
    <x v="0"/>
    <x v="0"/>
    <n v="2"/>
    <m/>
    <n v="0"/>
    <m/>
    <m/>
    <m/>
    <m/>
    <m/>
    <m/>
    <m/>
    <m/>
    <m/>
    <m/>
    <m/>
    <m/>
    <m/>
    <m/>
    <m/>
    <m/>
    <m/>
    <m/>
    <m/>
    <n v="0"/>
    <n v="0"/>
  </r>
  <r>
    <n v="5514"/>
    <x v="1"/>
    <s v="2013/6430"/>
    <s v="15 Fernthorpe Road"/>
    <m/>
    <n v="529246"/>
    <n v="170855"/>
    <x v="7"/>
    <d v="2017-04-01T00:00:00"/>
    <m/>
    <n v="0"/>
    <n v="1"/>
    <n v="1"/>
    <n v="1"/>
    <n v="1"/>
    <x v="0"/>
    <s v="Demolition of existing garage. Construction of three-storey side extension with rear roof extension and conversion into self contained two bedroomed dwelling. Installation of 6 solar panels to front roof slope."/>
    <s v="PF"/>
    <d v="2014-01-08T00:00:00"/>
    <d v="2015-04-13T00:00:00"/>
    <x v="0"/>
    <s v="Nil"/>
    <m/>
    <s v="BF"/>
    <s v="MIX"/>
    <x v="0"/>
    <x v="5"/>
    <n v="7.0000002160668399E-3"/>
    <d v="2017-04-01T00:00:00"/>
    <x v="0"/>
    <m/>
    <x v="0"/>
    <s v="M"/>
    <m/>
    <m/>
    <n v="1"/>
    <n v="0"/>
    <n v="0"/>
    <n v="0"/>
    <n v="0"/>
    <n v="0"/>
    <n v="1"/>
    <n v="0"/>
    <n v="0"/>
    <n v="0"/>
    <n v="0"/>
    <n v="0"/>
    <n v="0"/>
    <n v="0"/>
    <n v="0"/>
    <n v="0"/>
    <n v="0"/>
    <n v="0"/>
    <n v="0"/>
    <n v="0"/>
    <n v="1"/>
    <n v="0"/>
    <n v="0"/>
    <n v="0"/>
    <n v="0"/>
    <n v="0"/>
    <n v="0"/>
    <n v="0"/>
    <n v="0"/>
    <n v="0"/>
    <n v="0"/>
    <n v="0"/>
    <x v="0"/>
    <x v="0"/>
    <x v="0"/>
    <x v="0"/>
    <x v="0"/>
    <m/>
    <x v="0"/>
    <x v="0"/>
    <n v="13"/>
    <m/>
    <n v="1"/>
    <m/>
    <m/>
    <m/>
    <m/>
    <m/>
    <m/>
    <m/>
    <m/>
    <m/>
    <m/>
    <m/>
    <m/>
    <m/>
    <m/>
    <m/>
    <m/>
    <m/>
    <m/>
    <m/>
    <n v="1"/>
    <n v="1"/>
  </r>
  <r>
    <n v="5554"/>
    <x v="1"/>
    <s v="2015/0277"/>
    <s v="Kerry Cottage, 1A Cambalt Road"/>
    <m/>
    <n v="523841"/>
    <n v="174804"/>
    <x v="5"/>
    <d v="2017-07-21T00:00:00"/>
    <m/>
    <n v="1"/>
    <n v="1"/>
    <n v="0"/>
    <n v="1"/>
    <n v="0"/>
    <x v="0"/>
    <s v="Demolition of existing building and erection of detached 2-storey house with accommodation at basement level; erection of east brick boundary wall."/>
    <s v="PF"/>
    <d v="2015-01-20T00:00:00"/>
    <d v="2015-03-17T00:00:00"/>
    <x v="0"/>
    <s v="Nil"/>
    <m/>
    <s v="BF"/>
    <s v="NB"/>
    <x v="0"/>
    <x v="5"/>
    <n v="2.3000000044703501E-2"/>
    <d v="2017-07-21T00:00:00"/>
    <x v="0"/>
    <m/>
    <x v="0"/>
    <s v="M"/>
    <m/>
    <m/>
    <n v="0"/>
    <n v="0"/>
    <n v="0"/>
    <n v="0"/>
    <n v="0"/>
    <n v="0"/>
    <n v="0"/>
    <n v="-1"/>
    <n v="1"/>
    <n v="0"/>
    <n v="0"/>
    <n v="0"/>
    <n v="0"/>
    <n v="0"/>
    <n v="0"/>
    <n v="0"/>
    <n v="0"/>
    <n v="0"/>
    <n v="0"/>
    <n v="0"/>
    <n v="0"/>
    <n v="-1"/>
    <n v="1"/>
    <n v="0"/>
    <n v="0"/>
    <n v="0"/>
    <n v="0"/>
    <n v="0"/>
    <n v="0"/>
    <n v="0"/>
    <n v="0"/>
    <n v="0"/>
    <x v="0"/>
    <x v="0"/>
    <x v="0"/>
    <x v="0"/>
    <x v="0"/>
    <m/>
    <x v="0"/>
    <x v="0"/>
    <n v="2"/>
    <m/>
    <n v="0"/>
    <m/>
    <m/>
    <m/>
    <m/>
    <m/>
    <m/>
    <m/>
    <m/>
    <m/>
    <m/>
    <m/>
    <m/>
    <m/>
    <m/>
    <m/>
    <m/>
    <m/>
    <m/>
    <m/>
    <n v="0"/>
    <n v="0"/>
  </r>
  <r>
    <n v="5569"/>
    <x v="1"/>
    <s v="2013/4653"/>
    <s v="Phase 2 Development Wandsworth Business Village, Buckhold Road (Former Army Cadet Force Building)"/>
    <m/>
    <n v="525381"/>
    <n v="174578"/>
    <x v="14"/>
    <d v="2016-09-30T00:00:00"/>
    <m/>
    <n v="0"/>
    <n v="73"/>
    <n v="73"/>
    <n v="77"/>
    <n v="77"/>
    <x v="1"/>
    <s v="Demolition of existing single-storey building; erection of part 4 (16.6m high), part 11 (37m high), part 18 (58m high) and part 20 storey (64m high) building comprising 77 residential units, 2,254sq.m business floorspace  (Class B1 use), 163sq.m cafe/restaurant (Class A3 use) with associated landscaping and access arrangements."/>
    <s v="PFLA"/>
    <d v="2013-09-24T00:00:00"/>
    <d v="2014-07-22T00:00:00"/>
    <x v="0"/>
    <s v="Nil"/>
    <m/>
    <s v="BF"/>
    <s v="NB"/>
    <x v="1"/>
    <x v="7"/>
    <n v="8.1000000238418607E-2"/>
    <d v="2016-09-30T00:00:00"/>
    <x v="0"/>
    <m/>
    <x v="0"/>
    <s v="M"/>
    <s v="3.1.1"/>
    <m/>
    <n v="73"/>
    <n v="0"/>
    <n v="7"/>
    <n v="0"/>
    <n v="2"/>
    <n v="24"/>
    <n v="41"/>
    <n v="6"/>
    <n v="0"/>
    <n v="0"/>
    <n v="0"/>
    <n v="2"/>
    <n v="24"/>
    <n v="41"/>
    <n v="6"/>
    <n v="0"/>
    <n v="0"/>
    <n v="0"/>
    <n v="0"/>
    <n v="0"/>
    <n v="0"/>
    <n v="0"/>
    <n v="0"/>
    <n v="0"/>
    <n v="0"/>
    <n v="0"/>
    <n v="0"/>
    <n v="0"/>
    <n v="0"/>
    <n v="0"/>
    <n v="0"/>
    <n v="0"/>
    <x v="0"/>
    <x v="0"/>
    <x v="1"/>
    <x v="0"/>
    <x v="0"/>
    <m/>
    <x v="0"/>
    <x v="0"/>
    <n v="4"/>
    <m/>
    <n v="73"/>
    <m/>
    <m/>
    <m/>
    <m/>
    <m/>
    <m/>
    <m/>
    <m/>
    <m/>
    <m/>
    <m/>
    <m/>
    <m/>
    <m/>
    <m/>
    <m/>
    <m/>
    <m/>
    <m/>
    <n v="73"/>
    <n v="73"/>
  </r>
  <r>
    <n v="5569"/>
    <x v="1"/>
    <s v="2013/4653"/>
    <s v="Phase 2 Development Wandsworth Business Village, Buckhold Road (Former Army Cadet Force Building)"/>
    <m/>
    <n v="525381"/>
    <n v="174578"/>
    <x v="14"/>
    <d v="2016-09-30T00:00:00"/>
    <m/>
    <n v="0"/>
    <n v="4"/>
    <n v="4"/>
    <n v="77"/>
    <n v="77"/>
    <x v="1"/>
    <s v="Demolition of existing single-storey building; erection of part 4 (16.6m high), part 11 (37m high), part 18 (58m high) and part 20 storey (64m high) building comprising 77 residential units, 2,254sq.m business floorspace  (Class B1 use), 163sq.m cafe/restaurant (Class A3 use) with associated landscaping and access arrangements."/>
    <s v="PFLA"/>
    <d v="2013-09-24T00:00:00"/>
    <d v="2014-07-22T00:00:00"/>
    <x v="0"/>
    <s v="Nil"/>
    <m/>
    <s v="BF"/>
    <s v="NB"/>
    <x v="1"/>
    <x v="7"/>
    <n v="4.0000001899898104E-3"/>
    <d v="2016-09-30T00:00:00"/>
    <x v="0"/>
    <m/>
    <x v="1"/>
    <s v="ISO"/>
    <s v="3.1.1"/>
    <m/>
    <n v="4"/>
    <n v="0"/>
    <n v="0"/>
    <n v="0"/>
    <n v="0"/>
    <n v="1"/>
    <n v="3"/>
    <n v="0"/>
    <n v="0"/>
    <n v="0"/>
    <n v="0"/>
    <n v="0"/>
    <n v="1"/>
    <n v="3"/>
    <n v="0"/>
    <n v="0"/>
    <n v="0"/>
    <n v="0"/>
    <n v="0"/>
    <n v="0"/>
    <n v="0"/>
    <n v="0"/>
    <n v="0"/>
    <n v="0"/>
    <n v="0"/>
    <n v="0"/>
    <n v="0"/>
    <n v="0"/>
    <n v="0"/>
    <n v="0"/>
    <n v="0"/>
    <n v="0"/>
    <x v="0"/>
    <x v="0"/>
    <x v="1"/>
    <x v="0"/>
    <x v="0"/>
    <m/>
    <x v="0"/>
    <x v="0"/>
    <n v="4"/>
    <m/>
    <n v="4"/>
    <m/>
    <m/>
    <m/>
    <m/>
    <m/>
    <m/>
    <m/>
    <m/>
    <m/>
    <m/>
    <m/>
    <m/>
    <m/>
    <m/>
    <m/>
    <m/>
    <m/>
    <m/>
    <m/>
    <n v="4"/>
    <n v="4"/>
  </r>
  <r>
    <n v="5621"/>
    <x v="1"/>
    <s v="2014/0194"/>
    <s v="34 Gambole Road"/>
    <m/>
    <n v="527083"/>
    <n v="171544"/>
    <x v="1"/>
    <d v="2015-12-23T00:00:00"/>
    <m/>
    <n v="1"/>
    <n v="3"/>
    <n v="2"/>
    <n v="3"/>
    <n v="2"/>
    <x v="0"/>
    <s v="Construction of a single-storey rear extension, in connection with the conversion of the existing dwellinghouse to form; 1 x 3-bedroom flat, 1 x 2-bedroom flat &amp; 1 x 1-bedroom flat."/>
    <s v="PF"/>
    <d v="2014-01-15T00:00:00"/>
    <d v="2014-06-13T00:00:00"/>
    <x v="0"/>
    <s v="Nil"/>
    <m/>
    <s v="BF"/>
    <s v="CON"/>
    <x v="0"/>
    <x v="2"/>
    <n v="1.60000007599592E-2"/>
    <d v="2015-12-23T00:00:00"/>
    <x v="0"/>
    <m/>
    <x v="0"/>
    <s v="M"/>
    <m/>
    <m/>
    <n v="0"/>
    <n v="0"/>
    <n v="0"/>
    <n v="0"/>
    <n v="0"/>
    <n v="1"/>
    <n v="1"/>
    <n v="1"/>
    <n v="-1"/>
    <n v="0"/>
    <n v="0"/>
    <n v="0"/>
    <n v="1"/>
    <n v="1"/>
    <n v="1"/>
    <n v="0"/>
    <n v="0"/>
    <n v="0"/>
    <n v="0"/>
    <n v="0"/>
    <n v="0"/>
    <n v="0"/>
    <n v="-1"/>
    <n v="0"/>
    <n v="0"/>
    <n v="0"/>
    <n v="0"/>
    <n v="0"/>
    <n v="0"/>
    <n v="0"/>
    <n v="0"/>
    <n v="0"/>
    <x v="0"/>
    <x v="0"/>
    <x v="0"/>
    <x v="0"/>
    <x v="0"/>
    <m/>
    <x v="0"/>
    <x v="0"/>
    <n v="13"/>
    <m/>
    <n v="2"/>
    <m/>
    <m/>
    <m/>
    <m/>
    <m/>
    <m/>
    <m/>
    <m/>
    <m/>
    <m/>
    <m/>
    <m/>
    <m/>
    <m/>
    <m/>
    <m/>
    <m/>
    <m/>
    <m/>
    <n v="2"/>
    <n v="2"/>
  </r>
  <r>
    <n v="5665"/>
    <x v="1"/>
    <s v="2015/1446"/>
    <s v="176 Upper Tooting Road"/>
    <m/>
    <n v="527697"/>
    <n v="171921"/>
    <x v="1"/>
    <d v="2018-03-31T00:00:00"/>
    <m/>
    <n v="1"/>
    <n v="1"/>
    <n v="0"/>
    <n v="2"/>
    <n v="1"/>
    <x v="0"/>
    <s v="Erection of second floor extension (with front and rear mansards) to create additional storey of accommodation including the creation of an additional one bedroom residential flat; erection of a part single-storey, part two-storey rear extension; external rear staircase and first floor balconies."/>
    <s v="PF"/>
    <d v="2015-04-18T00:00:00"/>
    <d v="2015-06-10T00:00:00"/>
    <x v="0"/>
    <s v="Nil"/>
    <m/>
    <s v="BF"/>
    <s v="MIX"/>
    <x v="0"/>
    <x v="0"/>
    <n v="3.0000000260770299E-3"/>
    <d v="2018-03-31T00:00:00"/>
    <x v="0"/>
    <m/>
    <x v="0"/>
    <s v="M"/>
    <m/>
    <m/>
    <n v="0"/>
    <n v="0"/>
    <n v="0"/>
    <n v="0"/>
    <n v="0"/>
    <n v="-1"/>
    <n v="1"/>
    <n v="0"/>
    <n v="0"/>
    <n v="0"/>
    <n v="0"/>
    <n v="0"/>
    <n v="-1"/>
    <n v="1"/>
    <n v="0"/>
    <n v="0"/>
    <n v="0"/>
    <n v="0"/>
    <n v="0"/>
    <n v="0"/>
    <n v="0"/>
    <n v="0"/>
    <n v="0"/>
    <n v="0"/>
    <n v="0"/>
    <n v="0"/>
    <n v="0"/>
    <n v="0"/>
    <n v="0"/>
    <n v="0"/>
    <n v="0"/>
    <n v="0"/>
    <x v="4"/>
    <x v="0"/>
    <x v="0"/>
    <x v="0"/>
    <x v="0"/>
    <m/>
    <x v="0"/>
    <x v="0"/>
    <n v="13"/>
    <m/>
    <n v="0"/>
    <m/>
    <m/>
    <m/>
    <m/>
    <m/>
    <m/>
    <m/>
    <m/>
    <m/>
    <m/>
    <m/>
    <m/>
    <m/>
    <m/>
    <m/>
    <m/>
    <m/>
    <m/>
    <m/>
    <n v="0"/>
    <n v="0"/>
  </r>
  <r>
    <n v="5665"/>
    <x v="1"/>
    <s v="2015/1446"/>
    <s v="176 Upper Tooting Road"/>
    <m/>
    <n v="527697"/>
    <n v="171921"/>
    <x v="1"/>
    <d v="2018-03-31T00:00:00"/>
    <m/>
    <n v="0"/>
    <n v="1"/>
    <n v="1"/>
    <n v="2"/>
    <n v="1"/>
    <x v="0"/>
    <s v="Erection of second floor extension (with front and rear mansards) to create additional storey of accommodation including the creation of an additional one bedroom residential flat; erection of a part single-storey, part two-storey rear extension; external rear staircase and first floor balconies."/>
    <s v="PF"/>
    <d v="2015-04-18T00:00:00"/>
    <d v="2015-06-10T00:00:00"/>
    <x v="0"/>
    <s v="Nil"/>
    <m/>
    <s v="BF"/>
    <s v="MIX"/>
    <x v="0"/>
    <x v="5"/>
    <n v="3.0000000260770299E-3"/>
    <d v="2018-03-31T00:00:00"/>
    <x v="0"/>
    <m/>
    <x v="0"/>
    <s v="M"/>
    <m/>
    <m/>
    <n v="0"/>
    <n v="0"/>
    <n v="0"/>
    <n v="0"/>
    <n v="1"/>
    <n v="0"/>
    <n v="0"/>
    <n v="0"/>
    <n v="0"/>
    <n v="0"/>
    <n v="0"/>
    <n v="1"/>
    <n v="0"/>
    <n v="0"/>
    <n v="0"/>
    <n v="0"/>
    <n v="0"/>
    <n v="0"/>
    <n v="0"/>
    <n v="0"/>
    <n v="0"/>
    <n v="0"/>
    <n v="0"/>
    <n v="0"/>
    <n v="0"/>
    <n v="0"/>
    <n v="0"/>
    <n v="0"/>
    <n v="0"/>
    <n v="0"/>
    <n v="0"/>
    <n v="0"/>
    <x v="4"/>
    <x v="0"/>
    <x v="0"/>
    <x v="0"/>
    <x v="0"/>
    <m/>
    <x v="0"/>
    <x v="0"/>
    <n v="13"/>
    <m/>
    <n v="1"/>
    <m/>
    <m/>
    <m/>
    <m/>
    <m/>
    <m/>
    <m/>
    <m/>
    <m/>
    <m/>
    <m/>
    <m/>
    <m/>
    <m/>
    <m/>
    <m/>
    <m/>
    <m/>
    <m/>
    <n v="1"/>
    <n v="1"/>
  </r>
  <r>
    <n v="5682"/>
    <x v="1"/>
    <s v="2016/1252"/>
    <s v="7 Lavender Hill"/>
    <m/>
    <n v="528537"/>
    <n v="175740"/>
    <x v="9"/>
    <d v="2019-03-31T00:00:00"/>
    <m/>
    <n v="0"/>
    <n v="1"/>
    <n v="1"/>
    <n v="1"/>
    <n v="1"/>
    <x v="0"/>
    <s v="Erection of single-storey rear extension at first floor level in connection with change of use of rear basement and ground floors from retail (Use Class A1) to 1 x 1-bedroom residential unit (Use Class C3) accessed from Abberley Mews."/>
    <s v="PF"/>
    <d v="2016-05-03T00:00:00"/>
    <d v="2016-06-28T00:00:00"/>
    <x v="0"/>
    <s v="Nil"/>
    <m/>
    <s v="BF"/>
    <s v="MIX"/>
    <x v="0"/>
    <x v="4"/>
    <n v="4.0000001899898104E-3"/>
    <d v="2019-03-31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5682"/>
    <x v="1"/>
    <s v="2017/1395"/>
    <s v="7 Lavender Hill"/>
    <m/>
    <n v="528537"/>
    <n v="175740"/>
    <x v="9"/>
    <d v="2019-03-31T00:00:00"/>
    <m/>
    <n v="1"/>
    <n v="2"/>
    <n v="1"/>
    <n v="3"/>
    <n v="2"/>
    <x v="0"/>
    <s v="Alterations including erection of roof extension to create additional floor of accommodation in connection with conversion of property into 3 x 1-bedroom flats."/>
    <s v="PF"/>
    <d v="2017-04-13T00:00:00"/>
    <d v="2017-09-19T00:00:00"/>
    <x v="0"/>
    <s v="Nil"/>
    <m/>
    <s v="BF"/>
    <s v="MIX"/>
    <x v="0"/>
    <x v="0"/>
    <n v="4.0000001899898104E-3"/>
    <d v="2019-03-31T00:00:00"/>
    <x v="0"/>
    <m/>
    <x v="0"/>
    <s v="M"/>
    <m/>
    <m/>
    <n v="0"/>
    <n v="0"/>
    <n v="0"/>
    <n v="0"/>
    <n v="0"/>
    <n v="2"/>
    <n v="0"/>
    <n v="0"/>
    <n v="-1"/>
    <n v="0"/>
    <n v="0"/>
    <n v="0"/>
    <n v="2"/>
    <n v="0"/>
    <n v="0"/>
    <n v="-1"/>
    <n v="0"/>
    <n v="0"/>
    <n v="0"/>
    <n v="0"/>
    <n v="0"/>
    <n v="0"/>
    <n v="0"/>
    <n v="0"/>
    <n v="0"/>
    <n v="0"/>
    <n v="0"/>
    <n v="0"/>
    <n v="0"/>
    <n v="0"/>
    <n v="0"/>
    <n v="0"/>
    <x v="0"/>
    <x v="0"/>
    <x v="0"/>
    <x v="0"/>
    <x v="0"/>
    <m/>
    <x v="0"/>
    <x v="0"/>
    <n v="13"/>
    <m/>
    <n v="1"/>
    <m/>
    <m/>
    <m/>
    <m/>
    <m/>
    <m/>
    <m/>
    <m/>
    <m/>
    <m/>
    <m/>
    <m/>
    <m/>
    <m/>
    <m/>
    <m/>
    <m/>
    <m/>
    <m/>
    <n v="1"/>
    <n v="1"/>
  </r>
  <r>
    <n v="5682"/>
    <x v="1"/>
    <s v="2017/1395"/>
    <s v="7 Lavender Hill"/>
    <m/>
    <n v="528537"/>
    <n v="175740"/>
    <x v="9"/>
    <d v="2019-03-31T00:00:00"/>
    <m/>
    <n v="0"/>
    <n v="1"/>
    <n v="1"/>
    <n v="3"/>
    <n v="2"/>
    <x v="0"/>
    <s v="Alterations including erection of roof extension to create additional floor of accommodation in connection with conversion of property into 3 x 1-bedroom flats."/>
    <s v="PF"/>
    <d v="2017-04-13T00:00:00"/>
    <d v="2017-09-19T00:00:00"/>
    <x v="0"/>
    <s v="Nil"/>
    <m/>
    <s v="BF"/>
    <s v="MIX"/>
    <x v="0"/>
    <x v="5"/>
    <n v="3.0000000260770299E-3"/>
    <d v="2019-03-31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5701"/>
    <x v="1"/>
    <s v="2014/3755"/>
    <s v="71 Lavender Hill"/>
    <m/>
    <n v="528325"/>
    <n v="175700"/>
    <x v="9"/>
    <d v="2017-05-23T00:00:00"/>
    <m/>
    <n v="0"/>
    <n v="3"/>
    <n v="3"/>
    <n v="3"/>
    <n v="3"/>
    <x v="0"/>
    <s v="Construction of first and second floor rear extensions and roof terraces, and mansard roof extension to create an additional storey of accommodation with roof terrace in connection with the creation of three self-contained flats (1 x 1-bedroom, 1 x 2-bedroom and 1 x 4-bedroom unit). Ground floor alterations to shop front, insertion of side windows and access gate."/>
    <s v="PF"/>
    <d v="2014-08-04T00:00:00"/>
    <d v="2014-11-25T00:00:00"/>
    <x v="0"/>
    <s v="Nil"/>
    <m/>
    <s v="BF"/>
    <s v="MIX"/>
    <x v="0"/>
    <x v="5"/>
    <n v="6.0000000521540598E-3"/>
    <d v="2017-05-23T00:00:00"/>
    <x v="0"/>
    <m/>
    <x v="0"/>
    <s v="M"/>
    <m/>
    <m/>
    <n v="0"/>
    <n v="0"/>
    <n v="0"/>
    <n v="0"/>
    <n v="1"/>
    <n v="0"/>
    <n v="1"/>
    <n v="0"/>
    <n v="1"/>
    <n v="0"/>
    <n v="0"/>
    <n v="1"/>
    <n v="0"/>
    <n v="1"/>
    <n v="0"/>
    <n v="1"/>
    <n v="0"/>
    <n v="0"/>
    <n v="0"/>
    <n v="0"/>
    <n v="0"/>
    <n v="0"/>
    <n v="0"/>
    <n v="0"/>
    <n v="0"/>
    <n v="0"/>
    <n v="0"/>
    <n v="0"/>
    <n v="0"/>
    <n v="0"/>
    <n v="0"/>
    <n v="0"/>
    <x v="0"/>
    <x v="0"/>
    <x v="0"/>
    <x v="0"/>
    <x v="0"/>
    <m/>
    <x v="0"/>
    <x v="0"/>
    <n v="13"/>
    <m/>
    <n v="3"/>
    <m/>
    <m/>
    <m/>
    <m/>
    <m/>
    <m/>
    <m/>
    <m/>
    <m/>
    <m/>
    <m/>
    <m/>
    <m/>
    <m/>
    <m/>
    <m/>
    <m/>
    <m/>
    <m/>
    <n v="3"/>
    <n v="3"/>
  </r>
  <r>
    <n v="5774"/>
    <x v="1"/>
    <s v="2016/4163"/>
    <s v="166 Battersea Park Road"/>
    <m/>
    <n v="527884"/>
    <n v="176593"/>
    <x v="16"/>
    <d v="2019-03-31T00:00:00"/>
    <m/>
    <n v="1"/>
    <n v="3"/>
    <n v="2"/>
    <n v="3"/>
    <n v="2"/>
    <x v="0"/>
    <s v="Alterations including erection of mansard extension to main rear roof (with French doors and safety railings) and erection of part single, part two-storey rear/side extension; formation of roof terrace at first and second  floor levels with 1.7m high screening surround.  Change of use of rear part of ground floor takeway to residential (Class C3) in connection with conversion of property to 2 x 1-bedroom and 1 x 2-bedroom flats."/>
    <s v="PF"/>
    <d v="2016-08-18T00:00:00"/>
    <d v="2016-12-19T00:00:00"/>
    <x v="0"/>
    <s v="Nil"/>
    <m/>
    <s v="BF"/>
    <s v="MIX"/>
    <x v="0"/>
    <x v="0"/>
    <n v="6.0000000521540598E-3"/>
    <d v="2019-03-31T00:00:00"/>
    <x v="0"/>
    <m/>
    <x v="0"/>
    <s v="M"/>
    <m/>
    <m/>
    <n v="0"/>
    <n v="0"/>
    <n v="0"/>
    <n v="0"/>
    <n v="0"/>
    <n v="2"/>
    <n v="1"/>
    <n v="0"/>
    <n v="-1"/>
    <n v="0"/>
    <n v="0"/>
    <n v="0"/>
    <n v="2"/>
    <n v="1"/>
    <n v="0"/>
    <n v="-1"/>
    <n v="0"/>
    <n v="0"/>
    <n v="0"/>
    <n v="0"/>
    <n v="0"/>
    <n v="0"/>
    <n v="0"/>
    <n v="0"/>
    <n v="0"/>
    <n v="0"/>
    <n v="0"/>
    <n v="0"/>
    <n v="0"/>
    <n v="0"/>
    <n v="0"/>
    <n v="0"/>
    <x v="0"/>
    <x v="0"/>
    <x v="0"/>
    <x v="0"/>
    <x v="0"/>
    <m/>
    <x v="0"/>
    <x v="0"/>
    <n v="13"/>
    <m/>
    <n v="2"/>
    <m/>
    <m/>
    <m/>
    <m/>
    <m/>
    <m/>
    <m/>
    <m/>
    <m/>
    <m/>
    <m/>
    <m/>
    <m/>
    <m/>
    <m/>
    <m/>
    <m/>
    <m/>
    <m/>
    <n v="2"/>
    <n v="2"/>
  </r>
  <r>
    <n v="5775"/>
    <x v="1"/>
    <s v="2014/6325"/>
    <s v="Land rear of, 13 Thurleigh Road"/>
    <m/>
    <n v="527719"/>
    <n v="174043"/>
    <x v="4"/>
    <d v="2016-02-11T00:00:00"/>
    <m/>
    <n v="0"/>
    <n v="1"/>
    <n v="1"/>
    <n v="1"/>
    <n v="1"/>
    <x v="0"/>
    <s v="Demolition of existing garages, erection of a single-storey plus basement attached self-contained dwelling fronting Blenkame Road with boundary treatment and associated landscaping."/>
    <s v="PF"/>
    <d v="2014-11-06T00:00:00"/>
    <d v="2015-02-27T00:00:00"/>
    <x v="0"/>
    <s v="Nil"/>
    <m/>
    <s v="BF"/>
    <s v="NB"/>
    <x v="0"/>
    <x v="5"/>
    <n v="8.9999996125698107E-3"/>
    <d v="2016-02-11T00:00:00"/>
    <x v="0"/>
    <m/>
    <x v="0"/>
    <s v="M"/>
    <m/>
    <m/>
    <n v="0"/>
    <n v="0"/>
    <n v="0"/>
    <n v="0"/>
    <n v="0"/>
    <n v="0"/>
    <n v="1"/>
    <n v="0"/>
    <n v="0"/>
    <n v="0"/>
    <n v="0"/>
    <n v="0"/>
    <n v="0"/>
    <n v="0"/>
    <n v="0"/>
    <n v="0"/>
    <n v="0"/>
    <n v="0"/>
    <n v="0"/>
    <n v="0"/>
    <n v="1"/>
    <n v="0"/>
    <n v="0"/>
    <n v="0"/>
    <n v="0"/>
    <n v="0"/>
    <n v="0"/>
    <n v="0"/>
    <n v="0"/>
    <n v="0"/>
    <n v="0"/>
    <n v="0"/>
    <x v="0"/>
    <x v="0"/>
    <x v="0"/>
    <x v="0"/>
    <x v="0"/>
    <m/>
    <x v="0"/>
    <x v="0"/>
    <n v="2"/>
    <m/>
    <n v="1"/>
    <m/>
    <m/>
    <m/>
    <m/>
    <m/>
    <m/>
    <m/>
    <m/>
    <m/>
    <m/>
    <m/>
    <m/>
    <m/>
    <m/>
    <m/>
    <m/>
    <m/>
    <m/>
    <m/>
    <n v="1"/>
    <n v="1"/>
  </r>
  <r>
    <n v="5777"/>
    <x v="1"/>
    <s v="2014/6447"/>
    <s v="Hookham Court Garages, Deeley Road"/>
    <m/>
    <n v="529591"/>
    <n v="176818"/>
    <x v="12"/>
    <d v="2015-03-31T00:00:00"/>
    <m/>
    <n v="0"/>
    <n v="20"/>
    <n v="20"/>
    <n v="20"/>
    <n v="20"/>
    <x v="1"/>
    <s v="Demolition of existing Council own garages and redevelopment of the site to provide a new Council own building ranging from 4 to 5 storeys in height comprising 20 residential units of affordable housing (use class C3) together with ground floor automobile and cycle parking, refuse area  and landscaping."/>
    <s v="PF"/>
    <d v="2014-11-27T00:00:00"/>
    <d v="2015-01-27T00:00:00"/>
    <x v="0"/>
    <s v="Nil"/>
    <m/>
    <s v="BF"/>
    <s v="NB"/>
    <x v="1"/>
    <x v="7"/>
    <n v="0.13400000333786"/>
    <d v="2015-03-31T00:00:00"/>
    <x v="0"/>
    <m/>
    <x v="2"/>
    <s v="AC"/>
    <m/>
    <m/>
    <n v="2"/>
    <n v="0"/>
    <n v="20"/>
    <n v="0"/>
    <n v="0"/>
    <n v="6"/>
    <n v="9"/>
    <n v="5"/>
    <n v="0"/>
    <n v="0"/>
    <n v="0"/>
    <n v="0"/>
    <n v="6"/>
    <n v="9"/>
    <n v="5"/>
    <n v="0"/>
    <n v="0"/>
    <n v="0"/>
    <n v="0"/>
    <n v="0"/>
    <n v="0"/>
    <n v="0"/>
    <n v="0"/>
    <n v="0"/>
    <n v="0"/>
    <n v="0"/>
    <n v="0"/>
    <n v="0"/>
    <n v="0"/>
    <n v="0"/>
    <n v="0"/>
    <n v="0"/>
    <x v="0"/>
    <x v="1"/>
    <x v="0"/>
    <x v="0"/>
    <x v="0"/>
    <m/>
    <x v="0"/>
    <x v="0"/>
    <n v="21"/>
    <m/>
    <n v="20"/>
    <m/>
    <m/>
    <m/>
    <m/>
    <m/>
    <m/>
    <m/>
    <m/>
    <m/>
    <m/>
    <m/>
    <m/>
    <m/>
    <m/>
    <m/>
    <m/>
    <m/>
    <m/>
    <m/>
    <n v="20"/>
    <n v="20"/>
  </r>
  <r>
    <n v="5812"/>
    <x v="1"/>
    <s v="2015/4504"/>
    <s v="46 Ponton Road (Lexington Gardens)"/>
    <s v="Block A"/>
    <n v="529628"/>
    <n v="177338"/>
    <x v="12"/>
    <d v="2017-02-27T00:00:00"/>
    <m/>
    <n v="0"/>
    <n v="126"/>
    <n v="126"/>
    <n v="357"/>
    <n v="357"/>
    <x v="1"/>
    <s v="Demolition of all existing buildings and redevelopment of the site to provide a mixed-use development comprising 357 residential units, including affordable housing (use class C3) and 772sqm of commercial/community floorspace (use classes A1/A2/A3/B1/D1/D2) within buildings ranging from 10 to 13 storeys in height, together with associated car and cycle parking, private and public open space, landscaping and infrastructure works."/>
    <s v="PFLA"/>
    <d v="2015-08-18T00:00:00"/>
    <d v="2016-10-04T00:00:00"/>
    <x v="0"/>
    <s v="Nil"/>
    <m/>
    <s v="BF"/>
    <s v="NB"/>
    <x v="1"/>
    <x v="7"/>
    <n v="0.20000000298023199"/>
    <d v="2017-02-27T00:00:00"/>
    <x v="0"/>
    <m/>
    <x v="0"/>
    <s v="M"/>
    <s v="2.1.20"/>
    <m/>
    <n v="126"/>
    <n v="0"/>
    <n v="12"/>
    <n v="0"/>
    <n v="9"/>
    <n v="12"/>
    <n v="97"/>
    <n v="8"/>
    <n v="0"/>
    <n v="0"/>
    <n v="0"/>
    <n v="9"/>
    <n v="12"/>
    <n v="97"/>
    <n v="8"/>
    <n v="0"/>
    <n v="0"/>
    <n v="0"/>
    <n v="0"/>
    <n v="0"/>
    <n v="0"/>
    <n v="0"/>
    <n v="0"/>
    <n v="0"/>
    <n v="0"/>
    <n v="0"/>
    <n v="0"/>
    <n v="0"/>
    <n v="0"/>
    <n v="0"/>
    <n v="0"/>
    <n v="0"/>
    <x v="0"/>
    <x v="1"/>
    <x v="0"/>
    <x v="0"/>
    <x v="0"/>
    <m/>
    <x v="0"/>
    <x v="0"/>
    <n v="21"/>
    <m/>
    <n v="126"/>
    <m/>
    <m/>
    <m/>
    <m/>
    <m/>
    <m/>
    <m/>
    <m/>
    <m/>
    <m/>
    <m/>
    <m/>
    <m/>
    <m/>
    <m/>
    <m/>
    <m/>
    <m/>
    <m/>
    <n v="126"/>
    <n v="126"/>
  </r>
  <r>
    <n v="5812"/>
    <x v="1"/>
    <s v="2015/4504"/>
    <s v="46 Ponton Road (Lexington Gardens)"/>
    <s v="Block B"/>
    <n v="529628"/>
    <n v="177338"/>
    <x v="12"/>
    <d v="2017-02-27T00:00:00"/>
    <m/>
    <n v="0"/>
    <n v="126"/>
    <n v="126"/>
    <n v="357"/>
    <n v="357"/>
    <x v="1"/>
    <s v="Demolition of all existing buildings and redevelopment of the site to provide a mixed-use development comprising 357 residential units, including affordable housing (use class C3) and 772sqm of commercial/community floorspace (use classes A1/A2/A3/B1/D1/D2) within buildings ranging from 10 to 13 storeys in height, together with associated car and cycle parking, private and public open space, landscaping and infrastructure works."/>
    <s v="PFLA"/>
    <d v="2015-08-18T00:00:00"/>
    <d v="2016-10-04T00:00:00"/>
    <x v="0"/>
    <s v="Nil"/>
    <m/>
    <s v="BF"/>
    <s v="NB"/>
    <x v="1"/>
    <x v="7"/>
    <n v="0.18299999833107"/>
    <d v="2018-03-31T00:00:00"/>
    <x v="0"/>
    <m/>
    <x v="0"/>
    <s v="M"/>
    <s v="2.1.20"/>
    <m/>
    <n v="126"/>
    <n v="0"/>
    <n v="12"/>
    <n v="0"/>
    <n v="0"/>
    <n v="33"/>
    <n v="85"/>
    <n v="8"/>
    <n v="0"/>
    <n v="0"/>
    <n v="0"/>
    <n v="0"/>
    <n v="33"/>
    <n v="85"/>
    <n v="8"/>
    <n v="0"/>
    <n v="0"/>
    <n v="0"/>
    <n v="0"/>
    <n v="0"/>
    <n v="0"/>
    <n v="0"/>
    <n v="0"/>
    <n v="0"/>
    <n v="0"/>
    <n v="0"/>
    <n v="0"/>
    <n v="0"/>
    <n v="0"/>
    <n v="0"/>
    <n v="0"/>
    <n v="0"/>
    <x v="0"/>
    <x v="1"/>
    <x v="0"/>
    <x v="0"/>
    <x v="0"/>
    <m/>
    <x v="0"/>
    <x v="0"/>
    <n v="21"/>
    <m/>
    <n v="126"/>
    <m/>
    <m/>
    <m/>
    <m/>
    <m/>
    <m/>
    <m/>
    <m/>
    <m/>
    <m/>
    <m/>
    <m/>
    <m/>
    <m/>
    <m/>
    <m/>
    <m/>
    <m/>
    <m/>
    <n v="126"/>
    <n v="126"/>
  </r>
  <r>
    <n v="5812"/>
    <x v="1"/>
    <s v="2015/4504"/>
    <s v="46 Ponton Road (Lexington Gardens)"/>
    <s v="Block C"/>
    <n v="529628"/>
    <n v="177338"/>
    <x v="12"/>
    <d v="2017-02-27T00:00:00"/>
    <m/>
    <n v="0"/>
    <n v="39"/>
    <n v="39"/>
    <n v="357"/>
    <n v="357"/>
    <x v="1"/>
    <s v="Demolition of all existing buildings and redevelopment of the site to provide a mixed-use development comprising 357 residential units, including affordable housing (use class C3) and 772sqm of commercial/community floorspace (use classes A1/A2/A3/B1/D1/D2) within buildings ranging from 10 to 13 storeys in height, together with associated car and cycle parking, private and public open space, landscaping and infrastructure works."/>
    <s v="PFLA"/>
    <d v="2015-08-18T00:00:00"/>
    <d v="2016-10-04T00:00:00"/>
    <x v="0"/>
    <s v="Nil"/>
    <m/>
    <s v="BF"/>
    <s v="NB"/>
    <x v="1"/>
    <x v="7"/>
    <n v="5.0000000745058101E-2"/>
    <d v="2018-03-31T00:00:00"/>
    <x v="0"/>
    <m/>
    <x v="2"/>
    <s v="AA"/>
    <s v="2.1.20"/>
    <m/>
    <n v="39"/>
    <n v="0"/>
    <n v="9"/>
    <n v="5"/>
    <n v="0"/>
    <n v="6"/>
    <n v="22"/>
    <n v="11"/>
    <n v="0"/>
    <n v="0"/>
    <n v="0"/>
    <n v="0"/>
    <n v="6"/>
    <n v="22"/>
    <n v="11"/>
    <n v="0"/>
    <n v="0"/>
    <n v="0"/>
    <n v="0"/>
    <n v="0"/>
    <n v="0"/>
    <n v="0"/>
    <n v="0"/>
    <n v="0"/>
    <n v="0"/>
    <n v="0"/>
    <n v="0"/>
    <n v="0"/>
    <n v="0"/>
    <n v="0"/>
    <n v="0"/>
    <n v="0"/>
    <x v="0"/>
    <x v="1"/>
    <x v="0"/>
    <x v="0"/>
    <x v="0"/>
    <m/>
    <x v="0"/>
    <x v="0"/>
    <n v="21"/>
    <m/>
    <m/>
    <n v="39"/>
    <m/>
    <m/>
    <m/>
    <m/>
    <m/>
    <m/>
    <m/>
    <m/>
    <m/>
    <m/>
    <m/>
    <m/>
    <m/>
    <m/>
    <m/>
    <m/>
    <m/>
    <m/>
    <n v="39"/>
    <n v="39"/>
  </r>
  <r>
    <n v="5812"/>
    <x v="1"/>
    <s v="2015/4504"/>
    <s v="46 Ponton Road (Lexington Gardens)"/>
    <s v="Block C"/>
    <n v="529628"/>
    <n v="177338"/>
    <x v="12"/>
    <d v="2017-02-27T00:00:00"/>
    <m/>
    <n v="0"/>
    <n v="10"/>
    <n v="10"/>
    <n v="357"/>
    <n v="357"/>
    <x v="1"/>
    <s v="Demolition of all existing buildings and redevelopment of the site to provide a mixed-use development comprising 357 residential units, including affordable housing (use class C3) and 772sqm of commercial/community floorspace (use classes A1/A2/A3/B1/D1/D2) within buildings ranging from 10 to 13 storeys in height, together with associated car and cycle parking, private and public open space, landscaping and infrastructure works."/>
    <s v="PFLA"/>
    <d v="2015-08-18T00:00:00"/>
    <d v="2016-10-04T00:00:00"/>
    <x v="0"/>
    <s v="Nil"/>
    <m/>
    <s v="BF"/>
    <s v="NB"/>
    <x v="1"/>
    <x v="7"/>
    <n v="5.0000000745058101E-2"/>
    <d v="2018-03-31T00:00:00"/>
    <x v="0"/>
    <m/>
    <x v="0"/>
    <s v="M"/>
    <s v="2.1.20"/>
    <m/>
    <n v="10"/>
    <n v="0"/>
    <n v="0"/>
    <n v="0"/>
    <n v="0"/>
    <n v="4"/>
    <n v="4"/>
    <n v="2"/>
    <n v="0"/>
    <n v="0"/>
    <n v="0"/>
    <n v="0"/>
    <n v="4"/>
    <n v="4"/>
    <n v="2"/>
    <n v="0"/>
    <n v="0"/>
    <n v="0"/>
    <n v="0"/>
    <n v="0"/>
    <n v="0"/>
    <n v="0"/>
    <n v="0"/>
    <n v="0"/>
    <n v="0"/>
    <n v="0"/>
    <n v="0"/>
    <n v="0"/>
    <n v="0"/>
    <n v="0"/>
    <n v="0"/>
    <n v="0"/>
    <x v="0"/>
    <x v="1"/>
    <x v="0"/>
    <x v="0"/>
    <x v="0"/>
    <m/>
    <x v="0"/>
    <x v="0"/>
    <n v="21"/>
    <m/>
    <m/>
    <n v="10"/>
    <m/>
    <m/>
    <m/>
    <m/>
    <m/>
    <m/>
    <m/>
    <m/>
    <m/>
    <m/>
    <m/>
    <m/>
    <m/>
    <m/>
    <m/>
    <m/>
    <m/>
    <m/>
    <n v="10"/>
    <n v="10"/>
  </r>
  <r>
    <n v="5812"/>
    <x v="1"/>
    <s v="2017/1890"/>
    <s v="46 Ponton Road (Lexington Gardens)"/>
    <s v="Block C"/>
    <n v="529628"/>
    <n v="177338"/>
    <x v="12"/>
    <d v="2018-03-31T00:00:00"/>
    <m/>
    <n v="0"/>
    <n v="59"/>
    <n v="59"/>
    <n v="59"/>
    <n v="59"/>
    <x v="1"/>
    <s v="Application under Section 73 of the Town and Country Planning Act (as amended) for amendments to planning permission dated 04/10/2016 (ref: 2015/4504) for the demolition of all existing buildings and redevelopment of the site to provide a mixed-use development comprising 357 residential units, including affordable housing (Use Class C3) and 772 sqm of commercial / community floorspace (Use Classes A1 / A2 / A3 / B1 / D1 / D2/) within buildings ranging from 10 to 13 storeys in height, together with associated car and cycle parking, private and public open space, landscaping and infrastructure works. (The amendments include:_x000d__x000a_Amendments to building façade and materials and relocation of façade frame; Reduction in overall building height; Amendments to the ground floor layout and building core layouts; Amendments to podium drainage; Removal of podium level attenuation; Amendments to internal apartment layouts; and Amendments to internal layouts of Block C resulting in changes to the unit mix within the shared ownership tenure and an increase of three residential units)"/>
    <s v="S73"/>
    <d v="2017-04-04T00:00:00"/>
    <d v="2017-12-22T00:00:00"/>
    <x v="0"/>
    <s v="Nil"/>
    <m/>
    <s v="BF"/>
    <s v="NB"/>
    <x v="1"/>
    <x v="7"/>
    <n v="6.7000001668930095E-2"/>
    <d v="2018-03-31T00:00:00"/>
    <x v="0"/>
    <m/>
    <x v="1"/>
    <s v="ISO"/>
    <s v="2.1.20"/>
    <m/>
    <n v="0"/>
    <n v="0"/>
    <n v="0"/>
    <n v="3"/>
    <n v="0"/>
    <n v="38"/>
    <n v="20"/>
    <n v="1"/>
    <n v="0"/>
    <n v="0"/>
    <n v="0"/>
    <n v="0"/>
    <n v="38"/>
    <n v="20"/>
    <n v="1"/>
    <n v="0"/>
    <n v="0"/>
    <n v="0"/>
    <n v="0"/>
    <n v="0"/>
    <n v="0"/>
    <n v="0"/>
    <n v="0"/>
    <n v="0"/>
    <n v="0"/>
    <n v="0"/>
    <n v="0"/>
    <n v="0"/>
    <n v="0"/>
    <n v="0"/>
    <n v="0"/>
    <n v="0"/>
    <x v="0"/>
    <x v="1"/>
    <x v="0"/>
    <x v="0"/>
    <x v="0"/>
    <m/>
    <x v="0"/>
    <x v="0"/>
    <n v="21"/>
    <m/>
    <m/>
    <n v="59"/>
    <m/>
    <m/>
    <m/>
    <m/>
    <m/>
    <m/>
    <m/>
    <m/>
    <m/>
    <m/>
    <m/>
    <m/>
    <m/>
    <m/>
    <m/>
    <m/>
    <m/>
    <m/>
    <n v="59"/>
    <n v="59"/>
  </r>
  <r>
    <n v="5833"/>
    <x v="1"/>
    <s v="2015/3861"/>
    <s v="26 Lavender Hill"/>
    <m/>
    <n v="528459"/>
    <n v="175776"/>
    <x v="9"/>
    <d v="2018-08-15T00:00:00"/>
    <m/>
    <n v="0"/>
    <n v="1"/>
    <n v="1"/>
    <n v="2"/>
    <n v="2"/>
    <x v="0"/>
    <s v="Alterations including excavation to enlarge basement; erection of part single/part two-storey rear/side extensions with formation of balconies at ground and first floor levels in connection with the creation of 2x1 bedroom self-contained flats."/>
    <s v="PF"/>
    <d v="2015-08-05T00:00:00"/>
    <d v="2015-09-30T00:00:00"/>
    <x v="0"/>
    <s v="Nil"/>
    <m/>
    <s v="BF"/>
    <s v="MIX"/>
    <x v="0"/>
    <x v="4"/>
    <n v="3.0000000260770299E-3"/>
    <d v="2018-08-15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5833"/>
    <x v="1"/>
    <s v="2015/3861"/>
    <s v="26 Lavender Hill"/>
    <m/>
    <n v="528459"/>
    <n v="175776"/>
    <x v="9"/>
    <d v="2018-08-15T00:00:00"/>
    <m/>
    <n v="0"/>
    <n v="1"/>
    <n v="1"/>
    <n v="2"/>
    <n v="2"/>
    <x v="0"/>
    <s v="Alterations including excavation to enlarge basement; erection of part single/part two-storey rear/side extensions with formation of balconies at ground and first floor levels in connection with the creation of 2x1 bedroom self-contained flats."/>
    <s v="PF"/>
    <d v="2015-08-05T00:00:00"/>
    <d v="2015-09-30T00:00:00"/>
    <x v="0"/>
    <s v="Nil"/>
    <m/>
    <s v="BF"/>
    <s v="MIX"/>
    <x v="0"/>
    <x v="5"/>
    <n v="2.0000000949949E-3"/>
    <d v="2018-08-15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5844"/>
    <x v="1"/>
    <s v="2018/3618"/>
    <s v="21A Upper Tooting Road"/>
    <m/>
    <n v="527957"/>
    <n v="172279"/>
    <x v="19"/>
    <d v="2019-05-01T00:00:00"/>
    <m/>
    <n v="1"/>
    <n v="3"/>
    <n v="2"/>
    <n v="3"/>
    <n v="2"/>
    <x v="0"/>
    <s v="Alterations including erection of first floor rear and side extension, dormer roof extension to main rear roof and mansard style extension above two-storey back addition to form 1 x 2-bedroom flat, 2 x studio flat."/>
    <s v="PF"/>
    <d v="2018-08-01T00:00:00"/>
    <d v="2018-11-15T00:00:00"/>
    <x v="0"/>
    <s v="Nil"/>
    <m/>
    <s v="BF"/>
    <s v="CON"/>
    <x v="0"/>
    <x v="3"/>
    <n v="8.9999996125698107E-3"/>
    <d v="2019-05-01T00:00:00"/>
    <x v="1"/>
    <m/>
    <x v="0"/>
    <s v="M"/>
    <m/>
    <m/>
    <n v="0"/>
    <n v="0"/>
    <n v="0"/>
    <n v="0"/>
    <n v="2"/>
    <n v="0"/>
    <n v="1"/>
    <n v="-1"/>
    <n v="0"/>
    <n v="0"/>
    <n v="0"/>
    <n v="2"/>
    <n v="0"/>
    <n v="1"/>
    <n v="0"/>
    <n v="0"/>
    <n v="0"/>
    <n v="0"/>
    <n v="0"/>
    <n v="0"/>
    <n v="0"/>
    <n v="-1"/>
    <n v="0"/>
    <n v="0"/>
    <n v="0"/>
    <n v="0"/>
    <n v="0"/>
    <n v="0"/>
    <n v="0"/>
    <n v="0"/>
    <n v="0"/>
    <n v="0"/>
    <x v="0"/>
    <x v="0"/>
    <x v="0"/>
    <x v="0"/>
    <x v="0"/>
    <m/>
    <x v="0"/>
    <x v="0"/>
    <n v="13"/>
    <m/>
    <n v="2"/>
    <m/>
    <m/>
    <m/>
    <m/>
    <m/>
    <m/>
    <m/>
    <m/>
    <m/>
    <m/>
    <m/>
    <m/>
    <m/>
    <m/>
    <m/>
    <m/>
    <m/>
    <m/>
    <m/>
    <n v="2"/>
    <n v="2"/>
  </r>
  <r>
    <n v="5862"/>
    <x v="1"/>
    <s v="2018/0859"/>
    <s v="87 Putney High Street"/>
    <s v="conversion + extn"/>
    <n v="524068"/>
    <n v="175336"/>
    <x v="0"/>
    <d v="2018-03-31T00:00:00"/>
    <m/>
    <n v="1"/>
    <n v="3"/>
    <n v="2"/>
    <n v="5"/>
    <n v="4"/>
    <x v="0"/>
    <s v="Alterations and erection of three-storey (first to third floors) rear extension in connection with conversion of upper floors into 3 x 2-bedroom self-contained flats (Class C3) together with the erection of a three storey building to the rear of the site to provide 2 residential flats (Class C3)  (1 x 1-bedroom and 1 x 2-bedroom). Formation of a communal first floor terrace and new residential access with cycle and refuse stores from Token Yard."/>
    <s v="PF"/>
    <d v="2018-03-29T00:00:00"/>
    <d v="2018-08-23T00:00:00"/>
    <x v="0"/>
    <s v="Nil"/>
    <m/>
    <s v="BF"/>
    <s v="MIX"/>
    <x v="0"/>
    <x v="0"/>
    <n v="8.9999996125698107E-3"/>
    <d v="2018-03-31T00:00:00"/>
    <x v="0"/>
    <m/>
    <x v="0"/>
    <s v="M"/>
    <m/>
    <m/>
    <n v="0"/>
    <n v="0"/>
    <n v="0"/>
    <n v="0"/>
    <n v="0"/>
    <n v="0"/>
    <n v="3"/>
    <n v="-1"/>
    <n v="0"/>
    <n v="0"/>
    <n v="0"/>
    <n v="0"/>
    <n v="0"/>
    <n v="3"/>
    <n v="-1"/>
    <n v="0"/>
    <n v="0"/>
    <n v="0"/>
    <n v="0"/>
    <n v="0"/>
    <n v="0"/>
    <n v="0"/>
    <n v="0"/>
    <n v="0"/>
    <n v="0"/>
    <n v="0"/>
    <n v="0"/>
    <n v="0"/>
    <n v="0"/>
    <n v="0"/>
    <n v="0"/>
    <n v="0"/>
    <x v="2"/>
    <x v="0"/>
    <x v="0"/>
    <x v="0"/>
    <x v="0"/>
    <m/>
    <x v="0"/>
    <x v="0"/>
    <n v="13"/>
    <m/>
    <n v="2"/>
    <m/>
    <m/>
    <m/>
    <m/>
    <m/>
    <m/>
    <m/>
    <m/>
    <m/>
    <m/>
    <m/>
    <m/>
    <m/>
    <m/>
    <m/>
    <m/>
    <m/>
    <m/>
    <m/>
    <n v="2"/>
    <n v="2"/>
  </r>
  <r>
    <n v="5862"/>
    <x v="1"/>
    <s v="2018/0859"/>
    <s v="87 Putney High Street"/>
    <s v="new build"/>
    <n v="524068"/>
    <n v="175336"/>
    <x v="0"/>
    <d v="2018-03-31T00:00:00"/>
    <m/>
    <n v="0"/>
    <n v="2"/>
    <n v="2"/>
    <n v="5"/>
    <n v="4"/>
    <x v="0"/>
    <s v="Alterations and erection of three-storey (first to third floors) rear extension in connection with conversion of upper floors into 3 x 2-bedroom self-contained flats (Class C3) together with the erection of a three storey building to the rear of the site to provide 2 residential flats (Class C3)  (1 x 1-bedroom and 1 x 2-bedroom). Formation of a communal first floor terrace and new residential access with cycle and refuse stores from Token Yard."/>
    <s v="PF"/>
    <d v="2018-03-29T00:00:00"/>
    <d v="2018-08-23T00:00:00"/>
    <x v="0"/>
    <s v="Nil"/>
    <m/>
    <s v="BF"/>
    <s v="MIX"/>
    <x v="0"/>
    <x v="5"/>
    <n v="4.9999998882412902E-3"/>
    <d v="2018-03-31T00:00:00"/>
    <x v="0"/>
    <m/>
    <x v="0"/>
    <s v="M"/>
    <m/>
    <m/>
    <n v="0"/>
    <n v="0"/>
    <n v="0"/>
    <n v="0"/>
    <n v="0"/>
    <n v="1"/>
    <n v="1"/>
    <n v="0"/>
    <n v="0"/>
    <n v="0"/>
    <n v="0"/>
    <n v="0"/>
    <n v="1"/>
    <n v="1"/>
    <n v="0"/>
    <n v="0"/>
    <n v="0"/>
    <n v="0"/>
    <n v="0"/>
    <n v="0"/>
    <n v="0"/>
    <n v="0"/>
    <n v="0"/>
    <n v="0"/>
    <n v="0"/>
    <n v="0"/>
    <n v="0"/>
    <n v="0"/>
    <n v="0"/>
    <n v="0"/>
    <n v="0"/>
    <n v="0"/>
    <x v="2"/>
    <x v="0"/>
    <x v="0"/>
    <x v="0"/>
    <x v="0"/>
    <m/>
    <x v="0"/>
    <x v="0"/>
    <n v="13"/>
    <m/>
    <n v="2"/>
    <m/>
    <m/>
    <m/>
    <m/>
    <m/>
    <m/>
    <m/>
    <m/>
    <m/>
    <m/>
    <m/>
    <m/>
    <m/>
    <m/>
    <m/>
    <m/>
    <m/>
    <m/>
    <m/>
    <n v="2"/>
    <n v="2"/>
  </r>
  <r>
    <n v="5875"/>
    <x v="1"/>
    <s v="2015/0599"/>
    <s v="31 &amp; 32 Centurion Building, 376 Queenstown Road (Chelsea Bridge Wharf)"/>
    <m/>
    <n v="528631"/>
    <n v="177662"/>
    <x v="12"/>
    <d v="2019-03-21T00:00:00"/>
    <m/>
    <n v="2"/>
    <n v="1"/>
    <n v="-1"/>
    <n v="1"/>
    <n v="-1"/>
    <x v="0"/>
    <s v="Internal alterations to convert apartments 31 and 32 into one self contained unit (Class Use C3)."/>
    <s v="PF"/>
    <d v="2015-02-18T00:00:00"/>
    <d v="2015-03-25T00:00:00"/>
    <x v="0"/>
    <s v="Nil"/>
    <m/>
    <s v="BF"/>
    <s v="CON"/>
    <x v="0"/>
    <x v="10"/>
    <n v="1.60000007599592E-2"/>
    <d v="2019-03-21T00:00:00"/>
    <x v="0"/>
    <m/>
    <x v="0"/>
    <s v="M"/>
    <m/>
    <m/>
    <n v="0"/>
    <n v="0"/>
    <n v="0"/>
    <n v="0"/>
    <n v="0"/>
    <n v="0"/>
    <n v="-2"/>
    <n v="1"/>
    <n v="0"/>
    <n v="0"/>
    <n v="0"/>
    <n v="0"/>
    <n v="0"/>
    <n v="-2"/>
    <n v="1"/>
    <n v="0"/>
    <n v="0"/>
    <n v="0"/>
    <n v="0"/>
    <n v="0"/>
    <n v="0"/>
    <n v="0"/>
    <n v="0"/>
    <n v="0"/>
    <n v="0"/>
    <n v="0"/>
    <n v="0"/>
    <n v="0"/>
    <n v="0"/>
    <n v="0"/>
    <n v="0"/>
    <n v="0"/>
    <x v="0"/>
    <x v="1"/>
    <x v="0"/>
    <x v="0"/>
    <x v="0"/>
    <m/>
    <x v="0"/>
    <x v="0"/>
    <n v="13"/>
    <m/>
    <n v="-1"/>
    <m/>
    <m/>
    <m/>
    <m/>
    <m/>
    <m/>
    <m/>
    <m/>
    <m/>
    <m/>
    <m/>
    <m/>
    <m/>
    <m/>
    <m/>
    <m/>
    <m/>
    <m/>
    <m/>
    <n v="-1"/>
    <n v="-1"/>
  </r>
  <r>
    <n v="5877"/>
    <x v="1"/>
    <s v="2016/1630"/>
    <s v="rear of /49 &amp; r/o The Studio, Ferndale and Killinhchy, Culverden Road (Land adjacent Fontenoy Road)"/>
    <m/>
    <n v="529014"/>
    <n v="172572"/>
    <x v="19"/>
    <d v="2018-03-31T00:00:00"/>
    <m/>
    <n v="0"/>
    <n v="1"/>
    <n v="1"/>
    <n v="1"/>
    <n v="1"/>
    <x v="0"/>
    <s v="Erection of single-storey (with basement and roof accommodation) detached 3-bedroom dwelling."/>
    <s v="PF"/>
    <d v="2016-04-26T00:00:00"/>
    <d v="2016-06-21T00:00:00"/>
    <x v="0"/>
    <s v="Nil"/>
    <m/>
    <s v="BF"/>
    <s v="NB"/>
    <x v="0"/>
    <x v="5"/>
    <n v="2.19999998807907E-2"/>
    <d v="2018-03-31T00:00:00"/>
    <x v="0"/>
    <m/>
    <x v="0"/>
    <s v="M"/>
    <m/>
    <m/>
    <n v="1"/>
    <n v="0"/>
    <n v="0"/>
    <n v="0"/>
    <n v="0"/>
    <n v="0"/>
    <n v="0"/>
    <n v="1"/>
    <n v="0"/>
    <n v="0"/>
    <n v="0"/>
    <n v="0"/>
    <n v="0"/>
    <n v="0"/>
    <n v="0"/>
    <n v="0"/>
    <n v="0"/>
    <n v="0"/>
    <n v="0"/>
    <n v="0"/>
    <n v="0"/>
    <n v="1"/>
    <n v="0"/>
    <n v="0"/>
    <n v="0"/>
    <n v="0"/>
    <n v="0"/>
    <n v="0"/>
    <n v="0"/>
    <n v="0"/>
    <n v="0"/>
    <n v="0"/>
    <x v="0"/>
    <x v="0"/>
    <x v="0"/>
    <x v="0"/>
    <x v="0"/>
    <m/>
    <x v="0"/>
    <x v="0"/>
    <n v="2"/>
    <m/>
    <n v="1"/>
    <m/>
    <m/>
    <m/>
    <m/>
    <m/>
    <m/>
    <m/>
    <m/>
    <m/>
    <m/>
    <m/>
    <m/>
    <m/>
    <m/>
    <m/>
    <m/>
    <m/>
    <m/>
    <m/>
    <n v="1"/>
    <n v="1"/>
  </r>
  <r>
    <n v="5918"/>
    <x v="1"/>
    <s v="2019/3117"/>
    <s v="193 Lower Richmond Road"/>
    <s v="conversion"/>
    <n v="523322"/>
    <n v="175861"/>
    <x v="0"/>
    <d v="2019-02-04T00:00:00"/>
    <m/>
    <n v="1"/>
    <n v="2"/>
    <n v="1"/>
    <n v="4"/>
    <n v="3"/>
    <x v="0"/>
    <s v="Retention of frontage building and basement with alterations including erection of a roof extension above the two-storey back addition; erection of replacement single to two-storey extension to the rear (plus basement); formation of front light well onto Lower Richmond Road; works to provide a restaurant (Class A3) unit and 2 x 1-bedroom and 1 x 3-bedroom flats. (Amendment to planning permission 2018/3809 including: reducing the size of the front commercial unit and change of use to an office (Class B1); changes to the layout of one residential unit on the ground and basement floors; relocating the bin stores and reducing the size of the lightwells; changes to the size of the approved fenestration and dormer windows)."/>
    <s v="PF"/>
    <d v="2019-09-09T00:00:00"/>
    <d v="2019-10-16T00:00:00"/>
    <x v="1"/>
    <s v="Nil"/>
    <m/>
    <s v="BF"/>
    <s v="MIX"/>
    <x v="0"/>
    <x v="0"/>
    <n v="4.9999998882412902E-3"/>
    <d v="2019-02-04T00:00:00"/>
    <x v="0"/>
    <m/>
    <x v="0"/>
    <s v="M"/>
    <m/>
    <m/>
    <n v="0"/>
    <n v="0"/>
    <n v="0"/>
    <n v="0"/>
    <n v="0"/>
    <n v="2"/>
    <n v="-1"/>
    <n v="0"/>
    <n v="0"/>
    <n v="0"/>
    <n v="0"/>
    <n v="0"/>
    <n v="2"/>
    <n v="-1"/>
    <n v="0"/>
    <n v="0"/>
    <n v="0"/>
    <n v="0"/>
    <n v="0"/>
    <n v="0"/>
    <n v="0"/>
    <n v="0"/>
    <n v="0"/>
    <n v="0"/>
    <n v="0"/>
    <n v="0"/>
    <n v="0"/>
    <n v="0"/>
    <n v="0"/>
    <n v="0"/>
    <n v="0"/>
    <n v="0"/>
    <x v="0"/>
    <x v="0"/>
    <x v="0"/>
    <x v="0"/>
    <x v="0"/>
    <m/>
    <x v="0"/>
    <x v="0"/>
    <n v="13"/>
    <m/>
    <n v="1"/>
    <m/>
    <m/>
    <m/>
    <m/>
    <m/>
    <m/>
    <m/>
    <m/>
    <m/>
    <m/>
    <m/>
    <m/>
    <m/>
    <m/>
    <m/>
    <m/>
    <m/>
    <m/>
    <m/>
    <n v="1"/>
    <n v="1"/>
  </r>
  <r>
    <n v="5918"/>
    <x v="1"/>
    <s v="2019/3117"/>
    <s v="193 Lower Richmond Road"/>
    <s v="extn"/>
    <n v="523322"/>
    <n v="175861"/>
    <x v="0"/>
    <d v="2019-02-04T00:00:00"/>
    <m/>
    <n v="0"/>
    <n v="2"/>
    <n v="2"/>
    <n v="4"/>
    <n v="3"/>
    <x v="0"/>
    <s v="Retention of frontage building and basement with alterations including erection of a roof extension above the two-storey back addition; erection of replacement single to two-storey extension to the rear (plus basement); formation of front light well onto Lower Richmond Road; works to provide a restaurant (Class A3) unit and 2 x 1-bedroom and 1 x 3-bedroom flats. (Amendment to planning permission 2018/3809 including: reducing the size of the front commercial unit and change of use to an office (Class B1); changes to the layout of one residential unit on the ground and basement floors; relocating the bin stores and reducing the size of the lightwells; changes to the size of the approved fenestration and dormer windows)."/>
    <s v="PF"/>
    <d v="2019-09-09T00:00:00"/>
    <d v="2019-10-16T00:00:00"/>
    <x v="1"/>
    <s v="Nil"/>
    <m/>
    <s v="BF"/>
    <s v="MIX"/>
    <x v="0"/>
    <x v="3"/>
    <n v="6.0000000521540598E-3"/>
    <d v="2019-02-04T00:00:00"/>
    <x v="0"/>
    <m/>
    <x v="0"/>
    <s v="M"/>
    <m/>
    <m/>
    <n v="0"/>
    <n v="0"/>
    <n v="0"/>
    <n v="0"/>
    <n v="0"/>
    <n v="0"/>
    <n v="2"/>
    <n v="0"/>
    <n v="0"/>
    <n v="0"/>
    <n v="0"/>
    <n v="0"/>
    <n v="0"/>
    <n v="2"/>
    <n v="0"/>
    <n v="0"/>
    <n v="0"/>
    <n v="0"/>
    <n v="0"/>
    <n v="0"/>
    <n v="0"/>
    <n v="0"/>
    <n v="0"/>
    <n v="0"/>
    <n v="0"/>
    <n v="0"/>
    <n v="0"/>
    <n v="0"/>
    <n v="0"/>
    <n v="0"/>
    <n v="0"/>
    <n v="0"/>
    <x v="0"/>
    <x v="0"/>
    <x v="0"/>
    <x v="0"/>
    <x v="0"/>
    <m/>
    <x v="0"/>
    <x v="0"/>
    <n v="13"/>
    <m/>
    <n v="2"/>
    <m/>
    <m/>
    <m/>
    <m/>
    <m/>
    <m/>
    <m/>
    <m/>
    <m/>
    <m/>
    <m/>
    <m/>
    <m/>
    <m/>
    <m/>
    <m/>
    <m/>
    <m/>
    <m/>
    <n v="2"/>
    <n v="2"/>
  </r>
  <r>
    <n v="5942"/>
    <x v="1"/>
    <s v="2016/1889"/>
    <s v="186-188 Balham High Road"/>
    <s v="Extn to ex"/>
    <n v="528486"/>
    <n v="173287"/>
    <x v="3"/>
    <d v="2018-03-31T00:00:00"/>
    <m/>
    <n v="0"/>
    <n v="6"/>
    <n v="6"/>
    <n v="7"/>
    <n v="7"/>
    <x v="0"/>
    <s v="Part demolition and reconfiguration of the existing first floor (Use Class A1/A2 - retail) and construction of a part 2-, 3- and 4-storey extensions (at 1st, 2nd, 3rd and 4th floor levels) and construction of a part 1- and 2-storey building (including basement accommodation) to the existing service/storage yard to create 7 x self-contained residential units (Use Class C3) with associated amenity space in the form of balconies and roof terraces and green/living walls. (Amendments to planning permission ref. 2015/1933 dated 16/11/2015 including revisions to the staircases; internal alterations to flat 1.1; installation of staircase within retail unit; installation of glazed staircase and walkway to second and third floor flats; increase floorspace to third floor flat and associated external changes)."/>
    <s v="PF"/>
    <d v="2016-07-04T00:00:00"/>
    <d v="2016-11-28T00:00:00"/>
    <x v="0"/>
    <s v="Nil"/>
    <m/>
    <s v="BF"/>
    <s v="MIX"/>
    <x v="0"/>
    <x v="5"/>
    <n v="2.8999999165535001E-2"/>
    <d v="2018-03-31T00:00:00"/>
    <x v="0"/>
    <m/>
    <x v="0"/>
    <s v="M"/>
    <m/>
    <m/>
    <n v="0"/>
    <n v="0"/>
    <n v="0"/>
    <n v="0"/>
    <n v="0"/>
    <n v="0"/>
    <n v="4"/>
    <n v="2"/>
    <n v="0"/>
    <n v="0"/>
    <n v="0"/>
    <n v="0"/>
    <n v="0"/>
    <n v="4"/>
    <n v="2"/>
    <n v="0"/>
    <n v="0"/>
    <n v="0"/>
    <n v="0"/>
    <n v="0"/>
    <n v="0"/>
    <n v="0"/>
    <n v="0"/>
    <n v="0"/>
    <n v="0"/>
    <n v="0"/>
    <n v="0"/>
    <n v="0"/>
    <n v="0"/>
    <n v="0"/>
    <n v="0"/>
    <n v="0"/>
    <x v="5"/>
    <x v="0"/>
    <x v="0"/>
    <x v="0"/>
    <x v="0"/>
    <m/>
    <x v="0"/>
    <x v="0"/>
    <n v="13"/>
    <m/>
    <n v="6"/>
    <m/>
    <m/>
    <m/>
    <m/>
    <m/>
    <m/>
    <m/>
    <m/>
    <m/>
    <m/>
    <m/>
    <m/>
    <m/>
    <m/>
    <m/>
    <m/>
    <m/>
    <m/>
    <m/>
    <n v="6"/>
    <n v="6"/>
  </r>
  <r>
    <n v="5942"/>
    <x v="1"/>
    <s v="2016/1889"/>
    <s v="186-188 Balham High Road"/>
    <s v="New Build"/>
    <n v="528486"/>
    <n v="173287"/>
    <x v="3"/>
    <d v="2018-03-31T00:00:00"/>
    <m/>
    <n v="0"/>
    <n v="1"/>
    <n v="1"/>
    <n v="7"/>
    <n v="7"/>
    <x v="0"/>
    <s v="Part demolition and reconfiguration of the existing first floor (Use Class A1/A2 - retail) and construction of a part 2-, 3- and 4-storey extensions (at 1st, 2nd, 3rd and 4th floor levels) and construction of a part 1- and 2-storey building (including basement accommodation) to the existing service/storage yard to create 7 x self-contained residential units (Use Class C3) with associated amenity space in the form of balconies and roof terraces and green/living walls. (Amendments to planning permission ref. 2015/1933 dated 16/11/2015 including revisions to the staircases; internal alterations to flat 1.1; installation of staircase within retail unit; installation of glazed staircase and walkway to second and third floor flats; increase floorspace to third floor flat and associated external changes)."/>
    <s v="PF"/>
    <d v="2016-07-04T00:00:00"/>
    <d v="2016-11-28T00:00:00"/>
    <x v="0"/>
    <s v="Nil"/>
    <m/>
    <s v="BF"/>
    <s v="MIX"/>
    <x v="0"/>
    <x v="5"/>
    <n v="1.2000000104308101E-2"/>
    <d v="2018-03-31T00:00:00"/>
    <x v="0"/>
    <m/>
    <x v="0"/>
    <s v="M"/>
    <m/>
    <m/>
    <n v="0"/>
    <n v="0"/>
    <n v="0"/>
    <n v="0"/>
    <n v="0"/>
    <n v="0"/>
    <n v="0"/>
    <n v="1"/>
    <n v="0"/>
    <n v="0"/>
    <n v="0"/>
    <n v="0"/>
    <n v="0"/>
    <n v="0"/>
    <n v="0"/>
    <n v="0"/>
    <n v="0"/>
    <n v="0"/>
    <n v="0"/>
    <n v="0"/>
    <n v="0"/>
    <n v="1"/>
    <n v="0"/>
    <n v="0"/>
    <n v="0"/>
    <n v="0"/>
    <n v="0"/>
    <n v="0"/>
    <n v="0"/>
    <n v="0"/>
    <n v="0"/>
    <n v="0"/>
    <x v="5"/>
    <x v="0"/>
    <x v="0"/>
    <x v="0"/>
    <x v="0"/>
    <m/>
    <x v="0"/>
    <x v="0"/>
    <n v="13"/>
    <m/>
    <n v="1"/>
    <m/>
    <m/>
    <m/>
    <m/>
    <m/>
    <m/>
    <m/>
    <m/>
    <m/>
    <m/>
    <m/>
    <m/>
    <m/>
    <m/>
    <m/>
    <m/>
    <m/>
    <m/>
    <m/>
    <n v="1"/>
    <n v="1"/>
  </r>
  <r>
    <n v="5949"/>
    <x v="1"/>
    <s v="2019/0616"/>
    <s v="53 Cromford Road"/>
    <m/>
    <n v="524987"/>
    <n v="174835"/>
    <x v="2"/>
    <d v="2018-11-15T00:00:00"/>
    <m/>
    <n v="0"/>
    <n v="1"/>
    <n v="1"/>
    <n v="1"/>
    <n v="1"/>
    <x v="0"/>
    <s v="Alterations including erection of part single/part two storey rear extension (with first floor rear roof  terrace)  in connection with creation of 1 x 2-bedroom and 2 x 1-bedroom flats, with associated bike and bin store within the front garden [REVISED DESCRIPTION]."/>
    <s v="PF"/>
    <d v="2019-02-11T00:00:00"/>
    <d v="2019-07-04T00:00:00"/>
    <x v="1"/>
    <s v="Nil"/>
    <m/>
    <s v="BF"/>
    <s v="EXT"/>
    <x v="0"/>
    <x v="3"/>
    <n v="4.9999998882412902E-3"/>
    <d v="2018-11-15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5996"/>
    <x v="1"/>
    <s v="2017/2748"/>
    <s v="6 Broadwater Road"/>
    <m/>
    <n v="527571"/>
    <n v="171743"/>
    <x v="1"/>
    <d v="2020-03-31T00:00:00"/>
    <m/>
    <n v="0"/>
    <n v="3"/>
    <n v="3"/>
    <n v="3"/>
    <n v="3"/>
    <x v="0"/>
    <s v="Demolition of commercial properties and erection of three - storey building (plus roof terrace) to provide 1 x two bedroom &amp; 2 x one bedroom flats, with associated landscaping and refuse stores."/>
    <s v="PF"/>
    <d v="2017-05-18T00:00:00"/>
    <d v="2017-10-24T00:00:00"/>
    <x v="0"/>
    <s v="Nil"/>
    <m/>
    <s v="BF"/>
    <s v="NB"/>
    <x v="0"/>
    <x v="5"/>
    <n v="1.2000000104308101E-2"/>
    <d v="2020-03-31T00:00:00"/>
    <x v="1"/>
    <m/>
    <x v="0"/>
    <s v="M"/>
    <m/>
    <m/>
    <n v="3"/>
    <n v="0"/>
    <n v="0"/>
    <n v="0"/>
    <n v="0"/>
    <n v="2"/>
    <n v="1"/>
    <n v="0"/>
    <n v="0"/>
    <n v="0"/>
    <n v="0"/>
    <n v="0"/>
    <n v="2"/>
    <n v="1"/>
    <n v="0"/>
    <n v="0"/>
    <n v="0"/>
    <n v="0"/>
    <n v="0"/>
    <n v="0"/>
    <n v="0"/>
    <n v="0"/>
    <n v="0"/>
    <n v="0"/>
    <n v="0"/>
    <n v="0"/>
    <n v="0"/>
    <n v="0"/>
    <n v="0"/>
    <n v="0"/>
    <n v="0"/>
    <n v="0"/>
    <x v="0"/>
    <x v="0"/>
    <x v="0"/>
    <x v="0"/>
    <x v="0"/>
    <m/>
    <x v="0"/>
    <x v="0"/>
    <n v="3"/>
    <m/>
    <n v="1.5"/>
    <n v="1.5"/>
    <m/>
    <m/>
    <m/>
    <m/>
    <m/>
    <m/>
    <m/>
    <m/>
    <m/>
    <m/>
    <m/>
    <m/>
    <m/>
    <m/>
    <m/>
    <m/>
    <m/>
    <m/>
    <n v="3"/>
    <n v="3"/>
  </r>
  <r>
    <n v="6010"/>
    <x v="1"/>
    <s v="2019/5111"/>
    <s v="Phoenix Members Bar Club, 37 Groom Crescent (Former Greenside Social Club)"/>
    <m/>
    <n v="526682"/>
    <n v="173711"/>
    <x v="17"/>
    <d v="2019-02-25T00:00:00"/>
    <m/>
    <n v="0"/>
    <n v="7"/>
    <n v="7"/>
    <n v="7"/>
    <n v="7"/>
    <x v="0"/>
    <s v="Redevelopment and erection of a new residential building comprising 7 no. apartments (1 x studio, 1 x 1 bed, 4 x 2 beds and 1 x 3 bed), together with associated parking, bicycle and refuse storage."/>
    <s v="PF"/>
    <d v="2019-12-11T00:00:00"/>
    <d v="2020-02-21T00:00:00"/>
    <x v="1"/>
    <s v="Nil"/>
    <m/>
    <s v="BF"/>
    <s v="NB"/>
    <x v="0"/>
    <x v="5"/>
    <n v="5.7000000029802302E-2"/>
    <d v="2019-02-25T00:00:00"/>
    <x v="0"/>
    <m/>
    <x v="0"/>
    <s v="M"/>
    <m/>
    <m/>
    <n v="0"/>
    <n v="0"/>
    <n v="0"/>
    <n v="0"/>
    <n v="1"/>
    <n v="1"/>
    <n v="4"/>
    <n v="1"/>
    <n v="0"/>
    <n v="0"/>
    <n v="0"/>
    <n v="1"/>
    <n v="1"/>
    <n v="4"/>
    <n v="1"/>
    <n v="0"/>
    <n v="0"/>
    <n v="0"/>
    <n v="0"/>
    <n v="0"/>
    <n v="0"/>
    <n v="0"/>
    <n v="0"/>
    <n v="0"/>
    <n v="0"/>
    <n v="0"/>
    <n v="0"/>
    <n v="0"/>
    <n v="0"/>
    <n v="0"/>
    <n v="0"/>
    <n v="0"/>
    <x v="0"/>
    <x v="0"/>
    <x v="0"/>
    <x v="0"/>
    <x v="0"/>
    <m/>
    <x v="0"/>
    <x v="0"/>
    <n v="2"/>
    <m/>
    <n v="7"/>
    <m/>
    <m/>
    <m/>
    <m/>
    <m/>
    <m/>
    <m/>
    <m/>
    <m/>
    <m/>
    <m/>
    <m/>
    <m/>
    <m/>
    <m/>
    <m/>
    <m/>
    <m/>
    <m/>
    <n v="7"/>
    <n v="7"/>
  </r>
  <r>
    <n v="6063"/>
    <x v="1"/>
    <s v="2015/5072"/>
    <s v="Land east of 11-13 (11A), 11-13 Stanmer Street"/>
    <m/>
    <n v="527408"/>
    <n v="176440"/>
    <x v="11"/>
    <d v="2019-12-02T00:00:00"/>
    <m/>
    <n v="0"/>
    <n v="1"/>
    <n v="1"/>
    <n v="1"/>
    <n v="1"/>
    <x v="0"/>
    <s v="Erection of two-storey 2-bedroom dwelling at basement and ground floor levels (accessed from passage between 11 and 13 Stanmer Street and entrance gate) with lightwell to Stanmer Street."/>
    <s v="PF"/>
    <d v="2015-09-10T00:00:00"/>
    <d v="2016-07-29T00:00:00"/>
    <x v="0"/>
    <s v="Nil"/>
    <m/>
    <s v="BF"/>
    <s v="NB"/>
    <x v="0"/>
    <x v="5"/>
    <n v="1.7999999225139601E-2"/>
    <d v="2019-12-02T00:00:00"/>
    <x v="1"/>
    <m/>
    <x v="0"/>
    <s v="M"/>
    <m/>
    <m/>
    <n v="1"/>
    <n v="0"/>
    <n v="0"/>
    <n v="0"/>
    <n v="0"/>
    <n v="0"/>
    <n v="1"/>
    <n v="0"/>
    <n v="0"/>
    <n v="0"/>
    <n v="0"/>
    <n v="0"/>
    <n v="0"/>
    <n v="0"/>
    <n v="0"/>
    <n v="0"/>
    <n v="0"/>
    <n v="0"/>
    <n v="0"/>
    <n v="0"/>
    <n v="1"/>
    <n v="0"/>
    <n v="0"/>
    <n v="0"/>
    <n v="0"/>
    <n v="0"/>
    <n v="0"/>
    <n v="0"/>
    <n v="0"/>
    <n v="0"/>
    <n v="0"/>
    <n v="0"/>
    <x v="0"/>
    <x v="0"/>
    <x v="0"/>
    <x v="0"/>
    <x v="0"/>
    <m/>
    <x v="0"/>
    <x v="0"/>
    <n v="3"/>
    <m/>
    <n v="0.5"/>
    <n v="0.5"/>
    <m/>
    <m/>
    <m/>
    <m/>
    <m/>
    <m/>
    <m/>
    <m/>
    <m/>
    <m/>
    <m/>
    <m/>
    <m/>
    <m/>
    <m/>
    <m/>
    <m/>
    <m/>
    <n v="1"/>
    <n v="1"/>
  </r>
  <r>
    <n v="6065"/>
    <x v="1"/>
    <s v="2019/4047"/>
    <s v="Prince of Wales P.H, 270 Cavendish Road"/>
    <m/>
    <n v="528949"/>
    <n v="173592"/>
    <x v="6"/>
    <d v="2020-03-31T00:00:00"/>
    <m/>
    <n v="0"/>
    <n v="2"/>
    <n v="2"/>
    <n v="2"/>
    <n v="2"/>
    <x v="0"/>
    <s v="Change of use of ground floor from Class A4 [public house] to 2 x Class C3 residential apartments, together with minor external alterations to the obscure glazing and provision of planters."/>
    <s v="PF"/>
    <d v="2019-10-03T00:00:00"/>
    <d v="2019-11-12T00:00:00"/>
    <x v="1"/>
    <s v="Nil"/>
    <m/>
    <s v="BF"/>
    <s v="COU"/>
    <x v="0"/>
    <x v="1"/>
    <n v="8.0000003799796104E-3"/>
    <d v="2020-03-31T00:00:00"/>
    <x v="1"/>
    <m/>
    <x v="0"/>
    <s v="M"/>
    <m/>
    <m/>
    <n v="0"/>
    <n v="0"/>
    <n v="0"/>
    <n v="0"/>
    <n v="0"/>
    <n v="1"/>
    <n v="1"/>
    <n v="0"/>
    <n v="0"/>
    <n v="0"/>
    <n v="0"/>
    <n v="0"/>
    <n v="1"/>
    <n v="1"/>
    <n v="0"/>
    <n v="0"/>
    <n v="0"/>
    <n v="0"/>
    <n v="0"/>
    <n v="0"/>
    <n v="0"/>
    <n v="0"/>
    <n v="0"/>
    <n v="0"/>
    <n v="0"/>
    <n v="0"/>
    <n v="0"/>
    <n v="0"/>
    <n v="0"/>
    <n v="0"/>
    <n v="0"/>
    <n v="0"/>
    <x v="0"/>
    <x v="0"/>
    <x v="0"/>
    <x v="0"/>
    <x v="0"/>
    <m/>
    <x v="0"/>
    <x v="0"/>
    <n v="14"/>
    <m/>
    <n v="1"/>
    <n v="1"/>
    <m/>
    <m/>
    <m/>
    <m/>
    <m/>
    <m/>
    <m/>
    <m/>
    <m/>
    <m/>
    <m/>
    <m/>
    <m/>
    <m/>
    <m/>
    <m/>
    <m/>
    <m/>
    <n v="2"/>
    <n v="2"/>
  </r>
  <r>
    <n v="6081"/>
    <x v="1"/>
    <s v="2015/5470"/>
    <s v="3 Wandle Road"/>
    <m/>
    <n v="527548"/>
    <n v="172887"/>
    <x v="17"/>
    <d v="2016-03-31T00:00:00"/>
    <m/>
    <n v="2"/>
    <n v="1"/>
    <n v="-1"/>
    <n v="1"/>
    <n v="-1"/>
    <x v="0"/>
    <s v="Internal alterations in connection with use as a single dwelling."/>
    <s v="PF"/>
    <d v="2015-10-12T00:00:00"/>
    <d v="2015-11-30T00:00:00"/>
    <x v="0"/>
    <s v="Nil"/>
    <m/>
    <s v="BF"/>
    <s v="CON"/>
    <x v="0"/>
    <x v="8"/>
    <n v="4.5000001788139302E-2"/>
    <d v="2016-03-31T00:00:00"/>
    <x v="0"/>
    <m/>
    <x v="0"/>
    <s v="M"/>
    <m/>
    <m/>
    <n v="0"/>
    <n v="0"/>
    <n v="0"/>
    <n v="0"/>
    <n v="0"/>
    <n v="-1"/>
    <n v="0"/>
    <n v="0"/>
    <n v="0"/>
    <n v="0"/>
    <n v="0"/>
    <n v="0"/>
    <n v="-1"/>
    <n v="0"/>
    <n v="0"/>
    <n v="-1"/>
    <n v="0"/>
    <n v="0"/>
    <n v="0"/>
    <n v="0"/>
    <n v="0"/>
    <n v="0"/>
    <n v="1"/>
    <n v="0"/>
    <n v="0"/>
    <n v="0"/>
    <n v="0"/>
    <n v="0"/>
    <n v="0"/>
    <n v="0"/>
    <n v="0"/>
    <n v="0"/>
    <x v="0"/>
    <x v="0"/>
    <x v="0"/>
    <x v="0"/>
    <x v="0"/>
    <m/>
    <x v="0"/>
    <x v="0"/>
    <n v="13"/>
    <m/>
    <n v="-1"/>
    <m/>
    <m/>
    <m/>
    <m/>
    <m/>
    <m/>
    <m/>
    <m/>
    <m/>
    <m/>
    <m/>
    <m/>
    <m/>
    <m/>
    <m/>
    <m/>
    <m/>
    <m/>
    <m/>
    <n v="-1"/>
    <n v="-1"/>
  </r>
  <r>
    <n v="6084"/>
    <x v="1"/>
    <s v="2015/5858"/>
    <s v="Rear of 66-68, 66-68 St Johns Road"/>
    <m/>
    <n v="527366"/>
    <n v="175230"/>
    <x v="4"/>
    <d v="2019-03-04T00:00:00"/>
    <m/>
    <n v="0"/>
    <n v="4"/>
    <n v="4"/>
    <n v="4"/>
    <n v="4"/>
    <x v="0"/>
    <s v="Construction of a two-storey extension over existing single-storey structure to provide four residential flats (2 x 1 bedroom and 2 x 2 bedroom) and replacement of the facade at ground floor level."/>
    <s v="PF"/>
    <d v="2015-10-21T00:00:00"/>
    <d v="2016-03-10T00:00:00"/>
    <x v="0"/>
    <s v="Nil"/>
    <m/>
    <s v="BF"/>
    <s v="EXT"/>
    <x v="0"/>
    <x v="3"/>
    <n v="2.60000005364418E-2"/>
    <d v="2019-03-04T00:00:00"/>
    <x v="0"/>
    <m/>
    <x v="0"/>
    <s v="M"/>
    <m/>
    <m/>
    <n v="0"/>
    <n v="0"/>
    <n v="0"/>
    <n v="0"/>
    <n v="0"/>
    <n v="2"/>
    <n v="2"/>
    <n v="0"/>
    <n v="0"/>
    <n v="0"/>
    <n v="0"/>
    <n v="0"/>
    <n v="2"/>
    <n v="2"/>
    <n v="0"/>
    <n v="0"/>
    <n v="0"/>
    <n v="0"/>
    <n v="0"/>
    <n v="0"/>
    <n v="0"/>
    <n v="0"/>
    <n v="0"/>
    <n v="0"/>
    <n v="0"/>
    <n v="0"/>
    <n v="0"/>
    <n v="0"/>
    <n v="0"/>
    <n v="0"/>
    <n v="0"/>
    <n v="0"/>
    <x v="1"/>
    <x v="0"/>
    <x v="0"/>
    <x v="0"/>
    <x v="0"/>
    <m/>
    <x v="0"/>
    <x v="0"/>
    <n v="13"/>
    <m/>
    <n v="4"/>
    <m/>
    <m/>
    <m/>
    <m/>
    <m/>
    <m/>
    <m/>
    <m/>
    <m/>
    <m/>
    <m/>
    <m/>
    <m/>
    <m/>
    <m/>
    <m/>
    <m/>
    <m/>
    <m/>
    <n v="4"/>
    <n v="4"/>
  </r>
  <r>
    <n v="6119"/>
    <x v="1"/>
    <s v="2018/2949"/>
    <s v="Audiology House, 45 Nightingale Lane"/>
    <s v="Building 1"/>
    <n v="528391"/>
    <n v="174060"/>
    <x v="6"/>
    <d v="2017-03-31T00:00:00"/>
    <m/>
    <n v="0"/>
    <n v="8"/>
    <n v="8"/>
    <n v="19"/>
    <n v="19"/>
    <x v="1"/>
    <s v="Demolition of the existing side and rear extensions of Audiology House and factory building to rear. Conversion of main Audiology House building including the erection of a three storey building to the rear, 2no. two storey extensions to main building to facilitate the conversion and redevelopment of the site to create 19 residential units (Use Class C3) with private and communal amenity space; associated car parking, cycle parking, landscaping and associated works."/>
    <s v="PFLA"/>
    <d v="2018-06-13T00:00:00"/>
    <d v="2018-10-15T00:00:00"/>
    <x v="0"/>
    <s v="Nil"/>
    <m/>
    <s v="BF"/>
    <s v="MIX"/>
    <x v="0"/>
    <x v="5"/>
    <n v="7.69999995827675E-2"/>
    <d v="2017-03-31T00:00:00"/>
    <x v="0"/>
    <m/>
    <x v="0"/>
    <s v="M"/>
    <m/>
    <m/>
    <n v="0"/>
    <n v="0"/>
    <n v="0"/>
    <n v="1"/>
    <n v="0"/>
    <n v="0"/>
    <n v="6"/>
    <n v="2"/>
    <n v="0"/>
    <n v="0"/>
    <n v="0"/>
    <n v="0"/>
    <n v="0"/>
    <n v="6"/>
    <n v="2"/>
    <n v="0"/>
    <n v="0"/>
    <n v="0"/>
    <n v="0"/>
    <n v="0"/>
    <n v="0"/>
    <n v="0"/>
    <n v="0"/>
    <n v="0"/>
    <n v="0"/>
    <n v="0"/>
    <n v="0"/>
    <n v="0"/>
    <n v="0"/>
    <n v="0"/>
    <n v="0"/>
    <n v="0"/>
    <x v="0"/>
    <x v="0"/>
    <x v="0"/>
    <x v="0"/>
    <x v="0"/>
    <m/>
    <x v="0"/>
    <x v="0"/>
    <n v="13"/>
    <m/>
    <n v="8"/>
    <m/>
    <m/>
    <m/>
    <m/>
    <m/>
    <m/>
    <m/>
    <m/>
    <m/>
    <m/>
    <m/>
    <m/>
    <m/>
    <m/>
    <m/>
    <m/>
    <m/>
    <m/>
    <m/>
    <n v="8"/>
    <n v="8"/>
  </r>
  <r>
    <n v="6119"/>
    <x v="1"/>
    <s v="2018/2949"/>
    <s v="Audiology House, 45 Nightingale Lane"/>
    <s v="Building 2"/>
    <n v="528391"/>
    <n v="174060"/>
    <x v="6"/>
    <d v="2017-03-31T00:00:00"/>
    <m/>
    <n v="0"/>
    <n v="11"/>
    <n v="11"/>
    <n v="19"/>
    <n v="19"/>
    <x v="1"/>
    <s v="Demolition of the existing side and rear extensions of Audiology House and factory building to rear. Conversion of main Audiology House building including the erection of a three storey building to the rear, 2no. two storey extensions to main building to facilitate the conversion and redevelopment of the site to create 19 residential units (Use Class C3) with private and communal amenity space; associated car parking, cycle parking, landscaping and associated works."/>
    <s v="PFLA"/>
    <d v="2018-06-13T00:00:00"/>
    <d v="2018-10-15T00:00:00"/>
    <x v="0"/>
    <s v="Nil"/>
    <m/>
    <s v="BF"/>
    <s v="MIX"/>
    <x v="1"/>
    <x v="7"/>
    <n v="0.104999996721745"/>
    <d v="2019-03-31T00:00:00"/>
    <x v="0"/>
    <m/>
    <x v="0"/>
    <s v="M"/>
    <m/>
    <m/>
    <n v="0"/>
    <n v="0"/>
    <n v="0"/>
    <n v="1"/>
    <n v="0"/>
    <n v="2"/>
    <n v="8"/>
    <n v="1"/>
    <n v="0"/>
    <n v="0"/>
    <n v="0"/>
    <n v="0"/>
    <n v="2"/>
    <n v="8"/>
    <n v="1"/>
    <n v="0"/>
    <n v="0"/>
    <n v="0"/>
    <n v="0"/>
    <n v="0"/>
    <n v="0"/>
    <n v="0"/>
    <n v="0"/>
    <n v="0"/>
    <n v="0"/>
    <n v="0"/>
    <n v="0"/>
    <n v="0"/>
    <n v="0"/>
    <n v="0"/>
    <n v="0"/>
    <n v="0"/>
    <x v="0"/>
    <x v="0"/>
    <x v="0"/>
    <x v="0"/>
    <x v="0"/>
    <m/>
    <x v="0"/>
    <x v="0"/>
    <n v="13"/>
    <m/>
    <n v="11"/>
    <m/>
    <m/>
    <m/>
    <m/>
    <m/>
    <m/>
    <m/>
    <m/>
    <m/>
    <m/>
    <m/>
    <m/>
    <m/>
    <m/>
    <m/>
    <m/>
    <m/>
    <m/>
    <m/>
    <n v="11"/>
    <n v="11"/>
  </r>
  <r>
    <n v="6122"/>
    <x v="1"/>
    <s v="2019/1401"/>
    <s v="503 Garratt Lane"/>
    <m/>
    <n v="526012"/>
    <n v="173064"/>
    <x v="8"/>
    <d v="2019-09-16T00:00:00"/>
    <m/>
    <n v="1"/>
    <n v="2"/>
    <n v="1"/>
    <n v="3"/>
    <n v="2"/>
    <x v="0"/>
    <s v="Alterations including erection of mansard roof extension (with french doors to access roof terrace); erection of part two, part three-storey rear extension including roof terraces at second and third floor levels with 1.7m glazed surround in connection with provision of 2 x 2-bedroom and 1 x 1-bedroom flats."/>
    <s v="PF"/>
    <d v="2019-03-28T00:00:00"/>
    <d v="2019-08-23T00:00:00"/>
    <x v="1"/>
    <s v="Nil"/>
    <m/>
    <s v="BF"/>
    <s v="MIX"/>
    <x v="0"/>
    <x v="0"/>
    <n v="8.9999996125698107E-3"/>
    <d v="2019-09-16T00:00:00"/>
    <x v="1"/>
    <m/>
    <x v="0"/>
    <s v="M"/>
    <m/>
    <m/>
    <n v="0"/>
    <n v="0"/>
    <n v="0"/>
    <n v="0"/>
    <n v="0"/>
    <n v="0"/>
    <n v="2"/>
    <n v="-1"/>
    <n v="0"/>
    <n v="0"/>
    <n v="0"/>
    <n v="0"/>
    <n v="0"/>
    <n v="2"/>
    <n v="-1"/>
    <n v="0"/>
    <n v="0"/>
    <n v="0"/>
    <n v="0"/>
    <n v="0"/>
    <n v="0"/>
    <n v="0"/>
    <n v="0"/>
    <n v="0"/>
    <n v="0"/>
    <n v="0"/>
    <n v="0"/>
    <n v="0"/>
    <n v="0"/>
    <n v="0"/>
    <n v="0"/>
    <n v="0"/>
    <x v="0"/>
    <x v="0"/>
    <x v="0"/>
    <x v="0"/>
    <x v="0"/>
    <m/>
    <x v="0"/>
    <x v="1"/>
    <n v="13"/>
    <m/>
    <n v="1"/>
    <m/>
    <m/>
    <m/>
    <m/>
    <m/>
    <m/>
    <m/>
    <m/>
    <m/>
    <m/>
    <m/>
    <m/>
    <m/>
    <m/>
    <m/>
    <m/>
    <m/>
    <m/>
    <m/>
    <n v="1"/>
    <n v="1"/>
  </r>
  <r>
    <n v="6122"/>
    <x v="1"/>
    <s v="2019/1401"/>
    <s v="503 Garratt Lane"/>
    <m/>
    <n v="526012"/>
    <n v="173064"/>
    <x v="8"/>
    <d v="2019-09-16T00:00:00"/>
    <m/>
    <n v="0"/>
    <n v="1"/>
    <n v="1"/>
    <n v="3"/>
    <n v="2"/>
    <x v="0"/>
    <s v="Alterations including erection of mansard roof extension (with french doors to access roof terrace); erection of part two, part three-storey rear extension including roof terraces at second and third floor levels with 1.7m glazed surround in connection with provision of 2 x 2-bedroom and 1 x 1-bedroom flats."/>
    <s v="PF"/>
    <d v="2019-03-28T00:00:00"/>
    <d v="2019-08-23T00:00:00"/>
    <x v="1"/>
    <s v="Nil"/>
    <m/>
    <s v="BF"/>
    <s v="MIX"/>
    <x v="0"/>
    <x v="3"/>
    <n v="2.0000000949949E-3"/>
    <d v="2019-09-16T00:00:00"/>
    <x v="1"/>
    <m/>
    <x v="0"/>
    <s v="M"/>
    <m/>
    <m/>
    <n v="0"/>
    <n v="0"/>
    <n v="0"/>
    <n v="0"/>
    <n v="0"/>
    <n v="1"/>
    <n v="0"/>
    <n v="0"/>
    <n v="0"/>
    <n v="0"/>
    <n v="0"/>
    <n v="0"/>
    <n v="1"/>
    <n v="0"/>
    <n v="0"/>
    <n v="0"/>
    <n v="0"/>
    <n v="0"/>
    <n v="0"/>
    <n v="0"/>
    <n v="0"/>
    <n v="0"/>
    <n v="0"/>
    <n v="0"/>
    <n v="0"/>
    <n v="0"/>
    <n v="0"/>
    <n v="0"/>
    <n v="0"/>
    <n v="0"/>
    <n v="0"/>
    <n v="0"/>
    <x v="0"/>
    <x v="0"/>
    <x v="0"/>
    <x v="0"/>
    <x v="0"/>
    <m/>
    <x v="0"/>
    <x v="1"/>
    <n v="13"/>
    <m/>
    <n v="1"/>
    <m/>
    <m/>
    <m/>
    <m/>
    <m/>
    <m/>
    <m/>
    <m/>
    <m/>
    <m/>
    <m/>
    <m/>
    <m/>
    <m/>
    <m/>
    <m/>
    <m/>
    <m/>
    <m/>
    <n v="1"/>
    <n v="1"/>
  </r>
  <r>
    <n v="6168"/>
    <x v="1"/>
    <s v="2016/3087"/>
    <s v="63a West Hill"/>
    <m/>
    <n v="524806"/>
    <n v="174483"/>
    <x v="5"/>
    <d v="2018-09-01T00:00:00"/>
    <m/>
    <n v="1"/>
    <n v="2"/>
    <n v="1"/>
    <n v="2"/>
    <n v="1"/>
    <x v="0"/>
    <s v="Demolition of existing dwelling. Erection of 2 x two-storey, 4-bedroom dwelling houses with accommodation at basement and roof level; excavation to form front and rear lightwells; alterations to front boundary wall including new piers and gates; erection of bin store in front garden; erection of bike stores and garden sheds in both rear gardens; associated landscaping; formation of one dropped kerb. Revised proposal to that refused 29/04/2016 ref: 2016/0308 to include alterations such as reduction in height and depth of dwellings and amendments to front elevation fenestration."/>
    <s v="PF"/>
    <d v="2016-06-13T00:00:00"/>
    <d v="2016-08-25T00:00:00"/>
    <x v="0"/>
    <s v="Nil"/>
    <m/>
    <s v="BF"/>
    <s v="NB"/>
    <x v="0"/>
    <x v="5"/>
    <n v="4.1000001132488299E-2"/>
    <d v="2018-09-01T00:00:00"/>
    <x v="0"/>
    <m/>
    <x v="0"/>
    <s v="M"/>
    <m/>
    <m/>
    <n v="0"/>
    <n v="0"/>
    <n v="0"/>
    <n v="0"/>
    <n v="0"/>
    <n v="0"/>
    <n v="0"/>
    <n v="0"/>
    <n v="1"/>
    <n v="0"/>
    <n v="0"/>
    <n v="0"/>
    <n v="0"/>
    <n v="0"/>
    <n v="0"/>
    <n v="0"/>
    <n v="0"/>
    <n v="0"/>
    <n v="0"/>
    <n v="0"/>
    <n v="0"/>
    <n v="0"/>
    <n v="1"/>
    <n v="0"/>
    <n v="0"/>
    <n v="0"/>
    <n v="0"/>
    <n v="0"/>
    <n v="0"/>
    <n v="0"/>
    <n v="0"/>
    <n v="0"/>
    <x v="0"/>
    <x v="0"/>
    <x v="0"/>
    <x v="0"/>
    <x v="0"/>
    <m/>
    <x v="0"/>
    <x v="0"/>
    <n v="2"/>
    <m/>
    <n v="1"/>
    <m/>
    <m/>
    <m/>
    <m/>
    <m/>
    <m/>
    <m/>
    <m/>
    <m/>
    <m/>
    <m/>
    <m/>
    <m/>
    <m/>
    <m/>
    <m/>
    <m/>
    <m/>
    <m/>
    <n v="1"/>
    <n v="1"/>
  </r>
  <r>
    <n v="6186"/>
    <x v="1"/>
    <s v="2019/1533"/>
    <s v="65 &amp; 65a, 65 Garratt Terrace"/>
    <m/>
    <n v="527237"/>
    <n v="171543"/>
    <x v="1"/>
    <d v="2020-03-31T00:00:00"/>
    <m/>
    <n v="1"/>
    <n v="3"/>
    <n v="2"/>
    <n v="3"/>
    <n v="2"/>
    <x v="0"/>
    <s v="Alterations including erection of mansard roof extension to main rear roof and raising the ridge by 300mm; roof extension over three-storey back addition; alteration to first floor rear roof; and erection of single storey rear/side extension in connection with conversion of property into 2 x 3-bedroom and 1 x 2-bedroom flats."/>
    <s v="PF"/>
    <d v="2019-04-08T00:00:00"/>
    <d v="2019-07-29T00:00:00"/>
    <x v="1"/>
    <s v="Nil"/>
    <m/>
    <s v="BF"/>
    <s v="CON"/>
    <x v="0"/>
    <x v="2"/>
    <n v="1.4000000432133701E-2"/>
    <d v="2020-03-31T00:00:00"/>
    <x v="1"/>
    <m/>
    <x v="0"/>
    <s v="M"/>
    <m/>
    <m/>
    <n v="0"/>
    <n v="0"/>
    <n v="0"/>
    <n v="0"/>
    <n v="0"/>
    <n v="0"/>
    <n v="1"/>
    <n v="2"/>
    <n v="0"/>
    <n v="-1"/>
    <n v="0"/>
    <n v="0"/>
    <n v="0"/>
    <n v="1"/>
    <n v="2"/>
    <n v="0"/>
    <n v="0"/>
    <n v="0"/>
    <n v="0"/>
    <n v="0"/>
    <n v="0"/>
    <n v="0"/>
    <n v="0"/>
    <n v="-1"/>
    <n v="0"/>
    <n v="0"/>
    <n v="0"/>
    <n v="0"/>
    <n v="0"/>
    <n v="0"/>
    <n v="0"/>
    <n v="0"/>
    <x v="0"/>
    <x v="0"/>
    <x v="0"/>
    <x v="0"/>
    <x v="0"/>
    <m/>
    <x v="0"/>
    <x v="0"/>
    <n v="14"/>
    <m/>
    <n v="1"/>
    <n v="1"/>
    <m/>
    <m/>
    <m/>
    <m/>
    <m/>
    <m/>
    <m/>
    <m/>
    <m/>
    <m/>
    <m/>
    <m/>
    <m/>
    <m/>
    <m/>
    <m/>
    <m/>
    <m/>
    <n v="2"/>
    <n v="2"/>
  </r>
  <r>
    <n v="6207"/>
    <x v="1"/>
    <s v="2015/6849"/>
    <s v="256 &amp; 262, Wimbledon Park Road (Petrol Station)"/>
    <m/>
    <n v="524680"/>
    <n v="173245"/>
    <x v="18"/>
    <d v="2018-08-06T00:00:00"/>
    <m/>
    <n v="0"/>
    <n v="6"/>
    <n v="6"/>
    <n v="6"/>
    <n v="6"/>
    <x v="0"/>
    <s v="Demolition of existing petrol filling station at no. 262 and redevelopment of the site to provide a four-storey building comprising retail use (Class A1) on the ground floor with 6 two-bedroom residential units with associated rear balconies/terraces above at 1st to 3rd floor levels. The proposed retail unit would be used in conjuction with part of the existing ground floor retail unit at no. 256 Wimbledon Park Road to provide a combined Class A1 unit of 657 sq.m. floorspace, with associated alterations to the front of no. 256 to create a new 117 sq.m. retail unit. Provision of associated cycle parking, refuse store and plant, and alterations to public footway to provide a bay in front of no. 262 Wimbledon Park Road."/>
    <s v="PF"/>
    <d v="2015-12-03T00:00:00"/>
    <d v="2016-05-11T00:00:00"/>
    <x v="0"/>
    <s v="Nil"/>
    <m/>
    <s v="BF"/>
    <s v="NB"/>
    <x v="0"/>
    <x v="5"/>
    <n v="9.7999997437000302E-2"/>
    <d v="2018-08-06T00:00:00"/>
    <x v="0"/>
    <m/>
    <x v="0"/>
    <s v="M"/>
    <m/>
    <m/>
    <n v="6"/>
    <n v="0"/>
    <n v="0"/>
    <n v="0"/>
    <n v="0"/>
    <n v="0"/>
    <n v="6"/>
    <n v="0"/>
    <n v="0"/>
    <n v="0"/>
    <n v="0"/>
    <n v="0"/>
    <n v="0"/>
    <n v="6"/>
    <n v="0"/>
    <n v="0"/>
    <n v="0"/>
    <n v="0"/>
    <n v="0"/>
    <n v="0"/>
    <n v="0"/>
    <n v="0"/>
    <n v="0"/>
    <n v="0"/>
    <n v="0"/>
    <n v="0"/>
    <n v="0"/>
    <n v="0"/>
    <n v="0"/>
    <n v="0"/>
    <n v="0"/>
    <n v="0"/>
    <x v="0"/>
    <x v="0"/>
    <x v="0"/>
    <x v="0"/>
    <x v="0"/>
    <m/>
    <x v="0"/>
    <x v="0"/>
    <n v="2"/>
    <m/>
    <n v="6"/>
    <m/>
    <m/>
    <m/>
    <m/>
    <m/>
    <m/>
    <m/>
    <m/>
    <m/>
    <m/>
    <m/>
    <m/>
    <m/>
    <m/>
    <m/>
    <m/>
    <m/>
    <m/>
    <m/>
    <n v="6"/>
    <n v="6"/>
  </r>
  <r>
    <n v="6211"/>
    <x v="1"/>
    <s v="2016/1499"/>
    <s v="7-12 Elmfield Mansions, Elmfield Road"/>
    <m/>
    <n v="528429"/>
    <n v="172911"/>
    <x v="19"/>
    <d v="2019-03-31T00:00:00"/>
    <m/>
    <n v="0"/>
    <n v="2"/>
    <n v="2"/>
    <n v="2"/>
    <n v="2"/>
    <x v="0"/>
    <s v="Erection of mansard roof extensions to main rear roofs and above part of the three-storey back addition and formation of roof terraces at third floor level, in connection with the creation of 2 self-contained residential flats (2 x 1-bedroom)."/>
    <s v="PF"/>
    <d v="2016-05-11T00:00:00"/>
    <d v="2016-06-20T00:00:00"/>
    <x v="0"/>
    <s v="Nil"/>
    <m/>
    <s v="BF"/>
    <s v="EXT"/>
    <x v="0"/>
    <x v="3"/>
    <n v="1.2000000104308101E-2"/>
    <d v="2019-03-31T00:00:00"/>
    <x v="0"/>
    <m/>
    <x v="0"/>
    <s v="M"/>
    <m/>
    <m/>
    <n v="0"/>
    <n v="0"/>
    <n v="0"/>
    <n v="0"/>
    <n v="0"/>
    <n v="2"/>
    <n v="0"/>
    <n v="0"/>
    <n v="0"/>
    <n v="0"/>
    <n v="0"/>
    <n v="0"/>
    <n v="2"/>
    <n v="0"/>
    <n v="0"/>
    <n v="0"/>
    <n v="0"/>
    <n v="0"/>
    <n v="0"/>
    <n v="0"/>
    <n v="0"/>
    <n v="0"/>
    <n v="0"/>
    <n v="0"/>
    <n v="0"/>
    <n v="0"/>
    <n v="0"/>
    <n v="0"/>
    <n v="0"/>
    <n v="0"/>
    <n v="0"/>
    <n v="0"/>
    <x v="0"/>
    <x v="0"/>
    <x v="0"/>
    <x v="0"/>
    <x v="0"/>
    <m/>
    <x v="0"/>
    <x v="0"/>
    <n v="13"/>
    <m/>
    <n v="2"/>
    <m/>
    <m/>
    <m/>
    <m/>
    <m/>
    <m/>
    <m/>
    <m/>
    <m/>
    <m/>
    <m/>
    <m/>
    <m/>
    <m/>
    <m/>
    <m/>
    <m/>
    <m/>
    <m/>
    <n v="2"/>
    <n v="2"/>
  </r>
  <r>
    <n v="6219"/>
    <x v="1"/>
    <s v="2016/5073"/>
    <s v="Land rear of 4, 4 Granville Road"/>
    <m/>
    <n v="525163"/>
    <n v="173918"/>
    <x v="14"/>
    <d v="2018-03-31T00:00:00"/>
    <m/>
    <n v="0"/>
    <n v="1"/>
    <n v="1"/>
    <n v="1"/>
    <n v="1"/>
    <x v="0"/>
    <s v="Erection of part single, part two-storey 2-bedroom detached house, including new boundary treatment, vegetation removal, landscaping and bike and bin stores, with access from Morris Gardens."/>
    <s v="PF"/>
    <d v="2016-09-02T00:00:00"/>
    <d v="2016-10-28T00:00:00"/>
    <x v="0"/>
    <s v="Nil"/>
    <m/>
    <s v="BF"/>
    <s v="NB"/>
    <x v="0"/>
    <x v="5"/>
    <n v="1.60000007599592E-2"/>
    <d v="2018-03-31T00:00:00"/>
    <x v="0"/>
    <m/>
    <x v="0"/>
    <s v="M"/>
    <m/>
    <m/>
    <n v="0"/>
    <n v="0"/>
    <n v="0"/>
    <n v="0"/>
    <n v="0"/>
    <n v="0"/>
    <n v="1"/>
    <n v="0"/>
    <n v="0"/>
    <n v="0"/>
    <n v="0"/>
    <n v="0"/>
    <n v="0"/>
    <n v="0"/>
    <n v="0"/>
    <n v="0"/>
    <n v="0"/>
    <n v="0"/>
    <n v="0"/>
    <n v="0"/>
    <n v="1"/>
    <n v="0"/>
    <n v="0"/>
    <n v="0"/>
    <n v="0"/>
    <n v="0"/>
    <n v="0"/>
    <n v="0"/>
    <n v="0"/>
    <n v="0"/>
    <n v="0"/>
    <n v="0"/>
    <x v="0"/>
    <x v="0"/>
    <x v="0"/>
    <x v="0"/>
    <x v="0"/>
    <m/>
    <x v="0"/>
    <x v="0"/>
    <n v="2"/>
    <m/>
    <n v="1"/>
    <m/>
    <m/>
    <m/>
    <m/>
    <m/>
    <m/>
    <m/>
    <m/>
    <m/>
    <m/>
    <m/>
    <m/>
    <m/>
    <m/>
    <m/>
    <m/>
    <m/>
    <m/>
    <m/>
    <n v="1"/>
    <n v="1"/>
  </r>
  <r>
    <n v="6227"/>
    <x v="1"/>
    <s v="2016/5649"/>
    <s v="Garage south of, 99 Ellerton Road"/>
    <m/>
    <n v="526996"/>
    <n v="172953"/>
    <x v="17"/>
    <d v="2018-10-08T00:00:00"/>
    <m/>
    <n v="0"/>
    <n v="1"/>
    <n v="1"/>
    <n v="1"/>
    <n v="1"/>
    <x v="0"/>
    <s v="Alterations including demolition of existing garage and erection of a single storey (plus basement) 3-bedroom detached house including erection of boundary walls, formation of a front hardstanding area and associated landscaping."/>
    <s v="PF"/>
    <d v="2016-09-27T00:00:00"/>
    <d v="2017-01-18T00:00:00"/>
    <x v="0"/>
    <s v="Nil"/>
    <m/>
    <s v="BF"/>
    <s v="NB"/>
    <x v="0"/>
    <x v="5"/>
    <n v="8.9999996125698107E-3"/>
    <d v="2018-10-08T00:00:00"/>
    <x v="0"/>
    <m/>
    <x v="0"/>
    <s v="M"/>
    <m/>
    <m/>
    <n v="1"/>
    <n v="0"/>
    <n v="0"/>
    <n v="0"/>
    <n v="0"/>
    <n v="0"/>
    <n v="0"/>
    <n v="1"/>
    <n v="0"/>
    <n v="0"/>
    <n v="0"/>
    <n v="0"/>
    <n v="0"/>
    <n v="0"/>
    <n v="0"/>
    <n v="0"/>
    <n v="0"/>
    <n v="0"/>
    <n v="0"/>
    <n v="0"/>
    <n v="0"/>
    <n v="1"/>
    <n v="0"/>
    <n v="0"/>
    <n v="0"/>
    <n v="0"/>
    <n v="0"/>
    <n v="0"/>
    <n v="0"/>
    <n v="0"/>
    <n v="0"/>
    <n v="0"/>
    <x v="0"/>
    <x v="0"/>
    <x v="0"/>
    <x v="0"/>
    <x v="0"/>
    <m/>
    <x v="0"/>
    <x v="0"/>
    <n v="2"/>
    <m/>
    <n v="1"/>
    <m/>
    <m/>
    <m/>
    <m/>
    <m/>
    <m/>
    <m/>
    <m/>
    <m/>
    <m/>
    <m/>
    <m/>
    <m/>
    <m/>
    <m/>
    <m/>
    <m/>
    <m/>
    <m/>
    <n v="1"/>
    <n v="1"/>
  </r>
  <r>
    <n v="6265"/>
    <x v="1"/>
    <s v="2016/3086"/>
    <s v="2 Brook Cottages, 103 Bolingbroke Grove"/>
    <m/>
    <n v="527193"/>
    <n v="174782"/>
    <x v="4"/>
    <d v="2017-03-31T00:00:00"/>
    <m/>
    <n v="1"/>
    <n v="1"/>
    <n v="0"/>
    <n v="1"/>
    <n v="0"/>
    <x v="0"/>
    <s v="Demolition of existing dwelling (retrospective). Erection of part single, part two-storey 3-bedroom dwellinghouse (plus basement level with front lightwells)."/>
    <s v="PF"/>
    <d v="2016-06-06T00:00:00"/>
    <d v="2016-08-01T00:00:00"/>
    <x v="0"/>
    <s v="Nil"/>
    <m/>
    <s v="BF"/>
    <s v="NB"/>
    <x v="0"/>
    <x v="5"/>
    <n v="3.7999998778104803E-2"/>
    <d v="2017-03-31T00:00:00"/>
    <x v="0"/>
    <m/>
    <x v="0"/>
    <s v="M"/>
    <m/>
    <m/>
    <n v="1"/>
    <n v="0"/>
    <n v="0"/>
    <n v="0"/>
    <n v="0"/>
    <n v="0"/>
    <n v="-1"/>
    <n v="1"/>
    <n v="0"/>
    <n v="0"/>
    <n v="0"/>
    <n v="0"/>
    <n v="0"/>
    <n v="0"/>
    <n v="0"/>
    <n v="0"/>
    <n v="0"/>
    <n v="0"/>
    <n v="0"/>
    <n v="0"/>
    <n v="-1"/>
    <n v="1"/>
    <n v="0"/>
    <n v="0"/>
    <n v="0"/>
    <n v="0"/>
    <n v="0"/>
    <n v="0"/>
    <n v="0"/>
    <n v="0"/>
    <n v="0"/>
    <n v="0"/>
    <x v="0"/>
    <x v="0"/>
    <x v="0"/>
    <x v="0"/>
    <x v="0"/>
    <m/>
    <x v="0"/>
    <x v="0"/>
    <n v="2"/>
    <m/>
    <n v="0"/>
    <m/>
    <m/>
    <m/>
    <m/>
    <m/>
    <m/>
    <m/>
    <m/>
    <m/>
    <m/>
    <m/>
    <m/>
    <m/>
    <m/>
    <m/>
    <m/>
    <m/>
    <m/>
    <m/>
    <n v="0"/>
    <n v="0"/>
  </r>
  <r>
    <n v="6272"/>
    <x v="1"/>
    <s v="2018/4220"/>
    <s v="2 Umbria Street"/>
    <m/>
    <n v="522345"/>
    <n v="174051"/>
    <x v="13"/>
    <d v="2019-03-31T00:00:00"/>
    <m/>
    <n v="0"/>
    <n v="1"/>
    <n v="1"/>
    <n v="1"/>
    <n v="1"/>
    <x v="0"/>
    <s v="Alterations including erection single-storey extensions in connection with use as a three bedroom house; associated landscaping, cycle and refuse storage; provision of off street parking with access from Nepean Street."/>
    <s v="PF"/>
    <d v="2018-09-13T00:00:00"/>
    <d v="2018-10-24T00:00:00"/>
    <x v="0"/>
    <s v="Nil"/>
    <m/>
    <s v="BF"/>
    <s v="CON"/>
    <x v="0"/>
    <x v="9"/>
    <n v="1.4000000432133701E-2"/>
    <d v="2019-03-31T00:00:00"/>
    <x v="0"/>
    <m/>
    <x v="0"/>
    <s v="M"/>
    <m/>
    <m/>
    <n v="0"/>
    <n v="0"/>
    <n v="0"/>
    <n v="0"/>
    <n v="0"/>
    <n v="0"/>
    <n v="0"/>
    <n v="1"/>
    <n v="0"/>
    <n v="0"/>
    <n v="0"/>
    <n v="0"/>
    <n v="0"/>
    <n v="0"/>
    <n v="0"/>
    <n v="0"/>
    <n v="0"/>
    <n v="0"/>
    <n v="0"/>
    <n v="0"/>
    <n v="0"/>
    <n v="1"/>
    <n v="0"/>
    <n v="0"/>
    <n v="0"/>
    <n v="0"/>
    <n v="0"/>
    <n v="0"/>
    <n v="0"/>
    <n v="0"/>
    <n v="0"/>
    <n v="0"/>
    <x v="0"/>
    <x v="0"/>
    <x v="0"/>
    <x v="0"/>
    <x v="0"/>
    <m/>
    <x v="0"/>
    <x v="0"/>
    <n v="13"/>
    <m/>
    <n v="1"/>
    <m/>
    <m/>
    <m/>
    <m/>
    <m/>
    <m/>
    <m/>
    <m/>
    <m/>
    <m/>
    <m/>
    <m/>
    <m/>
    <m/>
    <m/>
    <m/>
    <m/>
    <m/>
    <m/>
    <n v="1"/>
    <n v="1"/>
  </r>
  <r>
    <n v="6276"/>
    <x v="1"/>
    <s v="2018/4880"/>
    <s v="Aminah Mansions 55F, Tooting High Street"/>
    <m/>
    <n v="527521"/>
    <n v="171508"/>
    <x v="10"/>
    <d v="2020-03-02T00:00:00"/>
    <m/>
    <n v="0"/>
    <n v="4"/>
    <n v="4"/>
    <n v="4"/>
    <n v="4"/>
    <x v="0"/>
    <s v="Erection of an additional storey of accommodation to increase the building height from three storeys to four storeys to create 4 x two-bedroom self-contained flats."/>
    <s v="PF"/>
    <d v="2018-12-17T00:00:00"/>
    <d v="2019-05-28T00:00:00"/>
    <x v="1"/>
    <s v="Nil"/>
    <m/>
    <s v="BF"/>
    <s v="EXT"/>
    <x v="0"/>
    <x v="3"/>
    <n v="1.30000002682209E-2"/>
    <d v="2020-03-02T00:00:00"/>
    <x v="1"/>
    <m/>
    <x v="0"/>
    <s v="M"/>
    <s v="5.2"/>
    <m/>
    <n v="0"/>
    <n v="0"/>
    <n v="0"/>
    <n v="0"/>
    <n v="2"/>
    <n v="1"/>
    <n v="1"/>
    <n v="0"/>
    <n v="0"/>
    <n v="0"/>
    <n v="0"/>
    <n v="2"/>
    <n v="1"/>
    <n v="1"/>
    <n v="0"/>
    <n v="0"/>
    <n v="0"/>
    <n v="0"/>
    <n v="0"/>
    <n v="0"/>
    <n v="0"/>
    <n v="0"/>
    <n v="0"/>
    <n v="0"/>
    <n v="0"/>
    <n v="0"/>
    <n v="0"/>
    <n v="0"/>
    <n v="0"/>
    <n v="0"/>
    <n v="0"/>
    <n v="0"/>
    <x v="4"/>
    <x v="0"/>
    <x v="0"/>
    <x v="0"/>
    <x v="0"/>
    <m/>
    <x v="0"/>
    <x v="0"/>
    <n v="14"/>
    <m/>
    <n v="2"/>
    <n v="2"/>
    <m/>
    <m/>
    <m/>
    <m/>
    <m/>
    <m/>
    <m/>
    <m/>
    <m/>
    <m/>
    <m/>
    <m/>
    <m/>
    <m/>
    <m/>
    <m/>
    <m/>
    <m/>
    <n v="4"/>
    <n v="4"/>
  </r>
  <r>
    <n v="6287"/>
    <x v="1"/>
    <s v="2016/3061"/>
    <s v="33-35 Ursula Street"/>
    <m/>
    <n v="527271"/>
    <n v="176566"/>
    <x v="11"/>
    <d v="2018-11-05T00:00:00"/>
    <m/>
    <n v="1"/>
    <n v="1"/>
    <n v="0"/>
    <n v="1"/>
    <n v="0"/>
    <x v="0"/>
    <s v="Demolition of existing dwellinghouse (except for front facade and front sections of the side facades) and erection of a replacement house, including the erection of a rear dormer roof extension, increased height of the rear addition, a single storey side/rear extension and excavation to create a basement level accommodation with rear lightwell. Landscaping of rear garden level including lowering of ground levels."/>
    <s v="PF"/>
    <d v="2016-06-23T00:00:00"/>
    <d v="2016-12-19T00:00:00"/>
    <x v="0"/>
    <s v="Nil"/>
    <m/>
    <s v="BF"/>
    <s v="MIX"/>
    <x v="0"/>
    <x v="5"/>
    <n v="2.8000000864267301E-2"/>
    <d v="2018-11-05T00:00:00"/>
    <x v="0"/>
    <m/>
    <x v="0"/>
    <s v="M"/>
    <m/>
    <m/>
    <n v="1"/>
    <n v="0"/>
    <n v="0"/>
    <n v="0"/>
    <n v="0"/>
    <n v="0"/>
    <n v="0"/>
    <n v="0"/>
    <n v="0"/>
    <n v="0"/>
    <n v="0"/>
    <n v="0"/>
    <n v="0"/>
    <n v="0"/>
    <n v="0"/>
    <n v="0"/>
    <n v="0"/>
    <n v="0"/>
    <n v="0"/>
    <n v="0"/>
    <n v="0"/>
    <n v="0"/>
    <n v="0"/>
    <n v="0"/>
    <n v="0"/>
    <n v="0"/>
    <n v="0"/>
    <n v="0"/>
    <n v="0"/>
    <n v="0"/>
    <n v="0"/>
    <n v="0"/>
    <x v="0"/>
    <x v="0"/>
    <x v="0"/>
    <x v="0"/>
    <x v="0"/>
    <m/>
    <x v="0"/>
    <x v="0"/>
    <n v="13"/>
    <m/>
    <n v="0"/>
    <m/>
    <m/>
    <m/>
    <m/>
    <m/>
    <m/>
    <m/>
    <m/>
    <m/>
    <m/>
    <m/>
    <m/>
    <m/>
    <m/>
    <m/>
    <m/>
    <m/>
    <m/>
    <m/>
    <n v="0"/>
    <n v="0"/>
  </r>
  <r>
    <n v="6291"/>
    <x v="1"/>
    <s v="2016/3628"/>
    <s v="Brathway Hall, Brathway Road"/>
    <m/>
    <n v="525235"/>
    <n v="173834"/>
    <x v="14"/>
    <d v="2018-04-16T00:00:00"/>
    <m/>
    <n v="0"/>
    <n v="2"/>
    <n v="2"/>
    <n v="2"/>
    <n v="2"/>
    <x v="0"/>
    <s v="Demolition of existing building and erection of a three-storey building to provide church hall (Class D1) on the ground floor and 2 x 2-bedroom ancillary residential flats above including projecting balconies at rear of first and second floors."/>
    <s v="PF"/>
    <d v="2016-06-27T00:00:00"/>
    <d v="2016-08-22T00:00:00"/>
    <x v="0"/>
    <s v="Nil"/>
    <m/>
    <s v="BF"/>
    <s v="NB"/>
    <x v="0"/>
    <x v="5"/>
    <n v="1.4000000432133701E-2"/>
    <d v="2018-04-16T00:00:00"/>
    <x v="0"/>
    <m/>
    <x v="0"/>
    <s v="M"/>
    <m/>
    <m/>
    <n v="2"/>
    <n v="0"/>
    <n v="0"/>
    <n v="0"/>
    <n v="0"/>
    <n v="0"/>
    <n v="2"/>
    <n v="0"/>
    <n v="0"/>
    <n v="0"/>
    <n v="0"/>
    <n v="0"/>
    <n v="0"/>
    <n v="2"/>
    <n v="0"/>
    <n v="0"/>
    <n v="0"/>
    <n v="0"/>
    <n v="0"/>
    <n v="0"/>
    <n v="0"/>
    <n v="0"/>
    <n v="0"/>
    <n v="0"/>
    <n v="0"/>
    <n v="0"/>
    <n v="0"/>
    <n v="0"/>
    <n v="0"/>
    <n v="0"/>
    <n v="0"/>
    <n v="0"/>
    <x v="0"/>
    <x v="0"/>
    <x v="0"/>
    <x v="0"/>
    <x v="0"/>
    <m/>
    <x v="0"/>
    <x v="0"/>
    <n v="2"/>
    <m/>
    <n v="2"/>
    <m/>
    <m/>
    <m/>
    <m/>
    <m/>
    <m/>
    <m/>
    <m/>
    <m/>
    <m/>
    <m/>
    <m/>
    <m/>
    <m/>
    <m/>
    <m/>
    <m/>
    <m/>
    <m/>
    <n v="2"/>
    <n v="2"/>
  </r>
  <r>
    <n v="6299"/>
    <x v="1"/>
    <s v="2016/3773"/>
    <s v="3a, Woodborough Road"/>
    <m/>
    <n v="522733"/>
    <n v="175277"/>
    <x v="15"/>
    <d v="2018-03-31T00:00:00"/>
    <m/>
    <n v="1"/>
    <n v="1"/>
    <n v="0"/>
    <n v="1"/>
    <n v="0"/>
    <x v="0"/>
    <s v="Demolition of existing building and erection of a two-storey (plus basement) 5-bedroom detached house and associated landscaping."/>
    <s v="PF"/>
    <d v="2016-07-05T00:00:00"/>
    <d v="2016-10-26T00:00:00"/>
    <x v="0"/>
    <s v="Nil"/>
    <m/>
    <s v="BF"/>
    <s v="NB"/>
    <x v="0"/>
    <x v="5"/>
    <n v="3.5000000149011598E-2"/>
    <d v="2018-03-31T00:00:00"/>
    <x v="0"/>
    <m/>
    <x v="0"/>
    <s v="M"/>
    <m/>
    <m/>
    <n v="1"/>
    <n v="0"/>
    <n v="0"/>
    <n v="0"/>
    <n v="0"/>
    <n v="0"/>
    <n v="0"/>
    <n v="-1"/>
    <n v="0"/>
    <n v="1"/>
    <n v="0"/>
    <n v="0"/>
    <n v="0"/>
    <n v="0"/>
    <n v="0"/>
    <n v="0"/>
    <n v="0"/>
    <n v="0"/>
    <n v="0"/>
    <n v="0"/>
    <n v="0"/>
    <n v="-1"/>
    <n v="0"/>
    <n v="1"/>
    <n v="0"/>
    <n v="0"/>
    <n v="0"/>
    <n v="0"/>
    <n v="0"/>
    <n v="0"/>
    <n v="0"/>
    <n v="0"/>
    <x v="0"/>
    <x v="0"/>
    <x v="0"/>
    <x v="0"/>
    <x v="0"/>
    <m/>
    <x v="0"/>
    <x v="0"/>
    <n v="2"/>
    <m/>
    <n v="0"/>
    <m/>
    <m/>
    <m/>
    <m/>
    <m/>
    <m/>
    <m/>
    <m/>
    <m/>
    <m/>
    <m/>
    <m/>
    <m/>
    <m/>
    <m/>
    <m/>
    <m/>
    <m/>
    <m/>
    <n v="0"/>
    <n v="0"/>
  </r>
  <r>
    <n v="6311"/>
    <x v="1"/>
    <s v="2016/6287"/>
    <s v="25 Crockerton Road"/>
    <m/>
    <n v="527604"/>
    <n v="172607"/>
    <x v="3"/>
    <d v="2017-11-08T00:00:00"/>
    <m/>
    <n v="4"/>
    <n v="1"/>
    <n v="-3"/>
    <n v="1"/>
    <n v="-3"/>
    <x v="0"/>
    <s v="Alterations in connection with the conversion of the property from four flats (2 x 1-bedroom and 2 x 2-bedroom) to a single dwellinghouse (seven-bedroom). Formation of rear roof terrace at main roof level with 1.1m high balustrade."/>
    <s v="PF"/>
    <d v="2016-10-27T00:00:00"/>
    <d v="2016-12-21T00:00:00"/>
    <x v="0"/>
    <s v="Nil"/>
    <m/>
    <s v="BF"/>
    <s v="CON"/>
    <x v="0"/>
    <x v="8"/>
    <n v="2.8000000864267301E-2"/>
    <d v="2017-11-08T00:00:00"/>
    <x v="0"/>
    <m/>
    <x v="0"/>
    <s v="M"/>
    <m/>
    <m/>
    <n v="0"/>
    <n v="0"/>
    <n v="0"/>
    <n v="0"/>
    <n v="0"/>
    <n v="-2"/>
    <n v="-2"/>
    <n v="0"/>
    <n v="0"/>
    <n v="1"/>
    <n v="0"/>
    <n v="0"/>
    <n v="-2"/>
    <n v="-2"/>
    <n v="0"/>
    <n v="0"/>
    <n v="0"/>
    <n v="0"/>
    <n v="0"/>
    <n v="0"/>
    <n v="0"/>
    <n v="0"/>
    <n v="0"/>
    <n v="1"/>
    <n v="0"/>
    <n v="0"/>
    <n v="0"/>
    <n v="0"/>
    <n v="0"/>
    <n v="0"/>
    <n v="0"/>
    <n v="0"/>
    <x v="0"/>
    <x v="0"/>
    <x v="0"/>
    <x v="0"/>
    <x v="0"/>
    <m/>
    <x v="0"/>
    <x v="0"/>
    <n v="13"/>
    <m/>
    <n v="-3"/>
    <m/>
    <m/>
    <m/>
    <m/>
    <m/>
    <m/>
    <m/>
    <m/>
    <m/>
    <m/>
    <m/>
    <m/>
    <m/>
    <m/>
    <m/>
    <m/>
    <m/>
    <m/>
    <m/>
    <n v="-3"/>
    <n v="-3"/>
  </r>
  <r>
    <n v="6348"/>
    <x v="1"/>
    <s v="2016/6386"/>
    <s v="39-43 and 39-43a, 39-43 West Hill"/>
    <m/>
    <n v="525098"/>
    <n v="174608"/>
    <x v="5"/>
    <d v="2020-03-31T00:00:00"/>
    <m/>
    <n v="0"/>
    <n v="5"/>
    <n v="5"/>
    <n v="5"/>
    <n v="5"/>
    <x v="0"/>
    <s v="Alterations including replacement of fenestration to ground floor elevations and excavation to form basement with rear lightwells in conjunction with change of use from retail (Class A1) and provision of 1 x 1-bedroom, 4 x 2-bedroom flats (Class C3) at basement and ground floor levels; refuse and cycle stores fronting Lebanon Road"/>
    <s v="PF"/>
    <d v="2016-12-06T00:00:00"/>
    <d v="2017-01-31T00:00:00"/>
    <x v="0"/>
    <s v="Nil"/>
    <m/>
    <s v="BF"/>
    <s v="MIX"/>
    <x v="0"/>
    <x v="4"/>
    <n v="3.5000000149011598E-2"/>
    <d v="2020-03-31T00:00:00"/>
    <x v="1"/>
    <m/>
    <x v="0"/>
    <s v="M"/>
    <m/>
    <m/>
    <n v="0"/>
    <n v="0"/>
    <n v="0"/>
    <n v="0"/>
    <n v="0"/>
    <n v="1"/>
    <n v="4"/>
    <n v="0"/>
    <n v="0"/>
    <n v="0"/>
    <n v="0"/>
    <n v="0"/>
    <n v="1"/>
    <n v="4"/>
    <n v="0"/>
    <n v="0"/>
    <n v="0"/>
    <n v="0"/>
    <n v="0"/>
    <n v="0"/>
    <n v="0"/>
    <n v="0"/>
    <n v="0"/>
    <n v="0"/>
    <n v="0"/>
    <n v="0"/>
    <n v="0"/>
    <n v="0"/>
    <n v="0"/>
    <n v="0"/>
    <n v="0"/>
    <n v="0"/>
    <x v="0"/>
    <x v="0"/>
    <x v="0"/>
    <x v="0"/>
    <x v="0"/>
    <m/>
    <x v="0"/>
    <x v="0"/>
    <n v="14"/>
    <m/>
    <n v="2.5"/>
    <n v="2.5"/>
    <m/>
    <m/>
    <m/>
    <m/>
    <m/>
    <m/>
    <m/>
    <m/>
    <m/>
    <m/>
    <m/>
    <m/>
    <m/>
    <m/>
    <m/>
    <m/>
    <m/>
    <m/>
    <n v="5"/>
    <n v="5"/>
  </r>
  <r>
    <n v="6349"/>
    <x v="1"/>
    <s v="2016/4857"/>
    <s v="49a Tooting High Street"/>
    <m/>
    <n v="527506"/>
    <n v="171531"/>
    <x v="10"/>
    <d v="2020-03-31T00:00:00"/>
    <m/>
    <n v="1"/>
    <n v="3"/>
    <n v="2"/>
    <n v="3"/>
    <n v="2"/>
    <x v="0"/>
    <s v="Erection of three-storey rear extension, alterations and conversion of existing residential unit to create 3 x 1-bedroom flats."/>
    <s v="PF"/>
    <d v="2016-08-18T00:00:00"/>
    <d v="2016-10-13T00:00:00"/>
    <x v="0"/>
    <s v="Nil"/>
    <m/>
    <s v="BF"/>
    <s v="MIX"/>
    <x v="0"/>
    <x v="0"/>
    <n v="8.0000003799796104E-3"/>
    <d v="2020-03-31T00:00:00"/>
    <x v="1"/>
    <m/>
    <x v="0"/>
    <s v="M"/>
    <s v="5.2"/>
    <m/>
    <n v="0"/>
    <n v="0"/>
    <n v="0"/>
    <n v="0"/>
    <n v="0"/>
    <n v="3"/>
    <n v="0"/>
    <n v="-1"/>
    <n v="0"/>
    <n v="0"/>
    <n v="0"/>
    <n v="0"/>
    <n v="3"/>
    <n v="0"/>
    <n v="-1"/>
    <n v="0"/>
    <n v="0"/>
    <n v="0"/>
    <n v="0"/>
    <n v="0"/>
    <n v="0"/>
    <n v="0"/>
    <n v="0"/>
    <n v="0"/>
    <n v="0"/>
    <n v="0"/>
    <n v="0"/>
    <n v="0"/>
    <n v="0"/>
    <n v="0"/>
    <n v="0"/>
    <n v="0"/>
    <x v="4"/>
    <x v="0"/>
    <x v="0"/>
    <x v="0"/>
    <x v="0"/>
    <m/>
    <x v="0"/>
    <x v="0"/>
    <n v="14"/>
    <m/>
    <n v="1"/>
    <n v="1"/>
    <m/>
    <m/>
    <m/>
    <m/>
    <m/>
    <m/>
    <m/>
    <m/>
    <m/>
    <m/>
    <m/>
    <m/>
    <m/>
    <m/>
    <m/>
    <m/>
    <m/>
    <m/>
    <n v="2"/>
    <n v="2"/>
  </r>
  <r>
    <n v="6371"/>
    <x v="1"/>
    <s v="2016/6541"/>
    <s v="523 Old York Road"/>
    <m/>
    <n v="525949"/>
    <n v="174999"/>
    <x v="2"/>
    <d v="2018-03-31T00:00:00"/>
    <m/>
    <n v="0"/>
    <n v="1"/>
    <n v="1"/>
    <n v="1"/>
    <n v="1"/>
    <x v="0"/>
    <s v="Determination as to whether prior approval is required for change of use of office at first floor level from (Class B1a) to residential (Class C3) to provide 1 x 1-bedroom unit."/>
    <s v="PANR"/>
    <d v="2016-11-09T00:00:00"/>
    <d v="2017-01-04T00:00:00"/>
    <x v="0"/>
    <s v="Nil"/>
    <m/>
    <s v="BF"/>
    <s v="COU"/>
    <x v="0"/>
    <x v="6"/>
    <n v="7.0000002160668399E-3"/>
    <d v="2018-03-31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6373"/>
    <x v="1"/>
    <s v="2016/7075"/>
    <s v="7-11 St Johns Hill"/>
    <m/>
    <n v="527327"/>
    <n v="175384"/>
    <x v="4"/>
    <d v="2019-03-31T00:00:00"/>
    <m/>
    <n v="0"/>
    <n v="35"/>
    <n v="35"/>
    <n v="35"/>
    <n v="35"/>
    <x v="1"/>
    <s v="Determination as to whether prior approval is required for change of use from office (Class B1a) to 35 x residential units (Class C3) at first to fourth floors."/>
    <s v="PAG"/>
    <d v="2016-12-12T00:00:00"/>
    <d v="2017-02-06T00:00:00"/>
    <x v="0"/>
    <s v="Nil"/>
    <m/>
    <s v="BF"/>
    <s v="COU"/>
    <x v="0"/>
    <x v="6"/>
    <n v="0.144999995827675"/>
    <d v="2019-03-31T00:00:00"/>
    <x v="0"/>
    <m/>
    <x v="0"/>
    <s v="M"/>
    <m/>
    <m/>
    <n v="0"/>
    <n v="0"/>
    <n v="0"/>
    <n v="0"/>
    <n v="0"/>
    <n v="32"/>
    <n v="3"/>
    <n v="0"/>
    <n v="0"/>
    <n v="0"/>
    <n v="0"/>
    <n v="0"/>
    <n v="32"/>
    <n v="3"/>
    <n v="0"/>
    <n v="0"/>
    <n v="0"/>
    <n v="0"/>
    <n v="0"/>
    <n v="0"/>
    <n v="0"/>
    <n v="0"/>
    <n v="0"/>
    <n v="0"/>
    <n v="0"/>
    <n v="0"/>
    <n v="0"/>
    <n v="0"/>
    <n v="0"/>
    <n v="0"/>
    <n v="0"/>
    <n v="0"/>
    <x v="1"/>
    <x v="0"/>
    <x v="0"/>
    <x v="0"/>
    <x v="0"/>
    <m/>
    <x v="0"/>
    <x v="0"/>
    <n v="13"/>
    <m/>
    <n v="35"/>
    <m/>
    <m/>
    <m/>
    <m/>
    <m/>
    <m/>
    <m/>
    <m/>
    <m/>
    <m/>
    <m/>
    <m/>
    <m/>
    <m/>
    <m/>
    <m/>
    <m/>
    <m/>
    <m/>
    <n v="35"/>
    <n v="35"/>
  </r>
  <r>
    <n v="6375"/>
    <x v="1"/>
    <s v="2016/4543"/>
    <s v="131 Lower Richmond Road"/>
    <m/>
    <n v="523565"/>
    <n v="175816"/>
    <x v="0"/>
    <d v="2017-09-05T00:00:00"/>
    <m/>
    <n v="1"/>
    <n v="2"/>
    <n v="1"/>
    <n v="2"/>
    <n v="1"/>
    <x v="0"/>
    <s v="Proposed use of the first and second floors as two residential flats."/>
    <s v="LDC Prop"/>
    <d v="2016-08-01T00:00:00"/>
    <d v="2016-10-17T00:00:00"/>
    <x v="0"/>
    <s v="Nil"/>
    <m/>
    <s v="BF"/>
    <s v="COU"/>
    <x v="0"/>
    <x v="9"/>
    <n v="7.0000002160668399E-3"/>
    <d v="2017-09-05T00:00:00"/>
    <x v="0"/>
    <m/>
    <x v="0"/>
    <s v="M"/>
    <m/>
    <m/>
    <n v="0"/>
    <n v="0"/>
    <n v="0"/>
    <n v="0"/>
    <n v="0"/>
    <n v="0"/>
    <n v="2"/>
    <n v="0"/>
    <n v="0"/>
    <n v="-1"/>
    <n v="0"/>
    <n v="0"/>
    <n v="0"/>
    <n v="2"/>
    <n v="0"/>
    <n v="0"/>
    <n v="-1"/>
    <n v="0"/>
    <n v="0"/>
    <n v="0"/>
    <n v="0"/>
    <n v="0"/>
    <n v="0"/>
    <n v="0"/>
    <n v="0"/>
    <n v="0"/>
    <n v="0"/>
    <n v="0"/>
    <n v="0"/>
    <n v="0"/>
    <n v="0"/>
    <n v="0"/>
    <x v="0"/>
    <x v="0"/>
    <x v="0"/>
    <x v="0"/>
    <x v="0"/>
    <m/>
    <x v="0"/>
    <x v="0"/>
    <n v="13"/>
    <m/>
    <n v="1"/>
    <m/>
    <m/>
    <m/>
    <m/>
    <m/>
    <m/>
    <m/>
    <m/>
    <m/>
    <m/>
    <m/>
    <m/>
    <m/>
    <m/>
    <m/>
    <m/>
    <m/>
    <m/>
    <m/>
    <n v="1"/>
    <n v="1"/>
  </r>
  <r>
    <n v="6403"/>
    <x v="1"/>
    <s v="2016/6088"/>
    <s v="25/25a St Johns Avenue"/>
    <m/>
    <n v="523845"/>
    <n v="174877"/>
    <x v="5"/>
    <d v="2020-03-31T00:00:00"/>
    <m/>
    <n v="2"/>
    <n v="2"/>
    <n v="0"/>
    <n v="2"/>
    <n v="0"/>
    <x v="0"/>
    <s v="Demolition of existing buildings and erection of two x four-storey (plus basement) detached houses including formation of front and rear lightwells, and front and rear roof terraces at third floor level; associated tree removals, landscaping, new boundary treatment and four off-street parking spaces."/>
    <s v="PF"/>
    <d v="2016-10-18T00:00:00"/>
    <d v="2017-01-18T00:00:00"/>
    <x v="0"/>
    <s v="Nil"/>
    <m/>
    <s v="BF"/>
    <s v="NB"/>
    <x v="0"/>
    <x v="5"/>
    <n v="0.10199999809265101"/>
    <d v="2020-03-31T00:00:00"/>
    <x v="1"/>
    <m/>
    <x v="0"/>
    <s v="M"/>
    <m/>
    <m/>
    <n v="0"/>
    <n v="0"/>
    <n v="2"/>
    <n v="0"/>
    <n v="0"/>
    <n v="0"/>
    <n v="0"/>
    <n v="-1"/>
    <n v="1"/>
    <n v="0"/>
    <n v="0"/>
    <n v="0"/>
    <n v="0"/>
    <n v="0"/>
    <n v="0"/>
    <n v="0"/>
    <n v="0"/>
    <n v="0"/>
    <n v="0"/>
    <n v="0"/>
    <n v="0"/>
    <n v="-1"/>
    <n v="1"/>
    <n v="0"/>
    <n v="0"/>
    <n v="0"/>
    <n v="0"/>
    <n v="0"/>
    <n v="0"/>
    <n v="0"/>
    <n v="0"/>
    <n v="0"/>
    <x v="0"/>
    <x v="0"/>
    <x v="0"/>
    <x v="0"/>
    <x v="0"/>
    <m/>
    <x v="0"/>
    <x v="0"/>
    <n v="3"/>
    <m/>
    <n v="0"/>
    <n v="0"/>
    <m/>
    <m/>
    <m/>
    <m/>
    <m/>
    <m/>
    <m/>
    <m/>
    <m/>
    <m/>
    <m/>
    <m/>
    <m/>
    <m/>
    <m/>
    <m/>
    <m/>
    <m/>
    <n v="0"/>
    <n v="0"/>
  </r>
  <r>
    <n v="6404"/>
    <x v="1"/>
    <s v="2017/4038"/>
    <s v="Land rear of 857, 857 Garratt Lane"/>
    <m/>
    <n v="526552"/>
    <n v="172073"/>
    <x v="8"/>
    <d v="2018-11-19T00:00:00"/>
    <m/>
    <n v="1"/>
    <n v="10"/>
    <n v="9"/>
    <n v="10"/>
    <n v="9"/>
    <x v="1"/>
    <s v="Demolition of existing building (857E Garratt Lane) and erection of three-storey (plus basement) building to provide 4 x 1-bedroom flats and 6 x 2-bedroom flats including front and rear lightwells and front and rear balconies/roof terraces at first floor level; associated boundary treatment, refuse and cycle stores and landscaping."/>
    <s v="PFLA"/>
    <d v="2017-07-17T00:00:00"/>
    <d v="2018-05-30T00:00:00"/>
    <x v="0"/>
    <s v="Nil"/>
    <m/>
    <s v="BF"/>
    <s v="NB"/>
    <x v="1"/>
    <x v="7"/>
    <n v="1.7999999225139601E-2"/>
    <d v="2018-11-19T00:00:00"/>
    <x v="0"/>
    <m/>
    <x v="0"/>
    <s v="M"/>
    <m/>
    <m/>
    <n v="0"/>
    <n v="3"/>
    <n v="0"/>
    <n v="1"/>
    <n v="0"/>
    <n v="4"/>
    <n v="5"/>
    <n v="0"/>
    <n v="0"/>
    <n v="0"/>
    <n v="0"/>
    <n v="0"/>
    <n v="4"/>
    <n v="6"/>
    <n v="0"/>
    <n v="0"/>
    <n v="0"/>
    <n v="0"/>
    <n v="0"/>
    <n v="0"/>
    <n v="-1"/>
    <n v="0"/>
    <n v="0"/>
    <n v="0"/>
    <n v="0"/>
    <n v="0"/>
    <n v="0"/>
    <n v="0"/>
    <n v="0"/>
    <n v="0"/>
    <n v="0"/>
    <n v="0"/>
    <x v="0"/>
    <x v="0"/>
    <x v="0"/>
    <x v="0"/>
    <x v="0"/>
    <m/>
    <x v="0"/>
    <x v="0"/>
    <n v="2"/>
    <m/>
    <n v="9"/>
    <m/>
    <m/>
    <m/>
    <m/>
    <m/>
    <m/>
    <m/>
    <m/>
    <m/>
    <m/>
    <m/>
    <m/>
    <m/>
    <m/>
    <m/>
    <m/>
    <m/>
    <m/>
    <m/>
    <n v="9"/>
    <n v="9"/>
  </r>
  <r>
    <n v="6419"/>
    <x v="1"/>
    <s v="2016/2027"/>
    <s v="15-27 Falcon Road"/>
    <m/>
    <n v="527130"/>
    <n v="176085"/>
    <x v="16"/>
    <d v="2019-10-14T00:00:00"/>
    <m/>
    <n v="0"/>
    <n v="25"/>
    <n v="25"/>
    <n v="25"/>
    <n v="25"/>
    <x v="1"/>
    <s v="Demolition of existing building and erection of a three/five storey building plus basement to provide 25 residential units (8 x one bedroom, 13 x two bedroom, 4 x three bedroom) including balconies and communal garden and two retail units (Class A1, totalling 669sq.m of floorspace) and a gymnasium (Class D2, 434sq.m) together with cycle storage (60 bicycles) and refuse stores."/>
    <s v="PFLA"/>
    <d v="2016-04-12T00:00:00"/>
    <d v="2017-02-24T00:00:00"/>
    <x v="0"/>
    <s v="Nil"/>
    <m/>
    <s v="BF"/>
    <s v="NB"/>
    <x v="1"/>
    <x v="7"/>
    <n v="7.1000002324581105E-2"/>
    <d v="2019-10-14T00:00:00"/>
    <x v="1"/>
    <m/>
    <x v="0"/>
    <s v="M"/>
    <m/>
    <m/>
    <n v="3"/>
    <n v="0"/>
    <n v="25"/>
    <n v="0"/>
    <n v="0"/>
    <n v="8"/>
    <n v="13"/>
    <n v="4"/>
    <n v="0"/>
    <n v="0"/>
    <n v="0"/>
    <n v="0"/>
    <n v="8"/>
    <n v="13"/>
    <n v="4"/>
    <n v="0"/>
    <n v="0"/>
    <n v="0"/>
    <n v="0"/>
    <n v="0"/>
    <n v="0"/>
    <n v="0"/>
    <n v="0"/>
    <n v="0"/>
    <n v="0"/>
    <n v="0"/>
    <n v="0"/>
    <n v="0"/>
    <n v="0"/>
    <n v="0"/>
    <n v="0"/>
    <n v="0"/>
    <x v="0"/>
    <x v="0"/>
    <x v="0"/>
    <x v="0"/>
    <x v="0"/>
    <m/>
    <x v="0"/>
    <x v="0"/>
    <n v="5"/>
    <m/>
    <m/>
    <n v="6.25"/>
    <n v="6.25"/>
    <n v="6.25"/>
    <n v="6.25"/>
    <m/>
    <m/>
    <m/>
    <m/>
    <m/>
    <m/>
    <m/>
    <m/>
    <m/>
    <m/>
    <m/>
    <m/>
    <m/>
    <m/>
    <m/>
    <n v="25"/>
    <n v="25"/>
  </r>
  <r>
    <n v="6426"/>
    <x v="1"/>
    <s v="2017/2588"/>
    <s v="212 Tooting High Street"/>
    <m/>
    <n v="527111"/>
    <n v="170959"/>
    <x v="1"/>
    <d v="2019-07-10T00:00:00"/>
    <m/>
    <n v="0"/>
    <n v="2"/>
    <n v="2"/>
    <n v="2"/>
    <n v="2"/>
    <x v="0"/>
    <s v="Change of use of lower ground and upper ground floors from Financial &amp; Professional services (Use Class A2) to residential (Use Class C3) to create 2 x 1-bedroom self-contained flats. External alterations to shopfront and erection of part single storey / part two storey rear extension at lower ground and ground floor levels with balcony and external staircase from ground level to lower ground level, formation of rear lightwell and alterations to rear yard including new boundary treatment, installation of bin store and cycle racks."/>
    <s v="PF"/>
    <d v="2017-05-04T00:00:00"/>
    <d v="2017-07-28T00:00:00"/>
    <x v="0"/>
    <s v="Nil"/>
    <m/>
    <s v="BF"/>
    <s v="MIX"/>
    <x v="0"/>
    <x v="6"/>
    <n v="2.0000000949949E-3"/>
    <d v="2019-07-10T00:00:00"/>
    <x v="1"/>
    <m/>
    <x v="0"/>
    <s v="M"/>
    <m/>
    <m/>
    <n v="0"/>
    <n v="0"/>
    <n v="0"/>
    <n v="0"/>
    <n v="0"/>
    <n v="2"/>
    <n v="0"/>
    <n v="0"/>
    <n v="0"/>
    <n v="0"/>
    <n v="0"/>
    <n v="0"/>
    <n v="2"/>
    <n v="0"/>
    <n v="0"/>
    <n v="0"/>
    <n v="0"/>
    <n v="0"/>
    <n v="0"/>
    <n v="0"/>
    <n v="0"/>
    <n v="0"/>
    <n v="0"/>
    <n v="0"/>
    <n v="0"/>
    <n v="0"/>
    <n v="0"/>
    <n v="0"/>
    <n v="0"/>
    <n v="0"/>
    <n v="0"/>
    <n v="0"/>
    <x v="0"/>
    <x v="0"/>
    <x v="0"/>
    <x v="0"/>
    <x v="0"/>
    <m/>
    <x v="0"/>
    <x v="0"/>
    <n v="13"/>
    <m/>
    <n v="2"/>
    <m/>
    <m/>
    <m/>
    <m/>
    <m/>
    <m/>
    <m/>
    <m/>
    <m/>
    <m/>
    <m/>
    <m/>
    <m/>
    <m/>
    <m/>
    <m/>
    <m/>
    <m/>
    <m/>
    <n v="2"/>
    <n v="2"/>
  </r>
  <r>
    <n v="6443"/>
    <x v="1"/>
    <s v="2016/5949"/>
    <s v="Stag House Putney Vale Youth Centre, Stroud Crescent"/>
    <m/>
    <n v="522012"/>
    <n v="172337"/>
    <x v="13"/>
    <d v="2018-08-28T00:00:00"/>
    <m/>
    <n v="0"/>
    <n v="11"/>
    <n v="11"/>
    <n v="21"/>
    <n v="21"/>
    <x v="1"/>
    <s v="Demolition of community centre and erection of 3/4 storey building to provide 21 flats including warden flat and communal living spaces; reduction in size of adjacent multi-use games area to create circulation and access space, balconies to all elevations, associated cycle and refuse storage and landscaping. Retention of 27 car parking spaces alongside the games area."/>
    <s v="PF"/>
    <d v="2016-10-07T00:00:00"/>
    <d v="2016-12-15T00:00:00"/>
    <x v="0"/>
    <s v="Nil"/>
    <m/>
    <s v="BF"/>
    <s v="NB"/>
    <x v="1"/>
    <x v="7"/>
    <n v="9.0999998152255998E-2"/>
    <d v="2018-08-28T00:00:00"/>
    <x v="0"/>
    <m/>
    <x v="2"/>
    <s v="AC"/>
    <m/>
    <m/>
    <n v="11"/>
    <n v="0"/>
    <n v="6"/>
    <n v="0"/>
    <n v="0"/>
    <n v="4"/>
    <n v="7"/>
    <n v="0"/>
    <n v="0"/>
    <n v="0"/>
    <n v="0"/>
    <n v="0"/>
    <n v="4"/>
    <n v="7"/>
    <n v="0"/>
    <n v="0"/>
    <n v="0"/>
    <n v="0"/>
    <n v="0"/>
    <n v="0"/>
    <n v="0"/>
    <n v="0"/>
    <n v="0"/>
    <n v="0"/>
    <n v="0"/>
    <n v="0"/>
    <n v="0"/>
    <n v="0"/>
    <n v="0"/>
    <n v="0"/>
    <n v="0"/>
    <n v="0"/>
    <x v="0"/>
    <x v="0"/>
    <x v="0"/>
    <x v="0"/>
    <x v="0"/>
    <m/>
    <x v="0"/>
    <x v="0"/>
    <n v="4"/>
    <m/>
    <n v="11"/>
    <m/>
    <m/>
    <m/>
    <m/>
    <m/>
    <m/>
    <m/>
    <m/>
    <m/>
    <m/>
    <m/>
    <m/>
    <m/>
    <m/>
    <m/>
    <m/>
    <m/>
    <m/>
    <m/>
    <n v="11"/>
    <n v="11"/>
  </r>
  <r>
    <n v="6443"/>
    <x v="1"/>
    <s v="2016/5949"/>
    <s v="Stag House Putney Vale Youth Centre, Stroud Crescent"/>
    <m/>
    <n v="522012"/>
    <n v="172337"/>
    <x v="13"/>
    <d v="2018-08-28T00:00:00"/>
    <m/>
    <n v="0"/>
    <n v="10"/>
    <n v="10"/>
    <n v="21"/>
    <n v="21"/>
    <x v="1"/>
    <s v="Demolition of community centre and erection of 3/4 storey building to provide 21 flats including warden flat and communal living spaces; reduction in size of adjacent multi-use games area to create circulation and access space, balconies to all elevations, associated cycle and refuse storage and landscaping. Retention of 27 car parking spaces alongside the games area."/>
    <s v="PF"/>
    <d v="2016-10-07T00:00:00"/>
    <d v="2016-12-15T00:00:00"/>
    <x v="0"/>
    <s v="Nil"/>
    <m/>
    <s v="BF"/>
    <s v="NB"/>
    <x v="1"/>
    <x v="7"/>
    <n v="3.9000000804662698E-2"/>
    <d v="2018-08-28T00:00:00"/>
    <x v="0"/>
    <m/>
    <x v="2"/>
    <s v="AC"/>
    <m/>
    <m/>
    <n v="10"/>
    <n v="0"/>
    <n v="6"/>
    <n v="0"/>
    <n v="0"/>
    <n v="10"/>
    <n v="0"/>
    <n v="0"/>
    <n v="0"/>
    <n v="0"/>
    <n v="0"/>
    <n v="0"/>
    <n v="10"/>
    <n v="0"/>
    <n v="0"/>
    <n v="0"/>
    <n v="0"/>
    <n v="0"/>
    <n v="0"/>
    <n v="0"/>
    <n v="0"/>
    <n v="0"/>
    <n v="0"/>
    <n v="0"/>
    <n v="0"/>
    <n v="0"/>
    <n v="0"/>
    <n v="0"/>
    <n v="0"/>
    <n v="0"/>
    <n v="0"/>
    <n v="0"/>
    <x v="0"/>
    <x v="0"/>
    <x v="0"/>
    <x v="0"/>
    <x v="0"/>
    <m/>
    <x v="0"/>
    <x v="0"/>
    <n v="4"/>
    <m/>
    <n v="10"/>
    <m/>
    <m/>
    <m/>
    <m/>
    <m/>
    <m/>
    <m/>
    <m/>
    <m/>
    <m/>
    <m/>
    <m/>
    <m/>
    <m/>
    <m/>
    <m/>
    <m/>
    <m/>
    <m/>
    <n v="10"/>
    <n v="10"/>
  </r>
  <r>
    <n v="6479"/>
    <x v="1"/>
    <s v="2016/5738"/>
    <s v="Garages north of 99-152, 99-152 Gideon Road"/>
    <m/>
    <n v="528125"/>
    <n v="175809"/>
    <x v="9"/>
    <d v="2019-04-15T00:00:00"/>
    <m/>
    <n v="0"/>
    <n v="18"/>
    <n v="18"/>
    <n v="18"/>
    <n v="18"/>
    <x v="1"/>
    <s v="Demolition of existing garages and redevelopment to provide  18 units (15 flats and 3 houses) within 3 and 4 storey blocks with associated vehicle and cycle parking, bin storage and landscaping."/>
    <s v="PF"/>
    <d v="2016-09-30T00:00:00"/>
    <d v="2017-01-26T00:00:00"/>
    <x v="0"/>
    <s v="Nil"/>
    <m/>
    <s v="BF"/>
    <s v="NB"/>
    <x v="1"/>
    <x v="7"/>
    <n v="0.40000000596046398"/>
    <d v="2019-04-15T00:00:00"/>
    <x v="1"/>
    <m/>
    <x v="2"/>
    <s v="AC"/>
    <m/>
    <m/>
    <n v="16"/>
    <n v="0"/>
    <n v="2"/>
    <n v="0"/>
    <n v="0"/>
    <n v="4"/>
    <n v="11"/>
    <n v="0"/>
    <n v="1"/>
    <n v="2"/>
    <n v="0"/>
    <n v="0"/>
    <n v="4"/>
    <n v="11"/>
    <n v="0"/>
    <n v="0"/>
    <n v="0"/>
    <n v="0"/>
    <n v="0"/>
    <n v="0"/>
    <n v="0"/>
    <n v="0"/>
    <n v="1"/>
    <n v="2"/>
    <n v="0"/>
    <n v="0"/>
    <n v="0"/>
    <n v="0"/>
    <n v="0"/>
    <n v="0"/>
    <n v="0"/>
    <n v="0"/>
    <x v="0"/>
    <x v="0"/>
    <x v="0"/>
    <x v="0"/>
    <x v="0"/>
    <m/>
    <x v="0"/>
    <x v="0"/>
    <n v="2"/>
    <m/>
    <n v="18"/>
    <m/>
    <m/>
    <m/>
    <m/>
    <m/>
    <m/>
    <m/>
    <m/>
    <m/>
    <m/>
    <m/>
    <m/>
    <m/>
    <m/>
    <m/>
    <m/>
    <m/>
    <m/>
    <m/>
    <n v="18"/>
    <n v="18"/>
  </r>
  <r>
    <n v="6480"/>
    <x v="1"/>
    <s v="2016/5739"/>
    <s v="Garages and parking spaces, 57-84 Gideon Road"/>
    <m/>
    <n v="528205"/>
    <n v="175735"/>
    <x v="9"/>
    <d v="2019-04-01T00:00:00"/>
    <m/>
    <n v="0"/>
    <n v="4"/>
    <n v="4"/>
    <n v="4"/>
    <n v="4"/>
    <x v="0"/>
    <s v="Demolition of existing garages and redevelopment for a part one, two and three storey residential block to provide 4 units with associated vehicle and cycle parking, bin store, landscaping and reconfiguration of existing parking court (amended description)."/>
    <s v="PF"/>
    <d v="2016-09-30T00:00:00"/>
    <d v="2017-01-26T00:00:00"/>
    <x v="0"/>
    <s v="Nil"/>
    <m/>
    <s v="BF"/>
    <s v="NB"/>
    <x v="0"/>
    <x v="5"/>
    <n v="6.1999998986720997E-2"/>
    <d v="2019-04-01T00:00:00"/>
    <x v="1"/>
    <m/>
    <x v="2"/>
    <s v="AC"/>
    <m/>
    <m/>
    <n v="1"/>
    <n v="0"/>
    <n v="3"/>
    <n v="0"/>
    <n v="0"/>
    <n v="2"/>
    <n v="1"/>
    <n v="1"/>
    <n v="0"/>
    <n v="0"/>
    <n v="0"/>
    <n v="0"/>
    <n v="2"/>
    <n v="1"/>
    <n v="0"/>
    <n v="0"/>
    <n v="0"/>
    <n v="0"/>
    <n v="0"/>
    <n v="0"/>
    <n v="0"/>
    <n v="1"/>
    <n v="0"/>
    <n v="0"/>
    <n v="0"/>
    <n v="0"/>
    <n v="0"/>
    <n v="0"/>
    <n v="0"/>
    <n v="0"/>
    <n v="0"/>
    <n v="0"/>
    <x v="0"/>
    <x v="0"/>
    <x v="0"/>
    <x v="0"/>
    <x v="0"/>
    <m/>
    <x v="0"/>
    <x v="0"/>
    <n v="2"/>
    <m/>
    <n v="4"/>
    <m/>
    <m/>
    <m/>
    <m/>
    <m/>
    <m/>
    <m/>
    <m/>
    <m/>
    <m/>
    <m/>
    <m/>
    <m/>
    <m/>
    <m/>
    <m/>
    <m/>
    <m/>
    <m/>
    <n v="4"/>
    <n v="4"/>
  </r>
  <r>
    <n v="6491"/>
    <x v="1"/>
    <s v="2017/0633"/>
    <s v="Boyce House, Aldrington Road"/>
    <m/>
    <n v="529359"/>
    <n v="171414"/>
    <x v="7"/>
    <d v="2019-09-09T00:00:00"/>
    <m/>
    <n v="0"/>
    <n v="3"/>
    <n v="3"/>
    <n v="3"/>
    <n v="3"/>
    <x v="0"/>
    <s v="Alterations including the infill of undercroft space beneath the block to provide 3 self-contained flats (3 x 1-bedroom) with associated amenity space and the provision of 3 car parking spaces to west of Boyce House."/>
    <s v="PF"/>
    <d v="2017-02-06T00:00:00"/>
    <d v="2017-04-03T00:00:00"/>
    <x v="0"/>
    <s v="Nil"/>
    <m/>
    <s v="BF"/>
    <s v="EXT"/>
    <x v="0"/>
    <x v="3"/>
    <n v="4.9999998882412902E-3"/>
    <d v="2019-09-09T00:00:00"/>
    <x v="1"/>
    <m/>
    <x v="0"/>
    <s v="M"/>
    <m/>
    <m/>
    <n v="0"/>
    <n v="0"/>
    <n v="0"/>
    <n v="0"/>
    <n v="0"/>
    <n v="2"/>
    <n v="1"/>
    <n v="0"/>
    <n v="0"/>
    <n v="0"/>
    <n v="0"/>
    <n v="0"/>
    <n v="2"/>
    <n v="1"/>
    <n v="0"/>
    <n v="0"/>
    <n v="0"/>
    <n v="0"/>
    <n v="0"/>
    <n v="0"/>
    <n v="0"/>
    <n v="0"/>
    <n v="0"/>
    <n v="0"/>
    <n v="0"/>
    <n v="0"/>
    <n v="0"/>
    <n v="0"/>
    <n v="0"/>
    <n v="0"/>
    <n v="0"/>
    <n v="0"/>
    <x v="0"/>
    <x v="0"/>
    <x v="0"/>
    <x v="0"/>
    <x v="0"/>
    <m/>
    <x v="0"/>
    <x v="0"/>
    <n v="13"/>
    <m/>
    <n v="3"/>
    <m/>
    <m/>
    <m/>
    <m/>
    <m/>
    <m/>
    <m/>
    <m/>
    <m/>
    <m/>
    <m/>
    <m/>
    <m/>
    <m/>
    <m/>
    <m/>
    <m/>
    <m/>
    <m/>
    <n v="3"/>
    <n v="3"/>
  </r>
  <r>
    <n v="6493"/>
    <x v="1"/>
    <s v="2017/0484"/>
    <s v="Busby House, Aldrington Road"/>
    <m/>
    <n v="529358"/>
    <n v="171498"/>
    <x v="7"/>
    <d v="2019-09-09T00:00:00"/>
    <m/>
    <n v="0"/>
    <n v="3"/>
    <n v="3"/>
    <n v="3"/>
    <n v="3"/>
    <x v="0"/>
    <s v="Alterations including the infill of undercroft space beneath the block to provide 3 self-contained flats (2 x 1-bedroom and 1 x 2-bedroom) with associated amenity space and the provision of 3  car parking spaces on western side of Busby House."/>
    <s v="PF"/>
    <d v="2017-02-07T00:00:00"/>
    <d v="2017-04-04T00:00:00"/>
    <x v="0"/>
    <s v="Nil"/>
    <m/>
    <s v="BF"/>
    <s v="EXT"/>
    <x v="0"/>
    <x v="3"/>
    <n v="4.9999998882412902E-3"/>
    <d v="2019-09-09T00:00:00"/>
    <x v="1"/>
    <m/>
    <x v="2"/>
    <s v="AC"/>
    <m/>
    <m/>
    <n v="3"/>
    <n v="0"/>
    <n v="0"/>
    <n v="0"/>
    <n v="0"/>
    <n v="2"/>
    <n v="1"/>
    <n v="0"/>
    <n v="0"/>
    <n v="0"/>
    <n v="0"/>
    <n v="0"/>
    <n v="2"/>
    <n v="1"/>
    <n v="0"/>
    <n v="0"/>
    <n v="0"/>
    <n v="0"/>
    <n v="0"/>
    <n v="0"/>
    <n v="0"/>
    <n v="0"/>
    <n v="0"/>
    <n v="0"/>
    <n v="0"/>
    <n v="0"/>
    <n v="0"/>
    <n v="0"/>
    <n v="0"/>
    <n v="0"/>
    <n v="0"/>
    <n v="0"/>
    <x v="0"/>
    <x v="0"/>
    <x v="0"/>
    <x v="0"/>
    <x v="0"/>
    <m/>
    <x v="0"/>
    <x v="0"/>
    <n v="13"/>
    <m/>
    <n v="3"/>
    <m/>
    <m/>
    <m/>
    <m/>
    <m/>
    <m/>
    <m/>
    <m/>
    <m/>
    <m/>
    <m/>
    <m/>
    <m/>
    <m/>
    <m/>
    <m/>
    <m/>
    <m/>
    <m/>
    <n v="3"/>
    <n v="3"/>
  </r>
  <r>
    <n v="6494"/>
    <x v="1"/>
    <s v="2017/0483"/>
    <s v="Grierson House, Aldrington Road"/>
    <m/>
    <n v="529449"/>
    <n v="171532"/>
    <x v="7"/>
    <d v="2019-09-09T00:00:00"/>
    <m/>
    <n v="0"/>
    <n v="3"/>
    <n v="3"/>
    <n v="3"/>
    <n v="3"/>
    <x v="0"/>
    <s v="Infill of undercroft space beneath the block to provide 3 self-contained flats (1 x 1-bedroom and 2 x 2-bedroom) with associated amenity space and the provision of 3 car parking spaces to the east of Grierson House."/>
    <s v="PF"/>
    <d v="2017-02-07T00:00:00"/>
    <d v="2017-04-04T00:00:00"/>
    <x v="0"/>
    <s v="Nil"/>
    <m/>
    <s v="BF"/>
    <s v="EXT"/>
    <x v="0"/>
    <x v="3"/>
    <n v="1.60000007599592E-2"/>
    <d v="2019-09-09T00:00:00"/>
    <x v="1"/>
    <m/>
    <x v="2"/>
    <s v="AC"/>
    <m/>
    <m/>
    <n v="3"/>
    <n v="0"/>
    <n v="0"/>
    <n v="0"/>
    <n v="0"/>
    <n v="1"/>
    <n v="2"/>
    <n v="0"/>
    <n v="0"/>
    <n v="0"/>
    <n v="0"/>
    <n v="0"/>
    <n v="1"/>
    <n v="2"/>
    <n v="0"/>
    <n v="0"/>
    <n v="0"/>
    <n v="0"/>
    <n v="0"/>
    <n v="0"/>
    <n v="0"/>
    <n v="0"/>
    <n v="0"/>
    <n v="0"/>
    <n v="0"/>
    <n v="0"/>
    <n v="0"/>
    <n v="0"/>
    <n v="0"/>
    <n v="0"/>
    <n v="0"/>
    <n v="0"/>
    <x v="0"/>
    <x v="0"/>
    <x v="0"/>
    <x v="0"/>
    <x v="0"/>
    <m/>
    <x v="0"/>
    <x v="0"/>
    <n v="13"/>
    <m/>
    <n v="3"/>
    <m/>
    <m/>
    <m/>
    <m/>
    <m/>
    <m/>
    <m/>
    <m/>
    <m/>
    <m/>
    <m/>
    <m/>
    <m/>
    <m/>
    <m/>
    <m/>
    <m/>
    <m/>
    <m/>
    <n v="3"/>
    <n v="3"/>
  </r>
  <r>
    <n v="6514"/>
    <x v="1"/>
    <s v="2018/3305"/>
    <s v="140 Trinity Road"/>
    <m/>
    <n v="527636"/>
    <n v="172936"/>
    <x v="3"/>
    <d v="2020-03-01T00:00:00"/>
    <m/>
    <n v="0"/>
    <n v="1"/>
    <n v="1"/>
    <n v="1"/>
    <n v="1"/>
    <x v="0"/>
    <s v="Erection of one-storey (plus basement) 3-bedroom dwelling with associated cycle and refuse storage."/>
    <s v="PF"/>
    <d v="2018-07-05T00:00:00"/>
    <d v="2018-08-30T00:00:00"/>
    <x v="0"/>
    <s v="Nil"/>
    <m/>
    <s v="BF"/>
    <s v="NB"/>
    <x v="0"/>
    <x v="5"/>
    <n v="5.7000000029802302E-2"/>
    <d v="2020-03-01T00:00:00"/>
    <x v="1"/>
    <m/>
    <x v="0"/>
    <s v="M"/>
    <m/>
    <m/>
    <n v="0"/>
    <n v="1"/>
    <n v="0"/>
    <n v="0"/>
    <n v="0"/>
    <n v="0"/>
    <n v="0"/>
    <n v="1"/>
    <n v="0"/>
    <n v="0"/>
    <n v="0"/>
    <n v="0"/>
    <n v="0"/>
    <n v="0"/>
    <n v="0"/>
    <n v="0"/>
    <n v="0"/>
    <n v="0"/>
    <n v="0"/>
    <n v="0"/>
    <n v="0"/>
    <n v="1"/>
    <n v="0"/>
    <n v="0"/>
    <n v="0"/>
    <n v="0"/>
    <n v="0"/>
    <n v="0"/>
    <n v="0"/>
    <n v="0"/>
    <n v="0"/>
    <n v="0"/>
    <x v="0"/>
    <x v="0"/>
    <x v="0"/>
    <x v="0"/>
    <x v="0"/>
    <m/>
    <x v="0"/>
    <x v="0"/>
    <n v="3"/>
    <m/>
    <n v="0.5"/>
    <n v="0.5"/>
    <m/>
    <m/>
    <m/>
    <m/>
    <m/>
    <m/>
    <m/>
    <m/>
    <m/>
    <m/>
    <m/>
    <m/>
    <m/>
    <m/>
    <m/>
    <m/>
    <m/>
    <m/>
    <n v="1"/>
    <n v="1"/>
  </r>
  <r>
    <n v="6516"/>
    <x v="1"/>
    <s v="2017/0637"/>
    <s v="Shenstone House, Aldrington Road"/>
    <m/>
    <n v="529436"/>
    <n v="171443"/>
    <x v="7"/>
    <d v="2019-09-09T00:00:00"/>
    <m/>
    <n v="0"/>
    <n v="3"/>
    <n v="3"/>
    <n v="3"/>
    <n v="3"/>
    <x v="0"/>
    <s v="Infill of undercroft space beneath the block to provide 3 self-contained flats (1 x 1-bedroom and 2 x 2-bedroom) with associated amenity space and the provision of three car parking spaces to the east of Shenstone House."/>
    <s v="PF"/>
    <d v="2017-02-06T00:00:00"/>
    <d v="2017-04-03T00:00:00"/>
    <x v="0"/>
    <s v="Nil"/>
    <m/>
    <s v="BF"/>
    <s v="EXT"/>
    <x v="0"/>
    <x v="3"/>
    <n v="6.0000000521540598E-3"/>
    <d v="2019-09-09T00:00:00"/>
    <x v="1"/>
    <m/>
    <x v="2"/>
    <s v="AC"/>
    <m/>
    <m/>
    <n v="3"/>
    <n v="0"/>
    <n v="0"/>
    <n v="0"/>
    <n v="0"/>
    <n v="1"/>
    <n v="2"/>
    <n v="0"/>
    <n v="0"/>
    <n v="0"/>
    <n v="0"/>
    <n v="0"/>
    <n v="1"/>
    <n v="2"/>
    <n v="0"/>
    <n v="0"/>
    <n v="0"/>
    <n v="0"/>
    <n v="0"/>
    <n v="0"/>
    <n v="0"/>
    <n v="0"/>
    <n v="0"/>
    <n v="0"/>
    <n v="0"/>
    <n v="0"/>
    <n v="0"/>
    <n v="0"/>
    <n v="0"/>
    <n v="0"/>
    <n v="0"/>
    <n v="0"/>
    <x v="0"/>
    <x v="0"/>
    <x v="0"/>
    <x v="0"/>
    <x v="0"/>
    <m/>
    <x v="0"/>
    <x v="0"/>
    <n v="13"/>
    <m/>
    <n v="3"/>
    <m/>
    <m/>
    <m/>
    <m/>
    <m/>
    <m/>
    <m/>
    <m/>
    <m/>
    <m/>
    <m/>
    <m/>
    <m/>
    <m/>
    <m/>
    <m/>
    <m/>
    <m/>
    <m/>
    <n v="3"/>
    <n v="3"/>
  </r>
  <r>
    <n v="6525"/>
    <x v="1"/>
    <s v="2017/1159"/>
    <s v="6 Leacroft Avenue"/>
    <m/>
    <n v="527828"/>
    <n v="173720"/>
    <x v="3"/>
    <d v="2018-05-07T00:00:00"/>
    <m/>
    <n v="1"/>
    <n v="1"/>
    <n v="0"/>
    <n v="1"/>
    <n v="0"/>
    <x v="0"/>
    <s v="Demolition of existing building and erection of a three storey (plus basement with rear lightwell) 5-bedroom detached house."/>
    <s v="PF"/>
    <d v="2017-02-27T00:00:00"/>
    <d v="2017-07-03T00:00:00"/>
    <x v="0"/>
    <s v="Nil"/>
    <m/>
    <s v="BF"/>
    <s v="NB"/>
    <x v="0"/>
    <x v="5"/>
    <n v="4.0199998766183902E-2"/>
    <d v="2018-05-07T00:00:00"/>
    <x v="0"/>
    <m/>
    <x v="0"/>
    <s v="M"/>
    <m/>
    <m/>
    <n v="0"/>
    <n v="0"/>
    <n v="0"/>
    <n v="0"/>
    <n v="0"/>
    <n v="0"/>
    <n v="0"/>
    <n v="-1"/>
    <n v="0"/>
    <n v="1"/>
    <n v="0"/>
    <n v="0"/>
    <n v="0"/>
    <n v="0"/>
    <n v="0"/>
    <n v="0"/>
    <n v="0"/>
    <n v="0"/>
    <n v="0"/>
    <n v="0"/>
    <n v="0"/>
    <n v="-1"/>
    <n v="0"/>
    <n v="1"/>
    <n v="0"/>
    <n v="0"/>
    <n v="0"/>
    <n v="0"/>
    <n v="0"/>
    <n v="0"/>
    <n v="0"/>
    <n v="0"/>
    <x v="0"/>
    <x v="0"/>
    <x v="0"/>
    <x v="0"/>
    <x v="0"/>
    <m/>
    <x v="0"/>
    <x v="0"/>
    <n v="2"/>
    <m/>
    <n v="0"/>
    <m/>
    <m/>
    <m/>
    <m/>
    <m/>
    <m/>
    <m/>
    <m/>
    <m/>
    <m/>
    <m/>
    <m/>
    <m/>
    <m/>
    <m/>
    <m/>
    <m/>
    <m/>
    <m/>
    <n v="0"/>
    <n v="0"/>
  </r>
  <r>
    <n v="6530"/>
    <x v="1"/>
    <s v="2018/4756"/>
    <s v="2 Langside Avenue"/>
    <m/>
    <n v="522247"/>
    <n v="175326"/>
    <x v="15"/>
    <d v="2018-03-08T00:00:00"/>
    <m/>
    <n v="2"/>
    <n v="1"/>
    <n v="-1"/>
    <n v="1"/>
    <n v="-1"/>
    <x v="0"/>
    <s v="Demolition of building including the retention of the front façade; rebuilding dwelling to include alterations subject of planning permission 2017/1196 including re-profiling the existing main roof and back addition roof; erection of mansard roof extension to the rear roof slope; Insertion of dormer windows in the roof of the back addition; erection of front dormer and formation of roof terrace above main roof;  erection of balcony at rear first floor level; erection of single-storey rear/side extension; excavation to create basement including formation of front lightwell; use as a 5-bedroom house"/>
    <s v="PF"/>
    <d v="2018-10-25T00:00:00"/>
    <d v="2018-12-20T00:00:00"/>
    <x v="0"/>
    <s v="Nil"/>
    <m/>
    <s v="BF"/>
    <s v="MIX"/>
    <x v="0"/>
    <x v="8"/>
    <n v="3.7999998778104803E-2"/>
    <d v="2018-03-08T00:00:00"/>
    <x v="0"/>
    <m/>
    <x v="0"/>
    <s v="M"/>
    <m/>
    <m/>
    <n v="0"/>
    <n v="0"/>
    <n v="0"/>
    <n v="0"/>
    <n v="0"/>
    <n v="0"/>
    <n v="-1"/>
    <n v="-1"/>
    <n v="0"/>
    <n v="1"/>
    <n v="0"/>
    <n v="0"/>
    <n v="0"/>
    <n v="-1"/>
    <n v="-1"/>
    <n v="0"/>
    <n v="0"/>
    <n v="0"/>
    <n v="0"/>
    <n v="0"/>
    <n v="0"/>
    <n v="0"/>
    <n v="0"/>
    <n v="1"/>
    <n v="0"/>
    <n v="0"/>
    <n v="0"/>
    <n v="0"/>
    <n v="0"/>
    <n v="0"/>
    <n v="0"/>
    <n v="0"/>
    <x v="0"/>
    <x v="0"/>
    <x v="0"/>
    <x v="0"/>
    <x v="0"/>
    <m/>
    <x v="0"/>
    <x v="0"/>
    <n v="13"/>
    <m/>
    <n v="-1"/>
    <m/>
    <m/>
    <m/>
    <m/>
    <m/>
    <m/>
    <m/>
    <m/>
    <m/>
    <m/>
    <m/>
    <m/>
    <m/>
    <m/>
    <m/>
    <m/>
    <m/>
    <m/>
    <m/>
    <n v="-1"/>
    <n v="-1"/>
  </r>
  <r>
    <n v="6561"/>
    <x v="1"/>
    <s v="2019/3046"/>
    <s v="1 Gateside Road"/>
    <m/>
    <n v="527670"/>
    <n v="172194"/>
    <x v="1"/>
    <d v="2020-02-19T00:00:00"/>
    <m/>
    <n v="1"/>
    <n v="2"/>
    <n v="1"/>
    <n v="2"/>
    <n v="1"/>
    <x v="0"/>
    <s v="Alterations including erection of single storey rear/side extension and formation of first floor terrace in connection with conversion of property into 1 x 3-bedroom and 1 x 2-bedroom flats with associated bin and cycle storage."/>
    <s v="PF"/>
    <d v="2019-08-01T00:00:00"/>
    <d v="2019-09-05T00:00:00"/>
    <x v="1"/>
    <s v="Nil"/>
    <m/>
    <s v="BF"/>
    <s v="CON"/>
    <x v="0"/>
    <x v="2"/>
    <n v="2.3000000044703501E-2"/>
    <d v="2020-02-19T00:00:00"/>
    <x v="1"/>
    <m/>
    <x v="0"/>
    <s v="M"/>
    <m/>
    <m/>
    <n v="0"/>
    <n v="0"/>
    <n v="0"/>
    <n v="0"/>
    <n v="0"/>
    <n v="0"/>
    <n v="1"/>
    <n v="0"/>
    <n v="0"/>
    <n v="0"/>
    <n v="0"/>
    <n v="0"/>
    <n v="0"/>
    <n v="1"/>
    <n v="1"/>
    <n v="0"/>
    <n v="0"/>
    <n v="0"/>
    <n v="0"/>
    <n v="0"/>
    <n v="0"/>
    <n v="-1"/>
    <n v="0"/>
    <n v="0"/>
    <n v="0"/>
    <n v="0"/>
    <n v="0"/>
    <n v="0"/>
    <n v="0"/>
    <n v="0"/>
    <n v="0"/>
    <n v="0"/>
    <x v="0"/>
    <x v="0"/>
    <x v="0"/>
    <x v="0"/>
    <x v="0"/>
    <m/>
    <x v="0"/>
    <x v="0"/>
    <n v="14"/>
    <m/>
    <n v="0.5"/>
    <n v="0.5"/>
    <m/>
    <m/>
    <m/>
    <m/>
    <m/>
    <m/>
    <m/>
    <m/>
    <m/>
    <m/>
    <m/>
    <m/>
    <m/>
    <m/>
    <m/>
    <m/>
    <m/>
    <m/>
    <n v="1"/>
    <n v="1"/>
  </r>
  <r>
    <n v="6615"/>
    <x v="1"/>
    <s v="2017/2691"/>
    <s v="31 Cathles Road"/>
    <m/>
    <n v="528918"/>
    <n v="174074"/>
    <x v="6"/>
    <d v="2018-03-31T00:00:00"/>
    <m/>
    <n v="1"/>
    <n v="2"/>
    <n v="1"/>
    <n v="2"/>
    <n v="1"/>
    <x v="0"/>
    <s v="Alterations including erection of mansard extension to main rear roof and extension above part of two-storey back addition; single storey rear/side extension and excavation to create an enlarged basement including formation of side and rear lightwells with glass over in connection with conversion of property into 2 x 3-bedroom flats."/>
    <s v="PF"/>
    <d v="2017-06-06T00:00:00"/>
    <d v="2017-08-15T00:00:00"/>
    <x v="0"/>
    <s v="Nil"/>
    <m/>
    <s v="BF"/>
    <s v="MIX"/>
    <x v="0"/>
    <x v="2"/>
    <n v="1.09999999403954E-2"/>
    <d v="2018-03-31T00:00:00"/>
    <x v="0"/>
    <m/>
    <x v="0"/>
    <s v="M"/>
    <m/>
    <m/>
    <n v="0"/>
    <n v="0"/>
    <n v="0"/>
    <n v="0"/>
    <n v="0"/>
    <n v="0"/>
    <n v="0"/>
    <n v="1"/>
    <n v="0"/>
    <n v="0"/>
    <n v="0"/>
    <n v="0"/>
    <n v="0"/>
    <n v="0"/>
    <n v="2"/>
    <n v="0"/>
    <n v="0"/>
    <n v="0"/>
    <n v="0"/>
    <n v="0"/>
    <n v="0"/>
    <n v="-1"/>
    <n v="0"/>
    <n v="0"/>
    <n v="0"/>
    <n v="0"/>
    <n v="0"/>
    <n v="0"/>
    <n v="0"/>
    <n v="0"/>
    <n v="0"/>
    <n v="0"/>
    <x v="0"/>
    <x v="0"/>
    <x v="0"/>
    <x v="0"/>
    <x v="0"/>
    <m/>
    <x v="0"/>
    <x v="0"/>
    <n v="13"/>
    <m/>
    <n v="1"/>
    <m/>
    <m/>
    <m/>
    <m/>
    <m/>
    <m/>
    <m/>
    <m/>
    <m/>
    <m/>
    <m/>
    <m/>
    <m/>
    <m/>
    <m/>
    <m/>
    <m/>
    <m/>
    <m/>
    <n v="1"/>
    <n v="1"/>
  </r>
  <r>
    <n v="6629"/>
    <x v="1"/>
    <s v="2018/1083"/>
    <s v="98A,B &amp; C, 98 Pirbright Road"/>
    <m/>
    <n v="525145"/>
    <n v="173406"/>
    <x v="14"/>
    <d v="2019-05-01T00:00:00"/>
    <m/>
    <n v="1"/>
    <n v="2"/>
    <n v="1"/>
    <n v="2"/>
    <n v="1"/>
    <x v="0"/>
    <s v="Demolition of existing single storey dwelling and erection of 1x1 bedroom and 1x3-bedroom two-storey plus basement houses with associated bin storage."/>
    <s v="PF"/>
    <d v="2018-03-09T00:00:00"/>
    <d v="2018-05-25T00:00:00"/>
    <x v="0"/>
    <s v="Nil"/>
    <m/>
    <s v="Gdn"/>
    <s v="NB"/>
    <x v="0"/>
    <x v="5"/>
    <n v="1.4000000432133701E-2"/>
    <d v="2019-05-01T00:00:00"/>
    <x v="1"/>
    <m/>
    <x v="0"/>
    <s v="M"/>
    <m/>
    <m/>
    <n v="0"/>
    <n v="0"/>
    <n v="0"/>
    <n v="0"/>
    <n v="0"/>
    <n v="0"/>
    <n v="0"/>
    <n v="1"/>
    <n v="0"/>
    <n v="0"/>
    <n v="0"/>
    <n v="0"/>
    <n v="0"/>
    <n v="0"/>
    <n v="0"/>
    <n v="0"/>
    <n v="0"/>
    <n v="0"/>
    <n v="0"/>
    <n v="0"/>
    <n v="0"/>
    <n v="1"/>
    <n v="0"/>
    <n v="0"/>
    <n v="0"/>
    <n v="0"/>
    <n v="0"/>
    <n v="0"/>
    <n v="0"/>
    <n v="0"/>
    <n v="0"/>
    <n v="0"/>
    <x v="0"/>
    <x v="0"/>
    <x v="0"/>
    <x v="0"/>
    <x v="0"/>
    <m/>
    <x v="0"/>
    <x v="0"/>
    <n v="2"/>
    <m/>
    <n v="1"/>
    <m/>
    <m/>
    <m/>
    <m/>
    <m/>
    <m/>
    <m/>
    <m/>
    <m/>
    <m/>
    <m/>
    <m/>
    <m/>
    <m/>
    <m/>
    <m/>
    <m/>
    <m/>
    <m/>
    <n v="1"/>
    <n v="1"/>
  </r>
  <r>
    <n v="6631"/>
    <x v="1"/>
    <s v="2017/3458"/>
    <s v="27 Culverden Road"/>
    <m/>
    <n v="529120"/>
    <n v="172604"/>
    <x v="19"/>
    <d v="2019-09-16T00:00:00"/>
    <m/>
    <n v="3"/>
    <n v="1"/>
    <n v="-2"/>
    <n v="1"/>
    <n v="-2"/>
    <x v="0"/>
    <s v="Conversion of 3 flats to form one family dwelling  (6 bedrooms). Erection of single-storey side/rear extensions."/>
    <s v="PF"/>
    <d v="2017-06-15T00:00:00"/>
    <d v="2017-08-10T00:00:00"/>
    <x v="0"/>
    <s v="Nil"/>
    <m/>
    <s v="BF"/>
    <s v="CON"/>
    <x v="0"/>
    <x v="8"/>
    <n v="5.2000001072883599E-2"/>
    <d v="2019-09-16T00:00:00"/>
    <x v="1"/>
    <m/>
    <x v="0"/>
    <s v="M"/>
    <m/>
    <m/>
    <n v="0"/>
    <n v="0"/>
    <n v="0"/>
    <n v="0"/>
    <n v="0"/>
    <n v="0"/>
    <n v="-3"/>
    <n v="0"/>
    <n v="0"/>
    <n v="1"/>
    <n v="0"/>
    <n v="0"/>
    <n v="0"/>
    <n v="-3"/>
    <n v="0"/>
    <n v="0"/>
    <n v="0"/>
    <n v="0"/>
    <n v="0"/>
    <n v="0"/>
    <n v="0"/>
    <n v="0"/>
    <n v="0"/>
    <n v="1"/>
    <n v="0"/>
    <n v="0"/>
    <n v="0"/>
    <n v="0"/>
    <n v="0"/>
    <n v="0"/>
    <n v="0"/>
    <n v="0"/>
    <x v="0"/>
    <x v="0"/>
    <x v="0"/>
    <x v="0"/>
    <x v="0"/>
    <m/>
    <x v="0"/>
    <x v="0"/>
    <n v="13"/>
    <m/>
    <n v="-2"/>
    <m/>
    <m/>
    <m/>
    <m/>
    <m/>
    <m/>
    <m/>
    <m/>
    <m/>
    <m/>
    <m/>
    <m/>
    <m/>
    <m/>
    <m/>
    <m/>
    <m/>
    <m/>
    <m/>
    <n v="-2"/>
    <n v="-2"/>
  </r>
  <r>
    <n v="6633"/>
    <x v="1"/>
    <s v="2018/0494"/>
    <s v="1, 2 and 3 Crosland Place, Taybridge Road"/>
    <m/>
    <n v="528446"/>
    <n v="175694"/>
    <x v="9"/>
    <d v="2020-03-31T00:00:00"/>
    <m/>
    <n v="1"/>
    <n v="9"/>
    <n v="8"/>
    <n v="9"/>
    <n v="8"/>
    <x v="0"/>
    <s v="Demolition of existing part single/part two storey building (B1 Use Class and ancillary residential accommodation) and the erection of a part one/part two/part three storey building in connection with creation of 1 x 3-bedroom, 7 x 2-bedroom and 1 x 1-bedroom flats with associated cycle and refuse storage."/>
    <s v="PF"/>
    <d v="2018-01-29T00:00:00"/>
    <d v="2018-07-04T00:00:00"/>
    <x v="0"/>
    <s v="Nil"/>
    <m/>
    <s v="BF"/>
    <s v="NB"/>
    <x v="0"/>
    <x v="5"/>
    <n v="9.4999998807907104E-2"/>
    <d v="2020-03-31T00:00:00"/>
    <x v="1"/>
    <m/>
    <x v="0"/>
    <s v="M"/>
    <m/>
    <m/>
    <n v="0"/>
    <n v="0"/>
    <n v="0"/>
    <n v="1"/>
    <n v="0"/>
    <n v="1"/>
    <n v="6"/>
    <n v="1"/>
    <n v="0"/>
    <n v="0"/>
    <n v="0"/>
    <n v="0"/>
    <n v="1"/>
    <n v="6"/>
    <n v="1"/>
    <n v="0"/>
    <n v="0"/>
    <n v="0"/>
    <n v="0"/>
    <n v="0"/>
    <n v="0"/>
    <n v="0"/>
    <n v="0"/>
    <n v="0"/>
    <n v="0"/>
    <n v="0"/>
    <n v="0"/>
    <n v="0"/>
    <n v="0"/>
    <n v="0"/>
    <n v="0"/>
    <n v="0"/>
    <x v="0"/>
    <x v="0"/>
    <x v="0"/>
    <x v="0"/>
    <x v="0"/>
    <m/>
    <x v="0"/>
    <x v="0"/>
    <n v="3"/>
    <m/>
    <n v="4"/>
    <n v="4"/>
    <m/>
    <m/>
    <m/>
    <m/>
    <m/>
    <m/>
    <m/>
    <m/>
    <m/>
    <m/>
    <m/>
    <m/>
    <m/>
    <m/>
    <m/>
    <m/>
    <m/>
    <m/>
    <n v="8"/>
    <n v="8"/>
  </r>
  <r>
    <n v="6643"/>
    <x v="1"/>
    <s v="2017/3556"/>
    <s v="40 Lindore Road"/>
    <m/>
    <n v="527583"/>
    <n v="175000"/>
    <x v="4"/>
    <d v="2018-07-09T00:00:00"/>
    <m/>
    <n v="0"/>
    <n v="1"/>
    <n v="1"/>
    <n v="1"/>
    <n v="1"/>
    <x v="0"/>
    <s v="Alterations including erection of single storey rear/side extension, excavation to enlarge basement, excavation of rear garden and front and side lightwells in connection with creation of 1 x 2-bedroom flat."/>
    <s v="PF"/>
    <d v="2017-06-26T00:00:00"/>
    <d v="2017-10-24T00:00:00"/>
    <x v="0"/>
    <s v="Nil"/>
    <m/>
    <s v="BF"/>
    <s v="EXT"/>
    <x v="0"/>
    <x v="3"/>
    <n v="8.9999996125698107E-3"/>
    <d v="2018-07-09T00:00:00"/>
    <x v="0"/>
    <m/>
    <x v="0"/>
    <s v="M"/>
    <m/>
    <m/>
    <n v="0"/>
    <n v="0"/>
    <n v="0"/>
    <n v="0"/>
    <n v="0"/>
    <n v="0"/>
    <n v="1"/>
    <n v="0"/>
    <n v="0"/>
    <n v="0"/>
    <n v="0"/>
    <n v="0"/>
    <n v="0"/>
    <n v="1"/>
    <n v="0"/>
    <n v="0"/>
    <n v="0"/>
    <n v="0"/>
    <n v="0"/>
    <n v="0"/>
    <n v="0"/>
    <n v="0"/>
    <n v="0"/>
    <n v="0"/>
    <n v="0"/>
    <n v="0"/>
    <n v="0"/>
    <n v="0"/>
    <n v="0"/>
    <n v="0"/>
    <n v="0"/>
    <n v="0"/>
    <x v="0"/>
    <x v="0"/>
    <x v="0"/>
    <x v="0"/>
    <x v="0"/>
    <m/>
    <x v="0"/>
    <x v="0"/>
    <n v="13"/>
    <m/>
    <n v="1"/>
    <m/>
    <m/>
    <m/>
    <m/>
    <m/>
    <m/>
    <m/>
    <m/>
    <m/>
    <m/>
    <m/>
    <m/>
    <m/>
    <m/>
    <m/>
    <m/>
    <m/>
    <m/>
    <m/>
    <n v="1"/>
    <n v="1"/>
  </r>
  <r>
    <n v="6652"/>
    <x v="1"/>
    <s v="2018/2349"/>
    <s v="6 Selkirk Road"/>
    <s v="CoU"/>
    <n v="527521"/>
    <n v="171650"/>
    <x v="1"/>
    <d v="2019-07-22T00:00:00"/>
    <m/>
    <n v="0"/>
    <n v="1"/>
    <n v="1"/>
    <n v="2"/>
    <n v="0"/>
    <x v="0"/>
    <s v="Alterations including erection of part single, part two-storey side/rear extension; alterations and change of use of ground floor mixed retail/residential (Class A1/C3) to retail (A1) to front and residential (C3) to rear with creation of one self contained 1 bedroom flat; erection of mansard extension to main rear roof and extension above part of back addition in connection with creation of one 2 bedroom unit at first and second floor levels; creation of roof terrace with 1.7m high obscured screening over part of back addition."/>
    <s v="PF"/>
    <d v="2018-05-21T00:00:00"/>
    <d v="2018-07-03T00:00:00"/>
    <x v="0"/>
    <s v="Nil"/>
    <m/>
    <s v="BF"/>
    <s v="MIX"/>
    <x v="0"/>
    <x v="4"/>
    <n v="3.0000000260770299E-3"/>
    <d v="2019-07-22T00:00:00"/>
    <x v="1"/>
    <m/>
    <x v="0"/>
    <s v="M"/>
    <m/>
    <m/>
    <n v="0"/>
    <n v="0"/>
    <n v="0"/>
    <n v="0"/>
    <n v="0"/>
    <n v="1"/>
    <n v="0"/>
    <n v="0"/>
    <n v="0"/>
    <n v="0"/>
    <n v="0"/>
    <n v="0"/>
    <n v="1"/>
    <n v="0"/>
    <n v="0"/>
    <n v="0"/>
    <n v="0"/>
    <n v="0"/>
    <n v="0"/>
    <n v="0"/>
    <n v="0"/>
    <n v="0"/>
    <n v="0"/>
    <n v="0"/>
    <n v="0"/>
    <n v="0"/>
    <n v="0"/>
    <n v="0"/>
    <n v="0"/>
    <n v="0"/>
    <n v="0"/>
    <n v="0"/>
    <x v="4"/>
    <x v="0"/>
    <x v="0"/>
    <x v="0"/>
    <x v="0"/>
    <m/>
    <x v="0"/>
    <x v="0"/>
    <n v="13"/>
    <m/>
    <n v="1"/>
    <m/>
    <m/>
    <m/>
    <m/>
    <m/>
    <m/>
    <m/>
    <m/>
    <m/>
    <m/>
    <m/>
    <m/>
    <m/>
    <m/>
    <m/>
    <m/>
    <m/>
    <m/>
    <m/>
    <n v="1"/>
    <n v="1"/>
  </r>
  <r>
    <n v="6652"/>
    <x v="1"/>
    <s v="2018/2349"/>
    <s v="6 Selkirk Road"/>
    <s v="Extn to ex"/>
    <n v="527521"/>
    <n v="171650"/>
    <x v="1"/>
    <d v="2019-07-22T00:00:00"/>
    <m/>
    <n v="2"/>
    <n v="1"/>
    <n v="-1"/>
    <n v="2"/>
    <n v="0"/>
    <x v="0"/>
    <s v="Alterations including erection of part single, part two-storey side/rear extension; alterations and change of use of ground floor mixed retail/residential (Class A1/C3) to retail (A1) to front and residential (C3) to rear with creation of one self contained 1 bedroom flat; erection of mansard extension to main rear roof and extension above part of back addition in connection with creation of one 2 bedroom unit at first and second floor levels; creation of roof terrace with 1.7m high obscured screening over part of back addition."/>
    <s v="PF"/>
    <d v="2018-05-21T00:00:00"/>
    <d v="2018-07-03T00:00:00"/>
    <x v="0"/>
    <s v="Nil"/>
    <m/>
    <s v="BF"/>
    <s v="MIX"/>
    <x v="0"/>
    <x v="3"/>
    <n v="6.0000000521540598E-3"/>
    <d v="2019-07-22T00:00:00"/>
    <x v="1"/>
    <m/>
    <x v="0"/>
    <s v="M"/>
    <m/>
    <m/>
    <n v="0"/>
    <n v="0"/>
    <n v="0"/>
    <n v="0"/>
    <n v="-1"/>
    <n v="-1"/>
    <n v="1"/>
    <n v="0"/>
    <n v="0"/>
    <n v="0"/>
    <n v="0"/>
    <n v="-1"/>
    <n v="-1"/>
    <n v="1"/>
    <n v="0"/>
    <n v="0"/>
    <n v="0"/>
    <n v="0"/>
    <n v="0"/>
    <n v="0"/>
    <n v="0"/>
    <n v="0"/>
    <n v="0"/>
    <n v="0"/>
    <n v="0"/>
    <n v="0"/>
    <n v="0"/>
    <n v="0"/>
    <n v="0"/>
    <n v="0"/>
    <n v="0"/>
    <n v="0"/>
    <x v="4"/>
    <x v="0"/>
    <x v="0"/>
    <x v="0"/>
    <x v="0"/>
    <m/>
    <x v="0"/>
    <x v="0"/>
    <n v="13"/>
    <m/>
    <n v="-1"/>
    <m/>
    <m/>
    <m/>
    <m/>
    <m/>
    <m/>
    <m/>
    <m/>
    <m/>
    <m/>
    <m/>
    <m/>
    <m/>
    <m/>
    <m/>
    <m/>
    <m/>
    <m/>
    <m/>
    <n v="-1"/>
    <n v="-1"/>
  </r>
  <r>
    <n v="6666"/>
    <x v="1"/>
    <s v="2017/4370"/>
    <s v="26 Thurleigh Road"/>
    <m/>
    <n v="527769"/>
    <n v="174002"/>
    <x v="6"/>
    <d v="2020-03-31T00:00:00"/>
    <m/>
    <n v="3"/>
    <n v="1"/>
    <n v="-2"/>
    <n v="1"/>
    <n v="-2"/>
    <x v="0"/>
    <s v="Erection of dormer roof extensions to main rear roof and single-storey rear extension; _x000d__x000a_Excavation to create an enlarge basement including formation of front lightwell with grille over in connection with conversion of three flats into 5-bedroom house. Installation of replacement timber windows to front and removal first floor rear to timber french door and safety railings."/>
    <s v="PF"/>
    <d v="2017-08-16T00:00:00"/>
    <d v="2017-10-11T00:00:00"/>
    <x v="0"/>
    <s v="Nil"/>
    <m/>
    <s v="BF"/>
    <s v="MIX"/>
    <x v="0"/>
    <x v="8"/>
    <n v="2.0999999716877899E-2"/>
    <d v="2020-03-31T00:00:00"/>
    <x v="1"/>
    <m/>
    <x v="0"/>
    <s v="M"/>
    <m/>
    <m/>
    <n v="0"/>
    <n v="0"/>
    <n v="0"/>
    <n v="0"/>
    <n v="0"/>
    <n v="-2"/>
    <n v="-1"/>
    <n v="0"/>
    <n v="0"/>
    <n v="1"/>
    <n v="0"/>
    <n v="0"/>
    <n v="-2"/>
    <n v="-1"/>
    <n v="0"/>
    <n v="0"/>
    <n v="0"/>
    <n v="0"/>
    <n v="0"/>
    <n v="0"/>
    <n v="0"/>
    <n v="0"/>
    <n v="0"/>
    <n v="1"/>
    <n v="0"/>
    <n v="0"/>
    <n v="0"/>
    <n v="0"/>
    <n v="0"/>
    <n v="0"/>
    <n v="0"/>
    <n v="0"/>
    <x v="0"/>
    <x v="0"/>
    <x v="0"/>
    <x v="0"/>
    <x v="0"/>
    <m/>
    <x v="0"/>
    <x v="0"/>
    <n v="14"/>
    <m/>
    <n v="-1"/>
    <n v="-1"/>
    <m/>
    <m/>
    <m/>
    <m/>
    <m/>
    <m/>
    <m/>
    <m/>
    <m/>
    <m/>
    <m/>
    <m/>
    <m/>
    <m/>
    <m/>
    <m/>
    <m/>
    <m/>
    <n v="-2"/>
    <n v="-2"/>
  </r>
  <r>
    <n v="6668"/>
    <x v="1"/>
    <s v="2017/4487"/>
    <s v="96 Trinity Road"/>
    <m/>
    <n v="527779"/>
    <n v="172707"/>
    <x v="3"/>
    <d v="2019-03-25T00:00:00"/>
    <m/>
    <n v="1"/>
    <n v="3"/>
    <n v="2"/>
    <n v="3"/>
    <n v="2"/>
    <x v="0"/>
    <s v="Alterations including the erection of mansard extension to main rear roof (with french doors and safety railings) and single storey side/rear extension, in connection with conversion of property into 1 x 1 bedroom, 1 x 2-bedroom and 1 x 3-bedroom flats."/>
    <s v="PF"/>
    <d v="2017-08-08T00:00:00"/>
    <d v="2017-11-28T00:00:00"/>
    <x v="0"/>
    <s v="Nil"/>
    <m/>
    <s v="BF"/>
    <s v="MIX"/>
    <x v="0"/>
    <x v="2"/>
    <n v="1.7000000923872001E-2"/>
    <d v="2019-03-25T00:00:00"/>
    <x v="0"/>
    <m/>
    <x v="0"/>
    <s v="M"/>
    <m/>
    <m/>
    <n v="0"/>
    <n v="0"/>
    <n v="0"/>
    <n v="0"/>
    <n v="0"/>
    <n v="1"/>
    <n v="1"/>
    <n v="1"/>
    <n v="0"/>
    <n v="-1"/>
    <n v="0"/>
    <n v="0"/>
    <n v="1"/>
    <n v="1"/>
    <n v="1"/>
    <n v="0"/>
    <n v="0"/>
    <n v="0"/>
    <n v="0"/>
    <n v="0"/>
    <n v="0"/>
    <n v="0"/>
    <n v="0"/>
    <n v="-1"/>
    <n v="0"/>
    <n v="0"/>
    <n v="0"/>
    <n v="0"/>
    <n v="0"/>
    <n v="0"/>
    <n v="0"/>
    <n v="0"/>
    <x v="0"/>
    <x v="0"/>
    <x v="0"/>
    <x v="0"/>
    <x v="0"/>
    <m/>
    <x v="0"/>
    <x v="0"/>
    <n v="13"/>
    <m/>
    <n v="2"/>
    <m/>
    <m/>
    <m/>
    <m/>
    <m/>
    <m/>
    <m/>
    <m/>
    <m/>
    <m/>
    <m/>
    <m/>
    <m/>
    <m/>
    <m/>
    <m/>
    <m/>
    <m/>
    <m/>
    <n v="2"/>
    <n v="2"/>
  </r>
  <r>
    <n v="6681"/>
    <x v="1"/>
    <s v="2017/4420"/>
    <s v="Marion Court, Tooting High Street"/>
    <m/>
    <n v="527270"/>
    <n v="171198"/>
    <x v="1"/>
    <d v="2019-08-09T00:00:00"/>
    <m/>
    <n v="0"/>
    <n v="4"/>
    <n v="4"/>
    <n v="4"/>
    <n v="4"/>
    <x v="0"/>
    <s v="Erection of addititional floor of accommodation to form 4 x 2-bedroom flats."/>
    <s v="PF"/>
    <d v="2017-08-07T00:00:00"/>
    <d v="2017-10-24T00:00:00"/>
    <x v="0"/>
    <s v="Nil"/>
    <m/>
    <s v="BF"/>
    <s v="EXT"/>
    <x v="0"/>
    <x v="3"/>
    <n v="1.30000002682209E-2"/>
    <d v="2019-08-09T00:00:00"/>
    <x v="1"/>
    <m/>
    <x v="0"/>
    <s v="M"/>
    <m/>
    <m/>
    <n v="0"/>
    <n v="0"/>
    <n v="0"/>
    <n v="0"/>
    <n v="0"/>
    <n v="0"/>
    <n v="4"/>
    <n v="0"/>
    <n v="0"/>
    <n v="0"/>
    <n v="0"/>
    <n v="0"/>
    <n v="0"/>
    <n v="4"/>
    <n v="0"/>
    <n v="0"/>
    <n v="0"/>
    <n v="0"/>
    <n v="0"/>
    <n v="0"/>
    <n v="0"/>
    <n v="0"/>
    <n v="0"/>
    <n v="0"/>
    <n v="0"/>
    <n v="0"/>
    <n v="0"/>
    <n v="0"/>
    <n v="0"/>
    <n v="0"/>
    <n v="0"/>
    <n v="0"/>
    <x v="0"/>
    <x v="0"/>
    <x v="0"/>
    <x v="0"/>
    <x v="0"/>
    <m/>
    <x v="0"/>
    <x v="0"/>
    <n v="13"/>
    <m/>
    <n v="4"/>
    <m/>
    <m/>
    <m/>
    <m/>
    <m/>
    <m/>
    <m/>
    <m/>
    <m/>
    <m/>
    <m/>
    <m/>
    <m/>
    <m/>
    <m/>
    <m/>
    <m/>
    <m/>
    <m/>
    <n v="4"/>
    <n v="4"/>
  </r>
  <r>
    <n v="6703"/>
    <x v="1"/>
    <s v="2017/4170"/>
    <s v="155 Trevelyan Road"/>
    <m/>
    <n v="527632"/>
    <n v="170817"/>
    <x v="10"/>
    <d v="2017-11-27T00:00:00"/>
    <m/>
    <n v="2"/>
    <n v="1"/>
    <n v="-1"/>
    <n v="1"/>
    <n v="-1"/>
    <x v="0"/>
    <s v="Alterations including erection of mansard roof extension to main rear roof (with French doors and safety railings) and extension above part of two-storey back addition. Erection of single-storey rear/side extensions in connection with conversion of property into 5 bedroom single dwelling."/>
    <s v="PF"/>
    <d v="2017-08-04T00:00:00"/>
    <d v="2017-09-28T00:00:00"/>
    <x v="0"/>
    <s v="Nil"/>
    <m/>
    <s v="BF"/>
    <s v="CON"/>
    <x v="0"/>
    <x v="8"/>
    <n v="1.7000000923872001E-2"/>
    <d v="2017-11-27T00:00:00"/>
    <x v="0"/>
    <m/>
    <x v="0"/>
    <s v="M"/>
    <m/>
    <m/>
    <n v="0"/>
    <n v="0"/>
    <n v="0"/>
    <n v="0"/>
    <n v="0"/>
    <n v="-2"/>
    <n v="0"/>
    <n v="0"/>
    <n v="0"/>
    <n v="1"/>
    <n v="0"/>
    <n v="0"/>
    <n v="-2"/>
    <n v="0"/>
    <n v="0"/>
    <n v="0"/>
    <n v="0"/>
    <n v="0"/>
    <n v="0"/>
    <n v="0"/>
    <n v="0"/>
    <n v="0"/>
    <n v="0"/>
    <n v="1"/>
    <n v="0"/>
    <n v="0"/>
    <n v="0"/>
    <n v="0"/>
    <n v="0"/>
    <n v="0"/>
    <n v="0"/>
    <n v="0"/>
    <x v="0"/>
    <x v="0"/>
    <x v="0"/>
    <x v="0"/>
    <x v="0"/>
    <m/>
    <x v="0"/>
    <x v="0"/>
    <n v="13"/>
    <m/>
    <n v="-1"/>
    <m/>
    <m/>
    <m/>
    <m/>
    <m/>
    <m/>
    <m/>
    <m/>
    <m/>
    <m/>
    <m/>
    <m/>
    <m/>
    <m/>
    <m/>
    <m/>
    <m/>
    <m/>
    <m/>
    <n v="-1"/>
    <n v="-1"/>
  </r>
  <r>
    <n v="6715"/>
    <x v="1"/>
    <s v="2018/5449"/>
    <s v="19 Devereux Road"/>
    <m/>
    <n v="527859"/>
    <n v="174269"/>
    <x v="4"/>
    <d v="2019-03-31T00:00:00"/>
    <m/>
    <n v="2"/>
    <n v="2"/>
    <n v="0"/>
    <n v="2"/>
    <n v="0"/>
    <x v="0"/>
    <s v="Erection of mansard roof extension to main rear roof (with french doors and safety railings) and rooflights to front. Alterations to fenestration of three storey back addition. Alterations and extensions in connection with reconfiguration of layout of Flats C and D."/>
    <s v="PF"/>
    <d v="2018-11-28T00:00:00"/>
    <d v="2019-03-04T00:00:00"/>
    <x v="0"/>
    <s v="Nil"/>
    <m/>
    <s v="BF"/>
    <s v="CON"/>
    <x v="0"/>
    <x v="3"/>
    <n v="1.09999999403954E-2"/>
    <d v="2019-03-31T00:00:00"/>
    <x v="0"/>
    <m/>
    <x v="0"/>
    <s v="M"/>
    <m/>
    <m/>
    <n v="0"/>
    <n v="0"/>
    <n v="0"/>
    <n v="0"/>
    <n v="0"/>
    <n v="-2"/>
    <n v="2"/>
    <n v="0"/>
    <n v="0"/>
    <n v="0"/>
    <n v="0"/>
    <n v="0"/>
    <n v="-2"/>
    <n v="2"/>
    <n v="0"/>
    <n v="0"/>
    <n v="0"/>
    <n v="0"/>
    <n v="0"/>
    <n v="0"/>
    <n v="0"/>
    <n v="0"/>
    <n v="0"/>
    <n v="0"/>
    <n v="0"/>
    <n v="0"/>
    <n v="0"/>
    <n v="0"/>
    <n v="0"/>
    <n v="0"/>
    <n v="0"/>
    <n v="0"/>
    <x v="0"/>
    <x v="0"/>
    <x v="0"/>
    <x v="0"/>
    <x v="0"/>
    <m/>
    <x v="0"/>
    <x v="0"/>
    <n v="13"/>
    <m/>
    <n v="0"/>
    <m/>
    <m/>
    <m/>
    <m/>
    <m/>
    <m/>
    <m/>
    <m/>
    <m/>
    <m/>
    <m/>
    <m/>
    <m/>
    <m/>
    <m/>
    <m/>
    <m/>
    <m/>
    <m/>
    <n v="0"/>
    <n v="0"/>
  </r>
  <r>
    <n v="6726"/>
    <x v="1"/>
    <s v="2017/6926"/>
    <s v="65 Balham High Road"/>
    <m/>
    <n v="528680"/>
    <n v="173507"/>
    <x v="6"/>
    <d v="2019-07-08T00:00:00"/>
    <m/>
    <n v="0"/>
    <n v="1"/>
    <n v="1"/>
    <n v="1"/>
    <n v="1"/>
    <x v="0"/>
    <s v="Alterations including erection of two storey rear/side extension in connection with change of use from shop (Class A1) to restaurant (Class A3) and residential (Class C3) to create a new restaurant and 1 x two storey (plus basement and two lightwells) 3-bedroom house. Installation of high level extraction flue and one A/C unit to rear."/>
    <s v="PF"/>
    <d v="2017-12-18T00:00:00"/>
    <d v="2018-04-09T00:00:00"/>
    <x v="0"/>
    <s v="Nil"/>
    <m/>
    <s v="BF"/>
    <s v="MIX"/>
    <x v="0"/>
    <x v="4"/>
    <n v="8.0000003799796104E-3"/>
    <d v="2019-07-08T00:00:00"/>
    <x v="1"/>
    <m/>
    <x v="0"/>
    <s v="M"/>
    <m/>
    <m/>
    <n v="0"/>
    <n v="0"/>
    <n v="0"/>
    <n v="0"/>
    <n v="0"/>
    <n v="0"/>
    <n v="0"/>
    <n v="1"/>
    <n v="0"/>
    <n v="0"/>
    <n v="0"/>
    <n v="0"/>
    <n v="0"/>
    <n v="0"/>
    <n v="1"/>
    <n v="0"/>
    <n v="0"/>
    <n v="0"/>
    <n v="0"/>
    <n v="0"/>
    <n v="0"/>
    <n v="0"/>
    <n v="0"/>
    <n v="0"/>
    <n v="0"/>
    <n v="0"/>
    <n v="0"/>
    <n v="0"/>
    <n v="0"/>
    <n v="0"/>
    <n v="0"/>
    <n v="0"/>
    <x v="5"/>
    <x v="0"/>
    <x v="0"/>
    <x v="0"/>
    <x v="0"/>
    <m/>
    <x v="0"/>
    <x v="0"/>
    <n v="13"/>
    <m/>
    <n v="1"/>
    <m/>
    <m/>
    <m/>
    <m/>
    <m/>
    <m/>
    <m/>
    <m/>
    <m/>
    <m/>
    <m/>
    <m/>
    <m/>
    <m/>
    <m/>
    <m/>
    <m/>
    <m/>
    <m/>
    <n v="1"/>
    <n v="1"/>
  </r>
  <r>
    <n v="6729"/>
    <x v="1"/>
    <s v="2018/0932"/>
    <s v="28a Northcote Road"/>
    <m/>
    <n v="527455"/>
    <n v="175008"/>
    <x v="4"/>
    <d v="2020-03-31T00:00:00"/>
    <m/>
    <n v="1"/>
    <n v="2"/>
    <n v="1"/>
    <n v="3"/>
    <n v="1"/>
    <x v="0"/>
    <s v="Alterations including erection of a dormer roof extension to main rear roof, erection of part single, part two, part three-storey rear/side extension with rear access and formation of a roof terrace with 1.7m high obscured glass surround at second floor level in connection with conversion into 1 x 2-bedroom and 1 x 1 bedroom flats."/>
    <s v="PF"/>
    <d v="2018-03-06T00:00:00"/>
    <d v="2018-06-06T00:00:00"/>
    <x v="0"/>
    <s v="Nil"/>
    <m/>
    <s v="BF"/>
    <s v="MIX"/>
    <x v="0"/>
    <x v="0"/>
    <n v="7.0000002160668399E-3"/>
    <d v="2020-03-31T00:00:00"/>
    <x v="1"/>
    <m/>
    <x v="0"/>
    <s v="M"/>
    <m/>
    <m/>
    <n v="0"/>
    <n v="0"/>
    <n v="0"/>
    <n v="0"/>
    <n v="0"/>
    <n v="1"/>
    <n v="1"/>
    <n v="-1"/>
    <n v="0"/>
    <n v="0"/>
    <n v="0"/>
    <n v="0"/>
    <n v="1"/>
    <n v="1"/>
    <n v="-1"/>
    <n v="0"/>
    <n v="0"/>
    <n v="0"/>
    <n v="0"/>
    <n v="0"/>
    <n v="0"/>
    <n v="0"/>
    <n v="0"/>
    <n v="0"/>
    <n v="0"/>
    <n v="0"/>
    <n v="0"/>
    <n v="0"/>
    <n v="0"/>
    <n v="0"/>
    <n v="0"/>
    <n v="0"/>
    <x v="1"/>
    <x v="0"/>
    <x v="0"/>
    <x v="0"/>
    <x v="0"/>
    <m/>
    <x v="0"/>
    <x v="0"/>
    <n v="14"/>
    <m/>
    <n v="0.5"/>
    <n v="0.5"/>
    <m/>
    <m/>
    <m/>
    <m/>
    <m/>
    <m/>
    <m/>
    <m/>
    <m/>
    <m/>
    <m/>
    <m/>
    <m/>
    <m/>
    <m/>
    <m/>
    <m/>
    <m/>
    <n v="1"/>
    <n v="1"/>
  </r>
  <r>
    <n v="6729"/>
    <x v="1"/>
    <s v="2018/0932"/>
    <s v="28a Northcote Road"/>
    <m/>
    <n v="527455"/>
    <n v="175008"/>
    <x v="4"/>
    <d v="2020-03-31T00:00:00"/>
    <m/>
    <n v="1"/>
    <n v="1"/>
    <n v="0"/>
    <n v="3"/>
    <n v="1"/>
    <x v="0"/>
    <s v="Alterations including erection of a dormer roof extension to main rear roof, erection of part single, part two, part three-storey rear/side extension with rear access and formation of a roof terrace with 1.7m high obscured glass surround at second floor level in connection with conversion into 1 x 2-bedroom and 1 x 1 bedroom flats."/>
    <s v="PF"/>
    <d v="2018-03-06T00:00:00"/>
    <d v="2018-06-06T00:00:00"/>
    <x v="0"/>
    <s v="Nil"/>
    <m/>
    <s v="BF"/>
    <s v="MIX"/>
    <x v="0"/>
    <x v="0"/>
    <n v="3.0000000260770299E-3"/>
    <d v="2020-03-31T00:00:00"/>
    <x v="1"/>
    <m/>
    <x v="0"/>
    <s v="M"/>
    <m/>
    <m/>
    <n v="0"/>
    <n v="0"/>
    <n v="0"/>
    <n v="0"/>
    <n v="0"/>
    <n v="0"/>
    <n v="1"/>
    <n v="-1"/>
    <n v="0"/>
    <n v="0"/>
    <n v="0"/>
    <n v="0"/>
    <n v="0"/>
    <n v="1"/>
    <n v="-1"/>
    <n v="0"/>
    <n v="0"/>
    <n v="0"/>
    <n v="0"/>
    <n v="0"/>
    <n v="0"/>
    <n v="0"/>
    <n v="0"/>
    <n v="0"/>
    <n v="0"/>
    <n v="0"/>
    <n v="0"/>
    <n v="0"/>
    <n v="0"/>
    <n v="0"/>
    <n v="0"/>
    <n v="0"/>
    <x v="1"/>
    <x v="0"/>
    <x v="0"/>
    <x v="0"/>
    <x v="0"/>
    <m/>
    <x v="0"/>
    <x v="0"/>
    <n v="14"/>
    <m/>
    <n v="0"/>
    <n v="0"/>
    <m/>
    <m/>
    <m/>
    <m/>
    <m/>
    <m/>
    <m/>
    <m/>
    <m/>
    <m/>
    <m/>
    <m/>
    <m/>
    <m/>
    <m/>
    <m/>
    <m/>
    <m/>
    <n v="0"/>
    <n v="0"/>
  </r>
  <r>
    <n v="6730"/>
    <x v="1"/>
    <s v="2017/5682"/>
    <s v="116-118 Upper Richmond Road"/>
    <m/>
    <n v="524317"/>
    <n v="174958"/>
    <x v="0"/>
    <d v="2019-05-13T00:00:00"/>
    <m/>
    <n v="2"/>
    <n v="2"/>
    <n v="0"/>
    <n v="4"/>
    <n v="2"/>
    <x v="0"/>
    <s v="Demolition of rear workshop to accommodate the erection of a three-storey rear extension with rear external terraces; internal layout changes to form 1 x 1-bedroom, 2 x 2-bedroom and 1 x 3-bedroom flats; creation a roof terrace above rear of 116; insertion of roof light in rear roof slope; alterations to the shop fronts to accommodate residential access; erection of bike and bin stores to the rear; conversion of the two ground floor units into one."/>
    <s v="PF"/>
    <d v="2017-10-19T00:00:00"/>
    <d v="2018-03-29T00:00:00"/>
    <x v="0"/>
    <s v="Nil"/>
    <m/>
    <s v="BF"/>
    <s v="MIX"/>
    <x v="0"/>
    <x v="5"/>
    <n v="8.9999996125698107E-3"/>
    <d v="2019-05-13T00:00:00"/>
    <x v="1"/>
    <m/>
    <x v="0"/>
    <s v="M"/>
    <m/>
    <m/>
    <n v="0"/>
    <n v="0"/>
    <n v="0"/>
    <n v="0"/>
    <n v="0"/>
    <n v="1"/>
    <n v="-2"/>
    <n v="1"/>
    <n v="0"/>
    <n v="0"/>
    <n v="0"/>
    <n v="0"/>
    <n v="1"/>
    <n v="-2"/>
    <n v="1"/>
    <n v="0"/>
    <n v="0"/>
    <n v="0"/>
    <n v="0"/>
    <n v="0"/>
    <n v="0"/>
    <n v="0"/>
    <n v="0"/>
    <n v="0"/>
    <n v="0"/>
    <n v="0"/>
    <n v="0"/>
    <n v="0"/>
    <n v="0"/>
    <n v="0"/>
    <n v="0"/>
    <n v="0"/>
    <x v="2"/>
    <x v="0"/>
    <x v="0"/>
    <x v="0"/>
    <x v="1"/>
    <m/>
    <x v="0"/>
    <x v="0"/>
    <n v="13"/>
    <m/>
    <n v="0"/>
    <m/>
    <m/>
    <m/>
    <m/>
    <m/>
    <m/>
    <m/>
    <m/>
    <m/>
    <m/>
    <m/>
    <m/>
    <m/>
    <m/>
    <m/>
    <m/>
    <m/>
    <m/>
    <m/>
    <n v="0"/>
    <n v="0"/>
  </r>
  <r>
    <n v="6730"/>
    <x v="1"/>
    <s v="2017/5682"/>
    <s v="116-118 Upper Richmond Road"/>
    <m/>
    <n v="524317"/>
    <n v="174958"/>
    <x v="0"/>
    <d v="2019-05-13T00:00:00"/>
    <m/>
    <n v="0"/>
    <n v="2"/>
    <n v="2"/>
    <n v="4"/>
    <n v="2"/>
    <x v="0"/>
    <s v="Demolition of rear workshop to accommodate the erection of a three-storey rear extension with rear external terraces; internal layout changes to form 1 x 1-bedroom, 2 x 2-bedroom and 1 x 3-bedroom flats; creation a roof terrace above rear of 116; insertion of roof light in rear roof slope; alterations to the shop fronts to accommodate residential access; erection of bike and bin stores to the rear; conversion of the two ground floor units into one."/>
    <s v="PF"/>
    <d v="2017-10-19T00:00:00"/>
    <d v="2018-03-29T00:00:00"/>
    <x v="0"/>
    <s v="Nil"/>
    <m/>
    <s v="BF"/>
    <s v="MIX"/>
    <x v="0"/>
    <x v="0"/>
    <n v="9.9999997764825804E-3"/>
    <d v="2019-05-13T00:00:00"/>
    <x v="1"/>
    <m/>
    <x v="0"/>
    <s v="M"/>
    <m/>
    <m/>
    <n v="0"/>
    <n v="0"/>
    <n v="0"/>
    <n v="0"/>
    <n v="0"/>
    <n v="0"/>
    <n v="2"/>
    <n v="0"/>
    <n v="0"/>
    <n v="0"/>
    <n v="0"/>
    <n v="0"/>
    <n v="0"/>
    <n v="2"/>
    <n v="0"/>
    <n v="0"/>
    <n v="0"/>
    <n v="0"/>
    <n v="0"/>
    <n v="0"/>
    <n v="0"/>
    <n v="0"/>
    <n v="0"/>
    <n v="0"/>
    <n v="0"/>
    <n v="0"/>
    <n v="0"/>
    <n v="0"/>
    <n v="0"/>
    <n v="0"/>
    <n v="0"/>
    <n v="0"/>
    <x v="2"/>
    <x v="0"/>
    <x v="0"/>
    <x v="0"/>
    <x v="1"/>
    <m/>
    <x v="0"/>
    <x v="0"/>
    <n v="13"/>
    <m/>
    <n v="2"/>
    <m/>
    <m/>
    <m/>
    <m/>
    <m/>
    <m/>
    <m/>
    <m/>
    <m/>
    <m/>
    <m/>
    <m/>
    <m/>
    <m/>
    <m/>
    <m/>
    <m/>
    <m/>
    <m/>
    <n v="2"/>
    <n v="2"/>
  </r>
  <r>
    <n v="6757"/>
    <x v="1"/>
    <s v="2018/4664"/>
    <s v="92 Putney Bridge Road"/>
    <m/>
    <n v="525222"/>
    <n v="174998"/>
    <x v="2"/>
    <d v="2019-11-25T00:00:00"/>
    <m/>
    <n v="0"/>
    <n v="14"/>
    <n v="14"/>
    <n v="19"/>
    <n v="19"/>
    <x v="1"/>
    <s v="Demolition of existing building and redevelopment of the site to provide a five-storey building comprising 371 sq.m. of office use (Class B1a) at ground floor lever, and 19 residential units with balconies on the upper floors, together with associated cycle parking, landscaping and infrastructure/public realm works."/>
    <s v="PFLA"/>
    <d v="2018-10-01T00:00:00"/>
    <d v="2019-05-17T00:00:00"/>
    <x v="1"/>
    <s v="Nil"/>
    <m/>
    <s v="BF"/>
    <s v="NB"/>
    <x v="1"/>
    <x v="7"/>
    <n v="4.80000004172325E-2"/>
    <d v="2019-11-25T00:00:00"/>
    <x v="1"/>
    <m/>
    <x v="0"/>
    <s v="M"/>
    <m/>
    <m/>
    <n v="0"/>
    <n v="0"/>
    <n v="0"/>
    <n v="1"/>
    <n v="0"/>
    <n v="7"/>
    <n v="7"/>
    <n v="0"/>
    <n v="0"/>
    <n v="0"/>
    <n v="0"/>
    <n v="0"/>
    <n v="7"/>
    <n v="7"/>
    <n v="0"/>
    <n v="0"/>
    <n v="0"/>
    <n v="0"/>
    <n v="0"/>
    <n v="0"/>
    <n v="0"/>
    <n v="0"/>
    <n v="0"/>
    <n v="0"/>
    <n v="0"/>
    <n v="0"/>
    <n v="0"/>
    <n v="0"/>
    <n v="0"/>
    <n v="0"/>
    <n v="0"/>
    <n v="0"/>
    <x v="0"/>
    <x v="0"/>
    <x v="1"/>
    <x v="0"/>
    <x v="0"/>
    <m/>
    <x v="0"/>
    <x v="0"/>
    <n v="3"/>
    <m/>
    <n v="7"/>
    <n v="7"/>
    <m/>
    <m/>
    <m/>
    <m/>
    <m/>
    <m/>
    <m/>
    <m/>
    <m/>
    <m/>
    <m/>
    <m/>
    <m/>
    <m/>
    <m/>
    <m/>
    <m/>
    <m/>
    <n v="14"/>
    <n v="14"/>
  </r>
  <r>
    <n v="6757"/>
    <x v="1"/>
    <s v="2018/4664"/>
    <s v="92 Putney Bridge Road"/>
    <m/>
    <n v="525222"/>
    <n v="174998"/>
    <x v="2"/>
    <d v="2019-11-25T00:00:00"/>
    <m/>
    <n v="0"/>
    <n v="5"/>
    <n v="5"/>
    <n v="19"/>
    <n v="19"/>
    <x v="1"/>
    <s v="Demolition of existing building and redevelopment of the site to provide a five-storey building comprising 371 sq.m. of office use (Class B1a) at ground floor lever, and 19 residential units with balconies on the upper floors, together with associated cycle parking, landscaping and infrastructure/public realm works."/>
    <s v="PFLA"/>
    <d v="2018-10-01T00:00:00"/>
    <d v="2019-05-17T00:00:00"/>
    <x v="1"/>
    <s v="Nil"/>
    <m/>
    <s v="BF"/>
    <s v="NB"/>
    <x v="1"/>
    <x v="7"/>
    <n v="1.4999999664723899E-2"/>
    <d v="2019-11-25T00:00:00"/>
    <x v="1"/>
    <m/>
    <x v="1"/>
    <s v="ISO"/>
    <m/>
    <m/>
    <n v="0"/>
    <n v="0"/>
    <n v="0"/>
    <n v="1"/>
    <n v="0"/>
    <n v="3"/>
    <n v="2"/>
    <n v="0"/>
    <n v="0"/>
    <n v="0"/>
    <n v="0"/>
    <n v="0"/>
    <n v="3"/>
    <n v="2"/>
    <n v="0"/>
    <n v="0"/>
    <n v="0"/>
    <n v="0"/>
    <n v="0"/>
    <n v="0"/>
    <n v="0"/>
    <n v="0"/>
    <n v="0"/>
    <n v="0"/>
    <n v="0"/>
    <n v="0"/>
    <n v="0"/>
    <n v="0"/>
    <n v="0"/>
    <n v="0"/>
    <n v="0"/>
    <n v="0"/>
    <x v="0"/>
    <x v="0"/>
    <x v="1"/>
    <x v="0"/>
    <x v="0"/>
    <m/>
    <x v="0"/>
    <x v="0"/>
    <n v="3"/>
    <m/>
    <n v="2.5"/>
    <n v="2.5"/>
    <m/>
    <m/>
    <m/>
    <m/>
    <m/>
    <m/>
    <m/>
    <m/>
    <m/>
    <m/>
    <m/>
    <m/>
    <m/>
    <m/>
    <m/>
    <m/>
    <m/>
    <m/>
    <n v="5"/>
    <n v="5"/>
  </r>
  <r>
    <n v="6764"/>
    <x v="1"/>
    <s v="2017/6531"/>
    <s v="Site adjacent to 1-8, 1-8 Arnal Crescent"/>
    <m/>
    <n v="524365"/>
    <n v="173954"/>
    <x v="18"/>
    <d v="2019-10-21T00:00:00"/>
    <m/>
    <n v="0"/>
    <n v="4"/>
    <n v="4"/>
    <n v="4"/>
    <n v="4"/>
    <x v="0"/>
    <s v="Erection of four-storey building to provide 3 x 2-bedroom and 1 x 1-bedroom flats with balconies and associated landscaping and refuse/cycle storage (revised daylight/sunlight report)."/>
    <s v="PF"/>
    <d v="2017-12-28T00:00:00"/>
    <d v="2018-05-25T00:00:00"/>
    <x v="0"/>
    <s v="Nil"/>
    <m/>
    <s v="BF"/>
    <s v="NB"/>
    <x v="0"/>
    <x v="5"/>
    <n v="2.9999999329447701E-2"/>
    <d v="2019-10-21T00:00:00"/>
    <x v="1"/>
    <m/>
    <x v="2"/>
    <s v="AC"/>
    <m/>
    <m/>
    <n v="0"/>
    <n v="0"/>
    <n v="0"/>
    <n v="0"/>
    <n v="0"/>
    <n v="1"/>
    <n v="3"/>
    <n v="0"/>
    <n v="0"/>
    <n v="0"/>
    <n v="0"/>
    <n v="0"/>
    <n v="1"/>
    <n v="3"/>
    <n v="0"/>
    <n v="0"/>
    <n v="0"/>
    <n v="0"/>
    <n v="0"/>
    <n v="0"/>
    <n v="0"/>
    <n v="0"/>
    <n v="0"/>
    <n v="0"/>
    <n v="0"/>
    <n v="0"/>
    <n v="0"/>
    <n v="0"/>
    <n v="0"/>
    <n v="0"/>
    <n v="0"/>
    <n v="0"/>
    <x v="0"/>
    <x v="0"/>
    <x v="0"/>
    <x v="0"/>
    <x v="0"/>
    <m/>
    <x v="0"/>
    <x v="0"/>
    <n v="3"/>
    <m/>
    <n v="2"/>
    <n v="2"/>
    <m/>
    <m/>
    <m/>
    <m/>
    <m/>
    <m/>
    <m/>
    <m/>
    <m/>
    <m/>
    <m/>
    <m/>
    <m/>
    <m/>
    <m/>
    <m/>
    <m/>
    <m/>
    <n v="4"/>
    <n v="4"/>
  </r>
  <r>
    <n v="6766"/>
    <x v="1"/>
    <s v="2017/6864"/>
    <s v="Land north of Grant road incl parcels of land on c/o Plough/Winstanley, Grant Road"/>
    <s v="Block A"/>
    <n v="526808"/>
    <n v="175510"/>
    <x v="16"/>
    <d v="2018-12-10T00:00:00"/>
    <m/>
    <n v="0"/>
    <n v="46"/>
    <n v="46"/>
    <n v="139"/>
    <n v="139"/>
    <x v="1"/>
    <s v="Demolition works and construction of three buildings ranging from 6 to 20 storeys in height comprising mixed use development including  a total of 139 residential units (Class C3), a 5175sqm School (Class D1) and Chapel (Class D1) and 219 sqm of flexible commercial uses (Class A1, A2, A3, B1, D1 and D2) together with landscaping, play area and open space, a new Multi Use Games Area (MUGA), car parking, the realignment of Thomas Baines Road and other associated works&quot;."/>
    <s v="PFLA"/>
    <d v="2017-12-18T00:00:00"/>
    <d v="2018-08-01T00:00:00"/>
    <x v="0"/>
    <s v="Nil"/>
    <m/>
    <s v="BF"/>
    <s v="NB"/>
    <x v="1"/>
    <x v="7"/>
    <n v="7.9999998211860698E-2"/>
    <d v="2018-12-10T00:00:00"/>
    <x v="0"/>
    <m/>
    <x v="2"/>
    <s v="AC"/>
    <s v="4.1.7"/>
    <m/>
    <n v="0"/>
    <n v="41"/>
    <n v="0"/>
    <n v="5"/>
    <n v="0"/>
    <n v="25"/>
    <n v="21"/>
    <n v="0"/>
    <n v="0"/>
    <n v="0"/>
    <n v="0"/>
    <n v="0"/>
    <n v="25"/>
    <n v="21"/>
    <n v="0"/>
    <n v="0"/>
    <n v="0"/>
    <n v="0"/>
    <n v="0"/>
    <n v="0"/>
    <n v="0"/>
    <n v="0"/>
    <n v="0"/>
    <n v="0"/>
    <n v="0"/>
    <n v="0"/>
    <n v="0"/>
    <n v="0"/>
    <n v="0"/>
    <n v="0"/>
    <n v="0"/>
    <n v="0"/>
    <x v="0"/>
    <x v="0"/>
    <x v="0"/>
    <x v="1"/>
    <x v="0"/>
    <m/>
    <x v="0"/>
    <x v="0"/>
    <n v="7"/>
    <m/>
    <n v="46"/>
    <m/>
    <m/>
    <m/>
    <m/>
    <m/>
    <m/>
    <m/>
    <m/>
    <m/>
    <m/>
    <m/>
    <m/>
    <m/>
    <m/>
    <m/>
    <m/>
    <m/>
    <m/>
    <m/>
    <n v="46"/>
    <n v="46"/>
  </r>
  <r>
    <n v="6766"/>
    <x v="1"/>
    <s v="2017/6864"/>
    <s v="Land north of Grant road incl parcels of land on c/o Plough/Winstanley, Grant Road"/>
    <s v="Block C"/>
    <n v="526808"/>
    <n v="175510"/>
    <x v="16"/>
    <d v="2018-12-10T00:00:00"/>
    <m/>
    <n v="0"/>
    <n v="93"/>
    <n v="93"/>
    <n v="139"/>
    <n v="139"/>
    <x v="1"/>
    <s v="Demolition works and construction of three buildings ranging from 6 to 20 storeys in height comprising mixed use development including  a total of 139 residential units (Class C3), a 5175sqm School (Class D1) and Chapel (Class D1) and 219 sqm of flexible commercial uses (Class A1, A2, A3, B1, D1 and D2) together with landscaping, play area and open space, a new Multi Use Games Area (MUGA), car parking, the realignment of Thomas Baines Road and other associated works&quot;."/>
    <s v="PFLA"/>
    <d v="2017-12-18T00:00:00"/>
    <d v="2018-08-01T00:00:00"/>
    <x v="0"/>
    <s v="Nil"/>
    <m/>
    <s v="BF"/>
    <s v="NB"/>
    <x v="1"/>
    <x v="7"/>
    <n v="0.16200000047683699"/>
    <d v="2018-12-10T00:00:00"/>
    <x v="0"/>
    <m/>
    <x v="0"/>
    <s v="M"/>
    <s v="4.1.7"/>
    <m/>
    <n v="0"/>
    <n v="84"/>
    <n v="0"/>
    <n v="9"/>
    <n v="3"/>
    <n v="30"/>
    <n v="52"/>
    <n v="8"/>
    <n v="0"/>
    <n v="0"/>
    <n v="0"/>
    <n v="3"/>
    <n v="30"/>
    <n v="52"/>
    <n v="8"/>
    <n v="0"/>
    <n v="0"/>
    <n v="0"/>
    <n v="0"/>
    <n v="0"/>
    <n v="0"/>
    <n v="0"/>
    <n v="0"/>
    <n v="0"/>
    <n v="0"/>
    <n v="0"/>
    <n v="0"/>
    <n v="0"/>
    <n v="0"/>
    <n v="0"/>
    <n v="0"/>
    <n v="0"/>
    <x v="0"/>
    <x v="0"/>
    <x v="0"/>
    <x v="1"/>
    <x v="0"/>
    <m/>
    <x v="0"/>
    <x v="0"/>
    <n v="7"/>
    <m/>
    <n v="93"/>
    <m/>
    <m/>
    <m/>
    <m/>
    <m/>
    <m/>
    <m/>
    <m/>
    <m/>
    <m/>
    <m/>
    <m/>
    <m/>
    <m/>
    <m/>
    <m/>
    <m/>
    <m/>
    <m/>
    <n v="93"/>
    <n v="93"/>
  </r>
  <r>
    <n v="6774"/>
    <x v="1"/>
    <s v="2017/6977"/>
    <s v="Sherwood Lodge, 5 Bessborough Road"/>
    <m/>
    <n v="522514"/>
    <n v="173526"/>
    <x v="13"/>
    <d v="2019-10-30T00:00:00"/>
    <m/>
    <n v="4"/>
    <n v="10"/>
    <n v="6"/>
    <n v="10"/>
    <n v="6"/>
    <x v="1"/>
    <s v="The demolition of Sherwood Lodge and associated outbuildings and the construction of a four-storey building, comprising 10 residential (Class C3) units, plus improvements to existing open space and public realm, vehicular and cycle parking and refuse and recycling stores."/>
    <s v="PFLA"/>
    <d v="2018-01-05T00:00:00"/>
    <d v="2018-10-30T00:00:00"/>
    <x v="0"/>
    <s v="Nil"/>
    <m/>
    <s v="BF"/>
    <s v="NB"/>
    <x v="1"/>
    <x v="7"/>
    <n v="0.112999998033047"/>
    <d v="2019-10-30T00:00:00"/>
    <x v="1"/>
    <m/>
    <x v="2"/>
    <s v="AS"/>
    <m/>
    <m/>
    <n v="0"/>
    <n v="9"/>
    <n v="0"/>
    <n v="1"/>
    <n v="0"/>
    <n v="-1"/>
    <n v="7"/>
    <n v="0"/>
    <n v="0"/>
    <n v="0"/>
    <n v="0"/>
    <n v="0"/>
    <n v="-1"/>
    <n v="7"/>
    <n v="0"/>
    <n v="0"/>
    <n v="0"/>
    <n v="0"/>
    <n v="0"/>
    <n v="0"/>
    <n v="0"/>
    <n v="0"/>
    <n v="0"/>
    <n v="0"/>
    <n v="0"/>
    <n v="0"/>
    <n v="0"/>
    <n v="0"/>
    <n v="0"/>
    <n v="0"/>
    <n v="0"/>
    <n v="0"/>
    <x v="0"/>
    <x v="0"/>
    <x v="0"/>
    <x v="0"/>
    <x v="0"/>
    <m/>
    <x v="0"/>
    <x v="0"/>
    <n v="3"/>
    <m/>
    <n v="3"/>
    <n v="3"/>
    <m/>
    <m/>
    <m/>
    <m/>
    <m/>
    <m/>
    <m/>
    <m/>
    <m/>
    <m/>
    <m/>
    <m/>
    <m/>
    <m/>
    <m/>
    <m/>
    <m/>
    <m/>
    <n v="6"/>
    <n v="6"/>
  </r>
  <r>
    <n v="6775"/>
    <x v="1"/>
    <s v="2017/6906"/>
    <s v="Public House, 5 Lavender Hill"/>
    <m/>
    <n v="528543"/>
    <n v="175748"/>
    <x v="9"/>
    <d v="2018-11-12T00:00:00"/>
    <m/>
    <n v="3"/>
    <n v="2"/>
    <n v="-1"/>
    <n v="3"/>
    <n v="0"/>
    <x v="0"/>
    <s v="Alterations including erection of a front and rear roof extension in connection with conversion of upper floors of property into 1 x 1-bedroom and 2 x 2-bedroom flats. Demolition of  part single, part two-storey rear extension and erection of a single storey rear extension including formation of ground floor outside terrace for commercial unit and roof terrace at first floor level for first floor flat. Use of ground floor and basement as Class A3 (cafe/restaurant)."/>
    <s v="PF"/>
    <d v="2017-12-20T00:00:00"/>
    <d v="2018-02-14T00:00:00"/>
    <x v="0"/>
    <s v="Nil"/>
    <m/>
    <s v="BF"/>
    <s v="MIX"/>
    <x v="0"/>
    <x v="9"/>
    <n v="1.09999999403954E-2"/>
    <d v="2018-11-12T00:00:00"/>
    <x v="0"/>
    <m/>
    <x v="0"/>
    <s v="M"/>
    <m/>
    <m/>
    <n v="0"/>
    <n v="0"/>
    <n v="0"/>
    <n v="0"/>
    <n v="0"/>
    <n v="-2"/>
    <n v="2"/>
    <n v="-1"/>
    <n v="0"/>
    <n v="0"/>
    <n v="0"/>
    <n v="0"/>
    <n v="-2"/>
    <n v="2"/>
    <n v="-1"/>
    <n v="0"/>
    <n v="0"/>
    <n v="0"/>
    <n v="0"/>
    <n v="0"/>
    <n v="0"/>
    <n v="0"/>
    <n v="0"/>
    <n v="0"/>
    <n v="0"/>
    <n v="0"/>
    <n v="0"/>
    <n v="0"/>
    <n v="0"/>
    <n v="0"/>
    <n v="0"/>
    <n v="0"/>
    <x v="0"/>
    <x v="0"/>
    <x v="0"/>
    <x v="0"/>
    <x v="0"/>
    <m/>
    <x v="0"/>
    <x v="0"/>
    <n v="13"/>
    <m/>
    <n v="-1"/>
    <m/>
    <m/>
    <m/>
    <m/>
    <m/>
    <m/>
    <m/>
    <m/>
    <m/>
    <m/>
    <m/>
    <m/>
    <m/>
    <m/>
    <m/>
    <m/>
    <m/>
    <m/>
    <m/>
    <n v="-1"/>
    <n v="-1"/>
  </r>
  <r>
    <n v="6775"/>
    <x v="1"/>
    <s v="2017/6906"/>
    <s v="Public House, 5 Lavender Hill"/>
    <m/>
    <n v="528543"/>
    <n v="175748"/>
    <x v="9"/>
    <d v="2018-11-12T00:00:00"/>
    <m/>
    <n v="0"/>
    <n v="1"/>
    <n v="1"/>
    <n v="3"/>
    <n v="0"/>
    <x v="0"/>
    <s v="Alterations including erection of a front and rear roof extension in connection with conversion of upper floors of property into 1 x 1-bedroom and 2 x 2-bedroom flats. Demolition of  part single, part two-storey rear extension and erection of a single storey rear extension including formation of ground floor outside terrace for commercial unit and roof terrace at first floor level for first floor flat. Use of ground floor and basement as Class A3 (cafe/restaurant)."/>
    <s v="PF"/>
    <d v="2017-12-20T00:00:00"/>
    <d v="2018-02-14T00:00:00"/>
    <x v="0"/>
    <s v="Nil"/>
    <m/>
    <s v="BF"/>
    <s v="MIX"/>
    <x v="0"/>
    <x v="3"/>
    <n v="3.0000000260770299E-3"/>
    <d v="2018-11-12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6776"/>
    <x v="1"/>
    <s v="2019/2870"/>
    <s v="rear of 34, 34D Lower Richmond road"/>
    <m/>
    <n v="523825"/>
    <n v="175777"/>
    <x v="0"/>
    <d v="2020-01-21T00:00:00"/>
    <m/>
    <n v="0"/>
    <n v="2"/>
    <n v="2"/>
    <n v="2"/>
    <n v="2"/>
    <x v="0"/>
    <s v="Demolition of existing building and erection of two-storey (plus basement) building to provide 2 x 3-bedroom flats with associated cycle and refuse storage."/>
    <s v="PF"/>
    <d v="2019-07-16T00:00:00"/>
    <d v="2020-02-21T00:00:00"/>
    <x v="1"/>
    <s v="Nil"/>
    <m/>
    <s v="BF"/>
    <s v="NB"/>
    <x v="0"/>
    <x v="6"/>
    <n v="9.9999997764825804E-3"/>
    <d v="2020-01-21T00:00:00"/>
    <x v="1"/>
    <m/>
    <x v="0"/>
    <s v="M"/>
    <m/>
    <m/>
    <n v="0"/>
    <n v="0"/>
    <n v="0"/>
    <n v="0"/>
    <n v="0"/>
    <n v="0"/>
    <n v="0"/>
    <n v="2"/>
    <n v="0"/>
    <n v="0"/>
    <n v="0"/>
    <n v="0"/>
    <n v="0"/>
    <n v="0"/>
    <n v="2"/>
    <n v="0"/>
    <n v="0"/>
    <n v="0"/>
    <n v="0"/>
    <n v="0"/>
    <n v="0"/>
    <n v="0"/>
    <n v="0"/>
    <n v="0"/>
    <n v="0"/>
    <n v="0"/>
    <n v="0"/>
    <n v="0"/>
    <n v="0"/>
    <n v="0"/>
    <n v="0"/>
    <n v="0"/>
    <x v="0"/>
    <x v="0"/>
    <x v="0"/>
    <x v="0"/>
    <x v="0"/>
    <m/>
    <x v="0"/>
    <x v="0"/>
    <n v="3"/>
    <m/>
    <n v="1"/>
    <n v="1"/>
    <m/>
    <m/>
    <m/>
    <m/>
    <m/>
    <m/>
    <m/>
    <m/>
    <m/>
    <m/>
    <m/>
    <m/>
    <m/>
    <m/>
    <m/>
    <m/>
    <m/>
    <m/>
    <n v="2"/>
    <n v="2"/>
  </r>
  <r>
    <n v="6795"/>
    <x v="1"/>
    <s v="2018/5109"/>
    <s v="91 Mitcham Road"/>
    <m/>
    <n v="527657"/>
    <n v="171269"/>
    <x v="10"/>
    <d v="2019-03-31T00:00:00"/>
    <m/>
    <n v="1"/>
    <n v="2"/>
    <n v="1"/>
    <n v="2"/>
    <n v="1"/>
    <x v="0"/>
    <s v="Erection of part single, part two, part three storey side/rear extension in connection with conversion of 1 x 2 bedroom first floor flat into 1 x 1 bedroom and 1 x studio flats; and alterations to existing second floor 2 bedroom flat. Installation of solar panels to main rear roof and provision of cycle and refuse storage."/>
    <s v="PF"/>
    <d v="2018-10-29T00:00:00"/>
    <d v="2019-02-25T00:00:00"/>
    <x v="0"/>
    <s v="Nil"/>
    <m/>
    <s v="BF"/>
    <s v="MIX"/>
    <x v="0"/>
    <x v="0"/>
    <n v="4.0000001899898104E-3"/>
    <d v="2019-03-31T00:00:00"/>
    <x v="0"/>
    <m/>
    <x v="0"/>
    <s v="M"/>
    <m/>
    <m/>
    <n v="0"/>
    <n v="0"/>
    <n v="0"/>
    <n v="0"/>
    <n v="1"/>
    <n v="1"/>
    <n v="-1"/>
    <n v="0"/>
    <n v="0"/>
    <n v="0"/>
    <n v="0"/>
    <n v="1"/>
    <n v="1"/>
    <n v="-1"/>
    <n v="0"/>
    <n v="0"/>
    <n v="0"/>
    <n v="0"/>
    <n v="0"/>
    <n v="0"/>
    <n v="0"/>
    <n v="0"/>
    <n v="0"/>
    <n v="0"/>
    <n v="0"/>
    <n v="0"/>
    <n v="0"/>
    <n v="0"/>
    <n v="0"/>
    <n v="0"/>
    <n v="0"/>
    <n v="0"/>
    <x v="4"/>
    <x v="0"/>
    <x v="0"/>
    <x v="0"/>
    <x v="0"/>
    <m/>
    <x v="0"/>
    <x v="0"/>
    <n v="13"/>
    <m/>
    <n v="1"/>
    <m/>
    <m/>
    <m/>
    <m/>
    <m/>
    <m/>
    <m/>
    <m/>
    <m/>
    <m/>
    <m/>
    <m/>
    <m/>
    <m/>
    <m/>
    <m/>
    <m/>
    <m/>
    <m/>
    <n v="1"/>
    <n v="1"/>
  </r>
  <r>
    <n v="6808"/>
    <x v="1"/>
    <s v="2018/0464"/>
    <s v="111 St Johns Hill"/>
    <s v="Conversion"/>
    <n v="526942"/>
    <n v="175151"/>
    <x v="2"/>
    <d v="2018-11-19T00:00:00"/>
    <m/>
    <n v="1"/>
    <n v="2"/>
    <n v="1"/>
    <n v="4"/>
    <n v="3"/>
    <x v="0"/>
    <s v="Alterations including erection of roof extension to main rear roof and above part of two-storey back addition. Erection of a rear first extension in connection with conversion and alteration of existing first floor roof space. Excavation to extend basement with formation of rear lightwell. Works in connection with the proposed conversion of the property into 3 x 1-bedrooms, 1 x 2-bedroom flats (including use of part of basement and rear part of ground floor). Alterations to shopfront and change of use of remainder of ground floor and basement from Class A2 to flexible use for Class A1(Shop), A2 (professional services) or Class B1 (Business)."/>
    <s v="PF"/>
    <d v="2018-01-29T00:00:00"/>
    <d v="2018-03-20T00:00:00"/>
    <x v="0"/>
    <s v="Nil"/>
    <m/>
    <s v="BF"/>
    <s v="MIX"/>
    <x v="0"/>
    <x v="0"/>
    <n v="3.0000000260770299E-3"/>
    <d v="2018-11-19T00:00:00"/>
    <x v="0"/>
    <m/>
    <x v="0"/>
    <s v="M"/>
    <m/>
    <m/>
    <n v="0"/>
    <n v="0"/>
    <n v="0"/>
    <n v="0"/>
    <n v="0"/>
    <n v="2"/>
    <n v="0"/>
    <n v="-1"/>
    <n v="0"/>
    <n v="0"/>
    <n v="0"/>
    <n v="0"/>
    <n v="2"/>
    <n v="0"/>
    <n v="-1"/>
    <n v="0"/>
    <n v="0"/>
    <n v="0"/>
    <n v="0"/>
    <n v="0"/>
    <n v="0"/>
    <n v="0"/>
    <n v="0"/>
    <n v="0"/>
    <n v="0"/>
    <n v="0"/>
    <n v="0"/>
    <n v="0"/>
    <n v="0"/>
    <n v="0"/>
    <n v="0"/>
    <n v="0"/>
    <x v="0"/>
    <x v="0"/>
    <x v="0"/>
    <x v="0"/>
    <x v="0"/>
    <m/>
    <x v="0"/>
    <x v="0"/>
    <n v="13"/>
    <m/>
    <n v="1"/>
    <m/>
    <m/>
    <m/>
    <m/>
    <m/>
    <m/>
    <m/>
    <m/>
    <m/>
    <m/>
    <m/>
    <m/>
    <m/>
    <m/>
    <m/>
    <m/>
    <m/>
    <m/>
    <m/>
    <n v="1"/>
    <n v="1"/>
  </r>
  <r>
    <n v="6808"/>
    <x v="1"/>
    <s v="2018/0464"/>
    <s v="111 St Johns Hill"/>
    <s v="Extn to ex"/>
    <n v="526942"/>
    <n v="175151"/>
    <x v="2"/>
    <d v="2018-11-19T00:00:00"/>
    <m/>
    <n v="0"/>
    <n v="2"/>
    <n v="2"/>
    <n v="4"/>
    <n v="3"/>
    <x v="0"/>
    <s v="Alterations including erection of roof extension to main rear roof and above part of two-storey back addition. Erection of a rear first extension in connection with conversion and alteration of existing first floor roof space. Excavation to extend basement with formation of rear lightwell. Works in connection with the proposed conversion of the property into 3 x 1-bedrooms, 1 x 2-bedroom flats (including use of part of basement and rear part of ground floor). Alterations to shopfront and change of use of remainder of ground floor and basement from Class A2 to flexible use for Class A1(Shop), A2 (professional services) or Class B1 (Business)."/>
    <s v="PF"/>
    <d v="2018-01-29T00:00:00"/>
    <d v="2018-03-20T00:00:00"/>
    <x v="0"/>
    <s v="Nil"/>
    <m/>
    <s v="BF"/>
    <s v="MIX"/>
    <x v="0"/>
    <x v="5"/>
    <n v="4.0000001899898104E-3"/>
    <d v="2018-11-19T00:00:00"/>
    <x v="0"/>
    <m/>
    <x v="0"/>
    <s v="M"/>
    <m/>
    <m/>
    <n v="0"/>
    <n v="0"/>
    <n v="0"/>
    <n v="0"/>
    <n v="0"/>
    <n v="1"/>
    <n v="1"/>
    <n v="0"/>
    <n v="0"/>
    <n v="0"/>
    <n v="0"/>
    <n v="0"/>
    <n v="1"/>
    <n v="1"/>
    <n v="0"/>
    <n v="0"/>
    <n v="0"/>
    <n v="0"/>
    <n v="0"/>
    <n v="0"/>
    <n v="0"/>
    <n v="0"/>
    <n v="0"/>
    <n v="0"/>
    <n v="0"/>
    <n v="0"/>
    <n v="0"/>
    <n v="0"/>
    <n v="0"/>
    <n v="0"/>
    <n v="0"/>
    <n v="0"/>
    <x v="0"/>
    <x v="0"/>
    <x v="0"/>
    <x v="0"/>
    <x v="0"/>
    <m/>
    <x v="0"/>
    <x v="0"/>
    <n v="13"/>
    <m/>
    <n v="2"/>
    <m/>
    <m/>
    <m/>
    <m/>
    <m/>
    <m/>
    <m/>
    <m/>
    <m/>
    <m/>
    <m/>
    <m/>
    <m/>
    <m/>
    <m/>
    <m/>
    <m/>
    <m/>
    <m/>
    <n v="2"/>
    <n v="2"/>
  </r>
  <r>
    <n v="6815"/>
    <x v="1"/>
    <s v="2018/0585"/>
    <s v="The Surgery, Claudia Place"/>
    <m/>
    <n v="524144"/>
    <n v="173132"/>
    <x v="18"/>
    <d v="2020-03-25T00:00:00"/>
    <m/>
    <n v="0"/>
    <n v="1"/>
    <n v="1"/>
    <n v="1"/>
    <n v="1"/>
    <x v="0"/>
    <s v="Demolition of existing building and erection of a part-single, part four-storey 3-bedroomed dwellinghouse including roof terrace, with one off-street parking space."/>
    <s v="PF"/>
    <d v="2018-02-15T00:00:00"/>
    <d v="2018-07-23T00:00:00"/>
    <x v="0"/>
    <s v="Nil"/>
    <m/>
    <s v="BF"/>
    <s v="NB"/>
    <x v="0"/>
    <x v="5"/>
    <n v="7.0000002160668399E-3"/>
    <d v="2020-03-25T00:00:00"/>
    <x v="1"/>
    <m/>
    <x v="0"/>
    <s v="M"/>
    <m/>
    <m/>
    <n v="0"/>
    <n v="0"/>
    <n v="0"/>
    <n v="0"/>
    <n v="0"/>
    <n v="0"/>
    <n v="0"/>
    <n v="1"/>
    <n v="0"/>
    <n v="0"/>
    <n v="0"/>
    <n v="0"/>
    <n v="0"/>
    <n v="0"/>
    <n v="0"/>
    <n v="0"/>
    <n v="0"/>
    <n v="0"/>
    <n v="0"/>
    <n v="0"/>
    <n v="0"/>
    <n v="1"/>
    <n v="0"/>
    <n v="0"/>
    <n v="0"/>
    <n v="0"/>
    <n v="0"/>
    <n v="0"/>
    <n v="0"/>
    <n v="0"/>
    <n v="0"/>
    <n v="0"/>
    <x v="0"/>
    <x v="0"/>
    <x v="0"/>
    <x v="0"/>
    <x v="0"/>
    <m/>
    <x v="0"/>
    <x v="0"/>
    <n v="3"/>
    <m/>
    <n v="0.5"/>
    <n v="0.5"/>
    <m/>
    <m/>
    <m/>
    <m/>
    <m/>
    <m/>
    <m/>
    <m/>
    <m/>
    <m/>
    <m/>
    <m/>
    <m/>
    <m/>
    <m/>
    <m/>
    <m/>
    <m/>
    <n v="1"/>
    <n v="1"/>
  </r>
  <r>
    <n v="6828"/>
    <x v="1"/>
    <s v="2019/3734"/>
    <s v="74a Vant Road"/>
    <m/>
    <n v="527983"/>
    <n v="171216"/>
    <x v="10"/>
    <d v="2019-07-01T00:00:00"/>
    <m/>
    <n v="1"/>
    <n v="4"/>
    <n v="3"/>
    <n v="4"/>
    <n v="3"/>
    <x v="0"/>
    <s v="Demolition of existing building and erection of two storey (plus roof and basement with front and rear lightwells) building to provide 2 x 3 bedroom, 1 x 2 bedroom and 1 x  1 bedroom flats with associated cycle/bin storage and replacement of front boundary."/>
    <s v="PF"/>
    <d v="2019-09-20T00:00:00"/>
    <d v="2020-02-03T00:00:00"/>
    <x v="1"/>
    <s v="Nil"/>
    <m/>
    <s v="BF"/>
    <s v="CON"/>
    <x v="0"/>
    <x v="2"/>
    <n v="3.29999998211861E-2"/>
    <d v="2019-07-01T00:00:00"/>
    <x v="1"/>
    <m/>
    <x v="0"/>
    <s v="M"/>
    <m/>
    <m/>
    <n v="0"/>
    <n v="0"/>
    <n v="0"/>
    <n v="0"/>
    <n v="0"/>
    <n v="1"/>
    <n v="1"/>
    <n v="2"/>
    <n v="0"/>
    <n v="-1"/>
    <n v="0"/>
    <n v="0"/>
    <n v="1"/>
    <n v="1"/>
    <n v="2"/>
    <n v="0"/>
    <n v="0"/>
    <n v="0"/>
    <n v="0"/>
    <n v="0"/>
    <n v="0"/>
    <n v="0"/>
    <n v="0"/>
    <n v="-1"/>
    <n v="0"/>
    <n v="0"/>
    <n v="0"/>
    <n v="0"/>
    <n v="0"/>
    <n v="0"/>
    <n v="0"/>
    <n v="0"/>
    <x v="0"/>
    <x v="0"/>
    <x v="0"/>
    <x v="0"/>
    <x v="0"/>
    <m/>
    <x v="0"/>
    <x v="0"/>
    <n v="13"/>
    <m/>
    <n v="3"/>
    <m/>
    <m/>
    <m/>
    <m/>
    <m/>
    <m/>
    <m/>
    <m/>
    <m/>
    <m/>
    <m/>
    <m/>
    <m/>
    <m/>
    <m/>
    <m/>
    <m/>
    <m/>
    <m/>
    <n v="3"/>
    <n v="3"/>
  </r>
  <r>
    <n v="6830"/>
    <x v="1"/>
    <s v="2018/0881"/>
    <s v="125b &amp; c Northcote Road"/>
    <m/>
    <n v="527581"/>
    <n v="174645"/>
    <x v="4"/>
    <d v="2019-08-01T00:00:00"/>
    <m/>
    <n v="0"/>
    <n v="2"/>
    <n v="2"/>
    <n v="2"/>
    <n v="2"/>
    <x v="0"/>
    <s v="Remodelling and extension of existing building including addition of two additional storeys to provide 2 new 1 bedroom flats on a new 2nd floor and within a new 3rd floor/roof."/>
    <s v="PF"/>
    <d v="2018-03-01T00:00:00"/>
    <d v="2018-04-13T00:00:00"/>
    <x v="0"/>
    <s v="Nil"/>
    <m/>
    <s v="BF"/>
    <s v="EXT"/>
    <x v="0"/>
    <x v="3"/>
    <n v="7.0000002160668399E-3"/>
    <d v="2019-08-01T00:00:00"/>
    <x v="1"/>
    <m/>
    <x v="0"/>
    <s v="M"/>
    <m/>
    <m/>
    <n v="0"/>
    <n v="0"/>
    <n v="0"/>
    <n v="0"/>
    <n v="0"/>
    <n v="2"/>
    <n v="0"/>
    <n v="0"/>
    <n v="0"/>
    <n v="0"/>
    <n v="0"/>
    <n v="0"/>
    <n v="2"/>
    <n v="0"/>
    <n v="0"/>
    <n v="0"/>
    <n v="0"/>
    <n v="0"/>
    <n v="0"/>
    <n v="0"/>
    <n v="0"/>
    <n v="0"/>
    <n v="0"/>
    <n v="0"/>
    <n v="0"/>
    <n v="0"/>
    <n v="0"/>
    <n v="0"/>
    <n v="0"/>
    <n v="0"/>
    <n v="0"/>
    <n v="0"/>
    <x v="0"/>
    <x v="0"/>
    <x v="0"/>
    <x v="0"/>
    <x v="0"/>
    <m/>
    <x v="0"/>
    <x v="0"/>
    <n v="13"/>
    <m/>
    <n v="2"/>
    <m/>
    <m/>
    <m/>
    <m/>
    <m/>
    <m/>
    <m/>
    <m/>
    <m/>
    <m/>
    <m/>
    <m/>
    <m/>
    <m/>
    <m/>
    <m/>
    <m/>
    <m/>
    <m/>
    <n v="2"/>
    <n v="2"/>
  </r>
  <r>
    <n v="6842"/>
    <x v="1"/>
    <s v="2018/3131"/>
    <s v="121 Drakefield Road"/>
    <m/>
    <n v="528521"/>
    <n v="172221"/>
    <x v="19"/>
    <d v="2019-03-31T00:00:00"/>
    <m/>
    <n v="3"/>
    <n v="1"/>
    <n v="-2"/>
    <n v="1"/>
    <n v="-2"/>
    <x v="0"/>
    <s v="Alterations to existing windows to the side elevation of the back addition at second floor level, replacement windows, removal of paint to front and installation of 'Heaver style' railings  in association with the conversion of property from 3 flats to single dwellinghouse."/>
    <s v="PF"/>
    <d v="2018-06-27T00:00:00"/>
    <d v="2018-10-05T00:00:00"/>
    <x v="0"/>
    <s v="Nil"/>
    <m/>
    <s v="BF"/>
    <s v="CON"/>
    <x v="0"/>
    <x v="8"/>
    <n v="2.8000000864267301E-2"/>
    <d v="2019-03-31T00:00:00"/>
    <x v="0"/>
    <m/>
    <x v="0"/>
    <s v="M"/>
    <m/>
    <m/>
    <n v="0"/>
    <n v="0"/>
    <n v="0"/>
    <n v="0"/>
    <n v="0"/>
    <n v="0"/>
    <n v="-3"/>
    <n v="0"/>
    <n v="0"/>
    <n v="1"/>
    <n v="0"/>
    <n v="0"/>
    <n v="0"/>
    <n v="-3"/>
    <n v="0"/>
    <n v="0"/>
    <n v="0"/>
    <n v="0"/>
    <n v="0"/>
    <n v="0"/>
    <n v="0"/>
    <n v="0"/>
    <n v="0"/>
    <n v="1"/>
    <n v="0"/>
    <n v="0"/>
    <n v="0"/>
    <n v="0"/>
    <n v="0"/>
    <n v="0"/>
    <n v="0"/>
    <n v="0"/>
    <x v="0"/>
    <x v="0"/>
    <x v="0"/>
    <x v="0"/>
    <x v="0"/>
    <m/>
    <x v="0"/>
    <x v="0"/>
    <n v="13"/>
    <m/>
    <n v="-2"/>
    <m/>
    <m/>
    <m/>
    <m/>
    <m/>
    <m/>
    <m/>
    <m/>
    <m/>
    <m/>
    <m/>
    <m/>
    <m/>
    <m/>
    <m/>
    <m/>
    <m/>
    <m/>
    <m/>
    <n v="-2"/>
    <n v="-2"/>
  </r>
  <r>
    <n v="6859"/>
    <x v="1"/>
    <s v="2018/1293"/>
    <s v="221 Lower Richmond Road"/>
    <m/>
    <n v="523223"/>
    <n v="175846"/>
    <x v="0"/>
    <d v="2018-12-27T00:00:00"/>
    <m/>
    <n v="1"/>
    <n v="3"/>
    <n v="2"/>
    <n v="3"/>
    <n v="2"/>
    <x v="0"/>
    <s v="Alterations including the conversion of the property into 1x studio, 1x one-bedroom and 1x three-bedroom flats with associated refuse storage in front garden"/>
    <s v="PF"/>
    <d v="2018-03-22T00:00:00"/>
    <d v="2018-05-25T00:00:00"/>
    <x v="0"/>
    <s v="Nil"/>
    <m/>
    <s v="BF"/>
    <s v="CON"/>
    <x v="0"/>
    <x v="2"/>
    <n v="1.7999999225139601E-2"/>
    <d v="2018-12-27T00:00:00"/>
    <x v="0"/>
    <m/>
    <x v="0"/>
    <s v="M"/>
    <m/>
    <m/>
    <n v="0"/>
    <n v="0"/>
    <n v="0"/>
    <n v="0"/>
    <n v="1"/>
    <n v="1"/>
    <n v="0"/>
    <n v="1"/>
    <n v="-1"/>
    <n v="0"/>
    <n v="0"/>
    <n v="1"/>
    <n v="1"/>
    <n v="0"/>
    <n v="1"/>
    <n v="0"/>
    <n v="0"/>
    <n v="0"/>
    <n v="0"/>
    <n v="0"/>
    <n v="0"/>
    <n v="0"/>
    <n v="-1"/>
    <n v="0"/>
    <n v="0"/>
    <n v="0"/>
    <n v="0"/>
    <n v="0"/>
    <n v="0"/>
    <n v="0"/>
    <n v="0"/>
    <n v="0"/>
    <x v="0"/>
    <x v="0"/>
    <x v="0"/>
    <x v="0"/>
    <x v="0"/>
    <m/>
    <x v="0"/>
    <x v="0"/>
    <n v="13"/>
    <m/>
    <n v="2"/>
    <m/>
    <m/>
    <m/>
    <m/>
    <m/>
    <m/>
    <m/>
    <m/>
    <m/>
    <m/>
    <m/>
    <m/>
    <m/>
    <m/>
    <m/>
    <m/>
    <m/>
    <m/>
    <m/>
    <n v="2"/>
    <n v="2"/>
  </r>
  <r>
    <n v="6860"/>
    <x v="1"/>
    <s v="2019/3393"/>
    <s v="116 Tooting High Street"/>
    <m/>
    <n v="527312"/>
    <n v="171270"/>
    <x v="1"/>
    <d v="2020-03-31T00:00:00"/>
    <m/>
    <n v="1"/>
    <n v="2"/>
    <n v="1"/>
    <n v="2"/>
    <n v="1"/>
    <x v="0"/>
    <s v="Alterations including erection of mansard roof extension above part of two-storey rear addition; Removal of rear external access staircase and entrance door; Installation of windows and French doors with safety railings; Alterations to shopfront including new front door in connection with conversion of upper floor flat into 1 x 2-bedroom and 1 x 1-bedroom flats. (Amendments to planning permission  2018/3526 dated to re-configure the upper floor flat at first floor &amp; second floor levels)."/>
    <s v="PF"/>
    <d v="2019-08-20T00:00:00"/>
    <d v="2019-09-27T00:00:00"/>
    <x v="1"/>
    <s v="Nil"/>
    <m/>
    <s v="BF"/>
    <s v="CON"/>
    <x v="0"/>
    <x v="0"/>
    <n v="8.9999996125698107E-3"/>
    <d v="2020-03-31T00:00:00"/>
    <x v="1"/>
    <m/>
    <x v="0"/>
    <s v="M"/>
    <m/>
    <m/>
    <n v="0"/>
    <n v="0"/>
    <n v="0"/>
    <n v="0"/>
    <n v="0"/>
    <n v="1"/>
    <n v="1"/>
    <n v="-1"/>
    <n v="0"/>
    <n v="0"/>
    <n v="0"/>
    <n v="0"/>
    <n v="1"/>
    <n v="1"/>
    <n v="-1"/>
    <n v="0"/>
    <n v="0"/>
    <n v="0"/>
    <n v="0"/>
    <n v="0"/>
    <n v="0"/>
    <n v="0"/>
    <n v="0"/>
    <n v="0"/>
    <n v="0"/>
    <n v="0"/>
    <n v="0"/>
    <n v="0"/>
    <n v="0"/>
    <n v="0"/>
    <n v="0"/>
    <n v="0"/>
    <x v="0"/>
    <x v="0"/>
    <x v="0"/>
    <x v="0"/>
    <x v="0"/>
    <m/>
    <x v="0"/>
    <x v="0"/>
    <n v="14"/>
    <m/>
    <n v="0.5"/>
    <n v="0.5"/>
    <m/>
    <m/>
    <m/>
    <m/>
    <m/>
    <m/>
    <m/>
    <m/>
    <m/>
    <m/>
    <m/>
    <m/>
    <m/>
    <m/>
    <m/>
    <m/>
    <m/>
    <m/>
    <n v="1"/>
    <n v="1"/>
  </r>
  <r>
    <n v="6912"/>
    <x v="1"/>
    <s v="2016/3809"/>
    <s v="229 Burntwood Lane"/>
    <m/>
    <n v="526829"/>
    <n v="172839"/>
    <x v="17"/>
    <d v="2020-03-31T00:00:00"/>
    <m/>
    <n v="0"/>
    <n v="1"/>
    <n v="1"/>
    <n v="1"/>
    <n v="1"/>
    <x v="0"/>
    <s v="Demolition of existing garage and erection of a single-storey outbuilding in rear garden to be used as a nanny flat."/>
    <s v="PF"/>
    <d v="2016-06-28T00:00:00"/>
    <d v="2016-08-23T00:00:00"/>
    <x v="0"/>
    <s v="Nil"/>
    <m/>
    <s v="BF"/>
    <s v="NB"/>
    <x v="0"/>
    <x v="5"/>
    <n v="3.0000000260770299E-3"/>
    <d v="2020-03-31T00:00:00"/>
    <x v="1"/>
    <m/>
    <x v="0"/>
    <s v="M"/>
    <m/>
    <m/>
    <n v="0"/>
    <n v="0"/>
    <n v="0"/>
    <n v="0"/>
    <n v="1"/>
    <n v="0"/>
    <n v="0"/>
    <n v="0"/>
    <n v="0"/>
    <n v="0"/>
    <n v="0"/>
    <n v="1"/>
    <n v="0"/>
    <n v="0"/>
    <n v="0"/>
    <n v="0"/>
    <n v="0"/>
    <n v="0"/>
    <n v="0"/>
    <n v="0"/>
    <n v="0"/>
    <n v="0"/>
    <n v="0"/>
    <n v="0"/>
    <n v="0"/>
    <n v="0"/>
    <n v="0"/>
    <n v="0"/>
    <n v="0"/>
    <n v="0"/>
    <n v="0"/>
    <n v="0"/>
    <x v="0"/>
    <x v="0"/>
    <x v="0"/>
    <x v="0"/>
    <x v="0"/>
    <m/>
    <x v="0"/>
    <x v="0"/>
    <n v="3"/>
    <m/>
    <n v="0.5"/>
    <n v="0.5"/>
    <m/>
    <m/>
    <m/>
    <m/>
    <m/>
    <m/>
    <m/>
    <m/>
    <m/>
    <m/>
    <m/>
    <m/>
    <m/>
    <m/>
    <m/>
    <m/>
    <m/>
    <m/>
    <n v="1"/>
    <n v="1"/>
  </r>
  <r>
    <n v="6921"/>
    <x v="1"/>
    <s v="2019/2221"/>
    <s v="117 Battersea High Street"/>
    <m/>
    <n v="526971"/>
    <n v="176456"/>
    <x v="11"/>
    <d v="2020-03-16T00:00:00"/>
    <m/>
    <n v="0"/>
    <n v="2"/>
    <n v="2"/>
    <n v="2"/>
    <n v="2"/>
    <x v="0"/>
    <s v="Erection of roof extension to provide additional floor of accommodation to create 2 x 2-bedroom flats with roof terraces to front and side."/>
    <s v="PF"/>
    <d v="2019-06-19T00:00:00"/>
    <d v="2019-08-08T00:00:00"/>
    <x v="1"/>
    <s v="Nil"/>
    <m/>
    <s v="BF"/>
    <s v="EXT"/>
    <x v="0"/>
    <x v="3"/>
    <n v="4.0000001899898104E-3"/>
    <d v="2020-03-16T00:00:00"/>
    <x v="1"/>
    <m/>
    <x v="0"/>
    <s v="M"/>
    <m/>
    <m/>
    <n v="0"/>
    <n v="0"/>
    <n v="0"/>
    <n v="0"/>
    <n v="0"/>
    <n v="0"/>
    <n v="2"/>
    <n v="0"/>
    <n v="0"/>
    <n v="0"/>
    <n v="0"/>
    <n v="0"/>
    <n v="0"/>
    <n v="2"/>
    <n v="0"/>
    <n v="0"/>
    <n v="0"/>
    <n v="0"/>
    <n v="0"/>
    <n v="0"/>
    <n v="0"/>
    <n v="0"/>
    <n v="0"/>
    <n v="0"/>
    <n v="0"/>
    <n v="0"/>
    <n v="0"/>
    <n v="0"/>
    <n v="0"/>
    <n v="0"/>
    <n v="0"/>
    <n v="0"/>
    <x v="0"/>
    <x v="0"/>
    <x v="0"/>
    <x v="0"/>
    <x v="0"/>
    <m/>
    <x v="0"/>
    <x v="0"/>
    <n v="14"/>
    <m/>
    <n v="1"/>
    <n v="1"/>
    <m/>
    <m/>
    <m/>
    <m/>
    <m/>
    <m/>
    <m/>
    <m/>
    <m/>
    <m/>
    <m/>
    <m/>
    <m/>
    <m/>
    <m/>
    <m/>
    <m/>
    <m/>
    <n v="2"/>
    <n v="2"/>
  </r>
  <r>
    <n v="6922"/>
    <x v="1"/>
    <s v="2016/4769"/>
    <s v="30 Nimrod Road"/>
    <m/>
    <n v="529004"/>
    <n v="171330"/>
    <x v="7"/>
    <d v="2018-11-07T00:00:00"/>
    <m/>
    <n v="0"/>
    <n v="1"/>
    <n v="1"/>
    <n v="1"/>
    <n v="1"/>
    <x v="0"/>
    <s v="Alterations including erection of hip to gable side roof extensions, rear mansard roof extension, and extension above two storey back addition. Erection of single-storey side/rear extension. Erection of self-contained annexe to the rear garden with basement level."/>
    <s v="PF"/>
    <d v="2016-09-02T00:00:00"/>
    <d v="2016-10-13T00:00:00"/>
    <x v="0"/>
    <s v="Nil"/>
    <m/>
    <s v="BF"/>
    <s v="NB"/>
    <x v="0"/>
    <x v="5"/>
    <n v="8.0000003799796104E-3"/>
    <d v="2018-11-07T00:00:00"/>
    <x v="0"/>
    <m/>
    <x v="0"/>
    <s v="M"/>
    <m/>
    <m/>
    <n v="0"/>
    <n v="0"/>
    <n v="0"/>
    <n v="0"/>
    <n v="0"/>
    <n v="1"/>
    <n v="0"/>
    <n v="0"/>
    <n v="0"/>
    <n v="0"/>
    <n v="0"/>
    <n v="0"/>
    <n v="1"/>
    <n v="0"/>
    <n v="0"/>
    <n v="0"/>
    <n v="0"/>
    <n v="0"/>
    <n v="0"/>
    <n v="0"/>
    <n v="0"/>
    <n v="0"/>
    <n v="0"/>
    <n v="0"/>
    <n v="0"/>
    <n v="0"/>
    <n v="0"/>
    <n v="0"/>
    <n v="0"/>
    <n v="0"/>
    <n v="0"/>
    <n v="0"/>
    <x v="0"/>
    <x v="0"/>
    <x v="0"/>
    <x v="0"/>
    <x v="0"/>
    <m/>
    <x v="0"/>
    <x v="0"/>
    <n v="2"/>
    <m/>
    <n v="1"/>
    <m/>
    <m/>
    <m/>
    <m/>
    <m/>
    <m/>
    <m/>
    <m/>
    <m/>
    <m/>
    <m/>
    <m/>
    <m/>
    <m/>
    <m/>
    <m/>
    <m/>
    <m/>
    <m/>
    <n v="1"/>
    <n v="1"/>
  </r>
  <r>
    <n v="6930"/>
    <x v="1"/>
    <s v="2018/1582"/>
    <s v="2 Windmill Road"/>
    <m/>
    <n v="526666"/>
    <n v="174232"/>
    <x v="17"/>
    <d v="2019-03-31T00:00:00"/>
    <m/>
    <n v="1"/>
    <n v="3"/>
    <n v="2"/>
    <n v="3"/>
    <n v="2"/>
    <x v="0"/>
    <s v="Alterations including erection of single-storey rear/side extension; formation of a roof terrace with railing surround; and excavation to enlarge basement including formation of front lightwell with grill over. in connection with conversion of property into 1 x 3-bedroom, 1 x 2-bedroom and 1 x 1-bedroom flats with associated refuse and cycle storage in front garden."/>
    <s v="PF"/>
    <d v="2018-04-06T00:00:00"/>
    <d v="2018-06-14T00:00:00"/>
    <x v="0"/>
    <s v="Nil"/>
    <m/>
    <s v="BF"/>
    <s v="MIX"/>
    <x v="0"/>
    <x v="2"/>
    <n v="2.8999999165535001E-2"/>
    <d v="2019-03-31T00:00:00"/>
    <x v="0"/>
    <m/>
    <x v="0"/>
    <s v="M"/>
    <m/>
    <m/>
    <n v="0"/>
    <n v="0"/>
    <n v="0"/>
    <n v="0"/>
    <n v="0"/>
    <n v="1"/>
    <n v="1"/>
    <n v="1"/>
    <n v="-1"/>
    <n v="0"/>
    <n v="0"/>
    <n v="0"/>
    <n v="1"/>
    <n v="1"/>
    <n v="1"/>
    <n v="0"/>
    <n v="0"/>
    <n v="0"/>
    <n v="0"/>
    <n v="0"/>
    <n v="0"/>
    <n v="0"/>
    <n v="-1"/>
    <n v="0"/>
    <n v="0"/>
    <n v="0"/>
    <n v="0"/>
    <n v="0"/>
    <n v="0"/>
    <n v="0"/>
    <n v="0"/>
    <n v="0"/>
    <x v="0"/>
    <x v="0"/>
    <x v="0"/>
    <x v="0"/>
    <x v="0"/>
    <m/>
    <x v="0"/>
    <x v="0"/>
    <n v="13"/>
    <m/>
    <n v="2"/>
    <m/>
    <m/>
    <m/>
    <m/>
    <m/>
    <m/>
    <m/>
    <m/>
    <m/>
    <m/>
    <m/>
    <m/>
    <m/>
    <m/>
    <m/>
    <m/>
    <m/>
    <m/>
    <m/>
    <n v="2"/>
    <n v="2"/>
  </r>
  <r>
    <n v="6931"/>
    <x v="1"/>
    <s v="2018/2141"/>
    <s v="29 Garratt Terrace"/>
    <s v="1st/2nd floors conversion"/>
    <n v="527321"/>
    <n v="171487"/>
    <x v="1"/>
    <d v="2018-08-06T00:00:00"/>
    <m/>
    <n v="0"/>
    <n v="2"/>
    <n v="2"/>
    <n v="3"/>
    <n v="2"/>
    <x v="0"/>
    <s v="Alterations including erection of part single/part two storey rear/side extension in connection with conversion of property into 1 x 3-bedroom, 1 x 2-bedroom and 1 x 1-bedroom flats."/>
    <s v="PF"/>
    <d v="2018-05-15T00:00:00"/>
    <d v="2018-06-27T00:00:00"/>
    <x v="0"/>
    <s v="Nil"/>
    <m/>
    <s v="BF"/>
    <s v="MIX"/>
    <x v="0"/>
    <x v="2"/>
    <n v="7.0000002160668399E-3"/>
    <d v="2018-08-06T00:00:00"/>
    <x v="0"/>
    <m/>
    <x v="0"/>
    <s v="M"/>
    <m/>
    <m/>
    <n v="0"/>
    <n v="0"/>
    <n v="0"/>
    <n v="0"/>
    <n v="0"/>
    <n v="1"/>
    <n v="1"/>
    <n v="0"/>
    <n v="0"/>
    <n v="0"/>
    <n v="0"/>
    <n v="0"/>
    <n v="1"/>
    <n v="1"/>
    <n v="0"/>
    <n v="0"/>
    <n v="0"/>
    <n v="0"/>
    <n v="0"/>
    <n v="0"/>
    <n v="0"/>
    <n v="0"/>
    <n v="0"/>
    <n v="0"/>
    <n v="0"/>
    <n v="0"/>
    <n v="0"/>
    <n v="0"/>
    <n v="0"/>
    <n v="0"/>
    <n v="0"/>
    <n v="0"/>
    <x v="0"/>
    <x v="0"/>
    <x v="0"/>
    <x v="0"/>
    <x v="0"/>
    <m/>
    <x v="0"/>
    <x v="0"/>
    <n v="13"/>
    <m/>
    <n v="2"/>
    <m/>
    <m/>
    <m/>
    <m/>
    <m/>
    <m/>
    <m/>
    <m/>
    <m/>
    <m/>
    <m/>
    <m/>
    <m/>
    <m/>
    <m/>
    <m/>
    <m/>
    <m/>
    <m/>
    <n v="2"/>
    <n v="2"/>
  </r>
  <r>
    <n v="6931"/>
    <x v="1"/>
    <s v="2018/2141"/>
    <s v="29 Garratt Terrace"/>
    <s v="g/f extn (new build)"/>
    <n v="527321"/>
    <n v="171487"/>
    <x v="1"/>
    <d v="2018-08-06T00:00:00"/>
    <m/>
    <n v="1"/>
    <n v="1"/>
    <n v="0"/>
    <n v="3"/>
    <n v="2"/>
    <x v="0"/>
    <s v="Alterations including erection of part single/part two storey rear/side extension in connection with conversion of property into 1 x 3-bedroom, 1 x 2-bedroom and 1 x 1-bedroom flats."/>
    <s v="PF"/>
    <d v="2018-05-15T00:00:00"/>
    <d v="2018-06-27T00:00:00"/>
    <x v="0"/>
    <s v="Nil"/>
    <m/>
    <s v="BF"/>
    <s v="MIX"/>
    <x v="0"/>
    <x v="5"/>
    <n v="4.9999998882412902E-3"/>
    <d v="2018-08-06T00:00:00"/>
    <x v="0"/>
    <m/>
    <x v="0"/>
    <s v="M"/>
    <m/>
    <m/>
    <n v="0"/>
    <n v="0"/>
    <n v="0"/>
    <n v="0"/>
    <n v="0"/>
    <n v="0"/>
    <n v="0"/>
    <n v="1"/>
    <n v="0"/>
    <n v="-1"/>
    <n v="0"/>
    <n v="0"/>
    <n v="0"/>
    <n v="0"/>
    <n v="1"/>
    <n v="0"/>
    <n v="0"/>
    <n v="0"/>
    <n v="0"/>
    <n v="0"/>
    <n v="0"/>
    <n v="0"/>
    <n v="0"/>
    <n v="-1"/>
    <n v="0"/>
    <n v="0"/>
    <n v="0"/>
    <n v="0"/>
    <n v="0"/>
    <n v="0"/>
    <n v="0"/>
    <n v="0"/>
    <x v="0"/>
    <x v="0"/>
    <x v="0"/>
    <x v="0"/>
    <x v="0"/>
    <m/>
    <x v="0"/>
    <x v="0"/>
    <n v="13"/>
    <m/>
    <n v="0"/>
    <m/>
    <m/>
    <m/>
    <m/>
    <m/>
    <m/>
    <m/>
    <m/>
    <m/>
    <m/>
    <m/>
    <m/>
    <m/>
    <m/>
    <m/>
    <m/>
    <m/>
    <m/>
    <m/>
    <n v="0"/>
    <n v="0"/>
  </r>
  <r>
    <n v="6934"/>
    <x v="1"/>
    <s v="2018/1867"/>
    <s v="162 Upper Tooting Road"/>
    <m/>
    <n v="527712"/>
    <n v="171956"/>
    <x v="1"/>
    <d v="2019-03-31T00:00:00"/>
    <m/>
    <n v="0"/>
    <n v="2"/>
    <n v="2"/>
    <n v="2"/>
    <n v="2"/>
    <x v="0"/>
    <s v="Erection of additional two-storey including mansard roof extension to front and rear to create three-storey building and provide 2 x 2-bedroom flats on upper floors; alterations and change of use of part of ground floor (A1) to residential (C3) to provide front access and provision of bin/cycle storage to rear. Alterations to front and rear elevations including replacement of shopfront."/>
    <s v="PF"/>
    <d v="2018-06-29T00:00:00"/>
    <d v="2018-07-03T00:00:00"/>
    <x v="0"/>
    <s v="Nil"/>
    <m/>
    <s v="BF"/>
    <s v="EXT"/>
    <x v="0"/>
    <x v="3"/>
    <n v="7.0000002160668399E-3"/>
    <d v="2019-03-31T00:00:00"/>
    <x v="0"/>
    <m/>
    <x v="0"/>
    <s v="M"/>
    <m/>
    <m/>
    <n v="0"/>
    <n v="0"/>
    <n v="0"/>
    <n v="0"/>
    <n v="0"/>
    <n v="0"/>
    <n v="2"/>
    <n v="0"/>
    <n v="0"/>
    <n v="0"/>
    <n v="0"/>
    <n v="0"/>
    <n v="0"/>
    <n v="2"/>
    <n v="0"/>
    <n v="0"/>
    <n v="0"/>
    <n v="0"/>
    <n v="0"/>
    <n v="0"/>
    <n v="0"/>
    <n v="0"/>
    <n v="0"/>
    <n v="0"/>
    <n v="0"/>
    <n v="0"/>
    <n v="0"/>
    <n v="0"/>
    <n v="0"/>
    <n v="0"/>
    <n v="0"/>
    <n v="0"/>
    <x v="4"/>
    <x v="0"/>
    <x v="0"/>
    <x v="0"/>
    <x v="0"/>
    <m/>
    <x v="0"/>
    <x v="0"/>
    <n v="13"/>
    <m/>
    <n v="2"/>
    <m/>
    <m/>
    <m/>
    <m/>
    <m/>
    <m/>
    <m/>
    <m/>
    <m/>
    <m/>
    <m/>
    <m/>
    <m/>
    <m/>
    <m/>
    <m/>
    <m/>
    <m/>
    <m/>
    <n v="2"/>
    <n v="2"/>
  </r>
  <r>
    <n v="6953"/>
    <x v="1"/>
    <s v="2019/4849"/>
    <s v="890 Garratt Lane"/>
    <s v="Conversion"/>
    <n v="527131"/>
    <n v="171625"/>
    <x v="1"/>
    <d v="2019-03-31T00:00:00"/>
    <m/>
    <n v="1"/>
    <n v="2"/>
    <n v="1"/>
    <n v="3"/>
    <n v="2"/>
    <x v="0"/>
    <s v="Change of use part ground floor form Financial and Professional Services (Class A2) to residential (Class C3). Alterations including erection of single-storey side/rear extension in connection with provision of one self-contained 1 bedroom flat. Erection of first floor rear extension. Erection of mansard roof extension to main rear roof (raising the ridge by 200mm) and erection of extension above part of two-storey rear addition with formation of roof terrace including 1.7m high obscured glazing in connection with the conversion of the first floor flat into 2 x 1 bedroom flats."/>
    <s v="PF"/>
    <d v="2019-12-04T00:00:00"/>
    <d v="2020-03-15T00:00:00"/>
    <x v="1"/>
    <s v="Nil"/>
    <m/>
    <s v="BF"/>
    <s v="MIX"/>
    <x v="0"/>
    <x v="0"/>
    <n v="8.9999996125698107E-3"/>
    <d v="2019-03-31T00:00:00"/>
    <x v="0"/>
    <m/>
    <x v="0"/>
    <s v="M"/>
    <m/>
    <m/>
    <n v="0"/>
    <n v="0"/>
    <n v="0"/>
    <n v="0"/>
    <n v="1"/>
    <n v="1"/>
    <n v="0"/>
    <n v="-1"/>
    <n v="0"/>
    <n v="0"/>
    <n v="0"/>
    <n v="1"/>
    <n v="1"/>
    <n v="0"/>
    <n v="-1"/>
    <n v="0"/>
    <n v="0"/>
    <n v="0"/>
    <n v="0"/>
    <n v="0"/>
    <n v="0"/>
    <n v="0"/>
    <n v="0"/>
    <n v="0"/>
    <n v="0"/>
    <n v="0"/>
    <n v="0"/>
    <n v="0"/>
    <n v="0"/>
    <n v="0"/>
    <n v="0"/>
    <n v="0"/>
    <x v="0"/>
    <x v="0"/>
    <x v="0"/>
    <x v="0"/>
    <x v="0"/>
    <m/>
    <x v="0"/>
    <x v="0"/>
    <n v="13"/>
    <m/>
    <n v="1"/>
    <m/>
    <m/>
    <m/>
    <m/>
    <m/>
    <m/>
    <m/>
    <m/>
    <m/>
    <m/>
    <m/>
    <m/>
    <m/>
    <m/>
    <m/>
    <m/>
    <m/>
    <m/>
    <m/>
    <n v="1"/>
    <n v="1"/>
  </r>
  <r>
    <n v="6953"/>
    <x v="1"/>
    <s v="2019/4849"/>
    <s v="890 Garratt Lane"/>
    <s v="CoU"/>
    <n v="527131"/>
    <n v="171625"/>
    <x v="1"/>
    <d v="2019-03-31T00:00:00"/>
    <m/>
    <n v="0"/>
    <n v="1"/>
    <n v="1"/>
    <n v="3"/>
    <n v="2"/>
    <x v="0"/>
    <s v="Change of use part ground floor form Financial and Professional Services (Class A2) to residential (Class C3). Alterations including erection of single-storey side/rear extension in connection with provision of one self-contained 1 bedroom flat. Erection of first floor rear extension. Erection of mansard roof extension to main rear roof (raising the ridge by 200mm) and erection of extension above part of two-storey rear addition with formation of roof terrace including 1.7m high obscured glazing in connection with the conversion of the first floor flat into 2 x 1 bedroom flats."/>
    <s v="PF"/>
    <d v="2019-12-04T00:00:00"/>
    <d v="2020-03-15T00:00:00"/>
    <x v="1"/>
    <s v="Nil"/>
    <m/>
    <s v="BF"/>
    <s v="MIX"/>
    <x v="0"/>
    <x v="6"/>
    <n v="4.9999998882412902E-3"/>
    <d v="2019-03-31T00:00:00"/>
    <x v="0"/>
    <m/>
    <x v="0"/>
    <s v="M"/>
    <m/>
    <m/>
    <n v="0"/>
    <n v="0"/>
    <n v="0"/>
    <n v="0"/>
    <n v="0"/>
    <n v="1"/>
    <n v="0"/>
    <n v="0"/>
    <n v="0"/>
    <n v="0"/>
    <n v="0"/>
    <n v="0"/>
    <n v="1"/>
    <n v="0"/>
    <n v="0"/>
    <n v="0"/>
    <n v="0"/>
    <n v="0"/>
    <n v="0"/>
    <n v="0"/>
    <n v="0"/>
    <n v="0"/>
    <n v="0"/>
    <n v="0"/>
    <n v="0"/>
    <n v="0"/>
    <n v="0"/>
    <n v="0"/>
    <n v="0"/>
    <n v="0"/>
    <n v="0"/>
    <n v="0"/>
    <x v="0"/>
    <x v="0"/>
    <x v="0"/>
    <x v="0"/>
    <x v="0"/>
    <m/>
    <x v="0"/>
    <x v="0"/>
    <n v="13"/>
    <m/>
    <n v="1"/>
    <m/>
    <m/>
    <m/>
    <m/>
    <m/>
    <m/>
    <m/>
    <m/>
    <m/>
    <m/>
    <m/>
    <m/>
    <m/>
    <m/>
    <m/>
    <m/>
    <m/>
    <m/>
    <m/>
    <n v="1"/>
    <n v="1"/>
  </r>
  <r>
    <n v="6956"/>
    <x v="1"/>
    <s v="2019/0753"/>
    <s v="23 Eardley Road"/>
    <s v="conversion"/>
    <n v="529459"/>
    <n v="171151"/>
    <x v="7"/>
    <d v="2019-10-10T00:00:00"/>
    <m/>
    <n v="1"/>
    <n v="2"/>
    <n v="1"/>
    <n v="3"/>
    <n v="2"/>
    <x v="0"/>
    <s v="Alterations including erection of hip to gable and dormer roof extension to main rear roof; erection of part single, part two-storey rear extension in connection with conversion of dwellinghouse into 1 x 3 bedroom, 1 x 2 bedroom and 1 x 1 bedroom flats."/>
    <s v="PF"/>
    <d v="2019-03-13T00:00:00"/>
    <d v="2019-04-17T00:00:00"/>
    <x v="1"/>
    <s v="Nil"/>
    <m/>
    <s v="BF"/>
    <s v="MIX"/>
    <x v="0"/>
    <x v="2"/>
    <n v="2.60000005364418E-2"/>
    <d v="2019-10-10T00:00:00"/>
    <x v="1"/>
    <m/>
    <x v="0"/>
    <s v="M"/>
    <m/>
    <m/>
    <n v="0"/>
    <n v="0"/>
    <n v="0"/>
    <n v="0"/>
    <n v="0"/>
    <n v="0"/>
    <n v="1"/>
    <n v="1"/>
    <n v="0"/>
    <n v="-1"/>
    <n v="0"/>
    <n v="0"/>
    <n v="0"/>
    <n v="1"/>
    <n v="1"/>
    <n v="0"/>
    <n v="0"/>
    <n v="0"/>
    <n v="0"/>
    <n v="0"/>
    <n v="0"/>
    <n v="0"/>
    <n v="0"/>
    <n v="-1"/>
    <n v="0"/>
    <n v="0"/>
    <n v="0"/>
    <n v="0"/>
    <n v="0"/>
    <n v="0"/>
    <n v="0"/>
    <n v="0"/>
    <x v="0"/>
    <x v="0"/>
    <x v="0"/>
    <x v="0"/>
    <x v="0"/>
    <m/>
    <x v="0"/>
    <x v="0"/>
    <n v="14"/>
    <m/>
    <n v="0.5"/>
    <n v="0.5"/>
    <m/>
    <m/>
    <m/>
    <m/>
    <m/>
    <m/>
    <m/>
    <m/>
    <m/>
    <m/>
    <m/>
    <m/>
    <m/>
    <m/>
    <m/>
    <m/>
    <m/>
    <m/>
    <n v="1"/>
    <n v="1"/>
  </r>
  <r>
    <n v="6956"/>
    <x v="1"/>
    <s v="2019/0753"/>
    <s v="23 Eardley Road"/>
    <s v="extn to ex"/>
    <n v="529459"/>
    <n v="171151"/>
    <x v="7"/>
    <d v="2019-10-10T00:00:00"/>
    <m/>
    <n v="0"/>
    <n v="1"/>
    <n v="1"/>
    <n v="3"/>
    <n v="2"/>
    <x v="0"/>
    <s v="Alterations including erection of hip to gable and dormer roof extension to main rear roof; erection of part single, part two-storey rear extension in connection with conversion of dwellinghouse into 1 x 3 bedroom, 1 x 2 bedroom and 1 x 1 bedroom flats."/>
    <s v="PF"/>
    <d v="2019-03-13T00:00:00"/>
    <d v="2019-04-17T00:00:00"/>
    <x v="1"/>
    <s v="Nil"/>
    <m/>
    <s v="BF"/>
    <s v="MIX"/>
    <x v="0"/>
    <x v="3"/>
    <n v="8.0000003799796104E-3"/>
    <d v="2019-10-10T00:00:00"/>
    <x v="1"/>
    <m/>
    <x v="0"/>
    <s v="M"/>
    <m/>
    <m/>
    <n v="0"/>
    <n v="0"/>
    <n v="0"/>
    <n v="0"/>
    <n v="0"/>
    <n v="1"/>
    <n v="0"/>
    <n v="0"/>
    <n v="0"/>
    <n v="0"/>
    <n v="0"/>
    <n v="0"/>
    <n v="1"/>
    <n v="0"/>
    <n v="0"/>
    <n v="0"/>
    <n v="0"/>
    <n v="0"/>
    <n v="0"/>
    <n v="0"/>
    <n v="0"/>
    <n v="0"/>
    <n v="0"/>
    <n v="0"/>
    <n v="0"/>
    <n v="0"/>
    <n v="0"/>
    <n v="0"/>
    <n v="0"/>
    <n v="0"/>
    <n v="0"/>
    <n v="0"/>
    <x v="0"/>
    <x v="0"/>
    <x v="0"/>
    <x v="0"/>
    <x v="0"/>
    <m/>
    <x v="0"/>
    <x v="0"/>
    <n v="14"/>
    <m/>
    <n v="0.5"/>
    <n v="0.5"/>
    <m/>
    <m/>
    <m/>
    <m/>
    <m/>
    <m/>
    <m/>
    <m/>
    <m/>
    <m/>
    <m/>
    <m/>
    <m/>
    <m/>
    <m/>
    <m/>
    <m/>
    <m/>
    <n v="1"/>
    <n v="1"/>
  </r>
  <r>
    <n v="6966"/>
    <x v="1"/>
    <s v="2018/2436"/>
    <s v="6 Gosberton Road"/>
    <s v="conversion"/>
    <n v="528226"/>
    <n v="173539"/>
    <x v="3"/>
    <d v="2019-03-31T00:00:00"/>
    <m/>
    <n v="1"/>
    <n v="1"/>
    <n v="0"/>
    <n v="3"/>
    <n v="2"/>
    <x v="0"/>
    <s v="Alterations including erection of mansard roof extension to main rear roof (with French doors and safety railings) and extension above part of two-storey back addition. Erection of single-storey rear/side extension, installation of velux windows (3) in front roofslope and French windows in rear elevation (1st floor), excavation to enlarge basement including formation of front and rear lightwells and conversion of property to 1 x 3-bedroom and 2 x 2-bedroom flats with associated cycle and refuse storage."/>
    <s v="PF"/>
    <d v="2018-05-25T00:00:00"/>
    <d v="2018-09-21T00:00:00"/>
    <x v="0"/>
    <s v="Nil"/>
    <m/>
    <s v="BF"/>
    <s v="MIX"/>
    <x v="0"/>
    <x v="2"/>
    <n v="3.0000000260770299E-3"/>
    <d v="2019-03-31T00:00:00"/>
    <x v="0"/>
    <m/>
    <x v="0"/>
    <s v="M"/>
    <m/>
    <m/>
    <n v="0"/>
    <n v="0"/>
    <n v="0"/>
    <n v="0"/>
    <n v="0"/>
    <n v="0"/>
    <n v="1"/>
    <n v="0"/>
    <n v="-1"/>
    <n v="0"/>
    <n v="0"/>
    <n v="0"/>
    <n v="0"/>
    <n v="1"/>
    <n v="0"/>
    <n v="0"/>
    <n v="0"/>
    <n v="0"/>
    <n v="0"/>
    <n v="0"/>
    <n v="0"/>
    <n v="0"/>
    <n v="-1"/>
    <n v="0"/>
    <n v="0"/>
    <n v="0"/>
    <n v="0"/>
    <n v="0"/>
    <n v="0"/>
    <n v="0"/>
    <n v="0"/>
    <n v="0"/>
    <x v="0"/>
    <x v="0"/>
    <x v="0"/>
    <x v="0"/>
    <x v="0"/>
    <m/>
    <x v="0"/>
    <x v="0"/>
    <n v="13"/>
    <m/>
    <n v="0"/>
    <m/>
    <m/>
    <m/>
    <m/>
    <m/>
    <m/>
    <m/>
    <m/>
    <m/>
    <m/>
    <m/>
    <m/>
    <m/>
    <m/>
    <m/>
    <m/>
    <m/>
    <m/>
    <m/>
    <n v="0"/>
    <n v="0"/>
  </r>
  <r>
    <n v="6966"/>
    <x v="1"/>
    <s v="2018/2436"/>
    <s v="6 Gosberton Road"/>
    <s v="extn to existing"/>
    <n v="528226"/>
    <n v="173539"/>
    <x v="3"/>
    <d v="2019-03-31T00:00:00"/>
    <m/>
    <n v="0"/>
    <n v="2"/>
    <n v="2"/>
    <n v="3"/>
    <n v="2"/>
    <x v="0"/>
    <s v="Alterations including erection of mansard roof extension to main rear roof (with French doors and safety railings) and extension above part of two-storey back addition. Erection of single-storey rear/side extension, installation of velux windows (3) in front roofslope and French windows in rear elevation (1st floor), excavation to enlarge basement including formation of front and rear lightwells and conversion of property to 1 x 3-bedroom and 2 x 2-bedroom flats with associated cycle and refuse storage."/>
    <s v="PF"/>
    <d v="2018-05-25T00:00:00"/>
    <d v="2018-09-21T00:00:00"/>
    <x v="0"/>
    <s v="Nil"/>
    <m/>
    <s v="BF"/>
    <s v="MIX"/>
    <x v="0"/>
    <x v="2"/>
    <n v="9.9999997764825804E-3"/>
    <d v="2019-03-31T00:00:00"/>
    <x v="0"/>
    <m/>
    <x v="0"/>
    <s v="M"/>
    <m/>
    <m/>
    <n v="0"/>
    <n v="0"/>
    <n v="0"/>
    <n v="0"/>
    <n v="0"/>
    <n v="0"/>
    <n v="1"/>
    <n v="1"/>
    <n v="0"/>
    <n v="0"/>
    <n v="0"/>
    <n v="0"/>
    <n v="0"/>
    <n v="1"/>
    <n v="1"/>
    <n v="0"/>
    <n v="0"/>
    <n v="0"/>
    <n v="0"/>
    <n v="0"/>
    <n v="0"/>
    <n v="0"/>
    <n v="0"/>
    <n v="0"/>
    <n v="0"/>
    <n v="0"/>
    <n v="0"/>
    <n v="0"/>
    <n v="0"/>
    <n v="0"/>
    <n v="0"/>
    <n v="0"/>
    <x v="0"/>
    <x v="0"/>
    <x v="0"/>
    <x v="0"/>
    <x v="0"/>
    <m/>
    <x v="0"/>
    <x v="0"/>
    <n v="13"/>
    <m/>
    <n v="2"/>
    <m/>
    <m/>
    <m/>
    <m/>
    <m/>
    <m/>
    <m/>
    <m/>
    <m/>
    <m/>
    <m/>
    <m/>
    <m/>
    <m/>
    <m/>
    <m/>
    <m/>
    <m/>
    <m/>
    <n v="2"/>
    <n v="2"/>
  </r>
  <r>
    <n v="6974"/>
    <x v="1"/>
    <s v="2018/2298"/>
    <s v="142 Priory Lane"/>
    <m/>
    <n v="521221"/>
    <n v="174269"/>
    <x v="13"/>
    <d v="2018-11-26T00:00:00"/>
    <m/>
    <n v="1"/>
    <n v="1"/>
    <n v="0"/>
    <n v="1"/>
    <n v="0"/>
    <x v="0"/>
    <s v="Demolition of existing house and erection of three-storey 6-bedroom dwelling with associated landscaping, cycle and refuse storage and parking with vehicular access from Roehampton Gate."/>
    <s v="PF"/>
    <d v="2018-06-14T00:00:00"/>
    <d v="2018-10-23T00:00:00"/>
    <x v="0"/>
    <s v="Nil"/>
    <m/>
    <s v="BF"/>
    <s v="NB"/>
    <x v="0"/>
    <x v="5"/>
    <n v="0.23899999260902399"/>
    <d v="2018-11-26T00:00:00"/>
    <x v="0"/>
    <m/>
    <x v="0"/>
    <s v="M"/>
    <m/>
    <m/>
    <n v="0"/>
    <n v="0"/>
    <n v="0"/>
    <n v="0"/>
    <n v="0"/>
    <n v="0"/>
    <n v="0"/>
    <n v="0"/>
    <n v="0"/>
    <n v="0"/>
    <n v="0"/>
    <n v="0"/>
    <n v="0"/>
    <n v="0"/>
    <n v="0"/>
    <n v="0"/>
    <n v="0"/>
    <n v="0"/>
    <n v="0"/>
    <n v="0"/>
    <n v="0"/>
    <n v="0"/>
    <n v="0"/>
    <n v="0"/>
    <n v="0"/>
    <n v="0"/>
    <n v="0"/>
    <n v="0"/>
    <n v="0"/>
    <n v="0"/>
    <n v="0"/>
    <n v="0"/>
    <x v="0"/>
    <x v="0"/>
    <x v="0"/>
    <x v="0"/>
    <x v="0"/>
    <m/>
    <x v="0"/>
    <x v="0"/>
    <n v="2"/>
    <m/>
    <n v="0"/>
    <m/>
    <m/>
    <m/>
    <m/>
    <m/>
    <m/>
    <m/>
    <m/>
    <m/>
    <m/>
    <m/>
    <m/>
    <m/>
    <m/>
    <m/>
    <m/>
    <m/>
    <m/>
    <m/>
    <n v="0"/>
    <n v="0"/>
  </r>
  <r>
    <n v="7005"/>
    <x v="1"/>
    <s v="2018/3634"/>
    <s v="26 Drakefield Road"/>
    <m/>
    <n v="528240"/>
    <n v="172415"/>
    <x v="19"/>
    <d v="2019-03-31T00:00:00"/>
    <m/>
    <n v="3"/>
    <n v="1"/>
    <n v="-2"/>
    <n v="1"/>
    <n v="-2"/>
    <x v="0"/>
    <s v="Alterations including the erection of a single storey side and rear extension; conversion of building from 1 x 1 bedroom and 2 x 2 bedroom flats into a single dwellinghouse."/>
    <s v="PF"/>
    <d v="2018-08-13T00:00:00"/>
    <d v="2018-10-05T00:00:00"/>
    <x v="0"/>
    <s v="Nil"/>
    <m/>
    <s v="BF"/>
    <s v="MIX"/>
    <x v="0"/>
    <x v="8"/>
    <n v="2.3000000044703501E-2"/>
    <d v="2019-03-31T00:00:00"/>
    <x v="0"/>
    <m/>
    <x v="0"/>
    <s v="M"/>
    <m/>
    <m/>
    <n v="0"/>
    <n v="0"/>
    <n v="0"/>
    <n v="0"/>
    <n v="0"/>
    <n v="-1"/>
    <n v="-2"/>
    <n v="0"/>
    <n v="1"/>
    <n v="0"/>
    <n v="0"/>
    <n v="0"/>
    <n v="-1"/>
    <n v="-2"/>
    <n v="0"/>
    <n v="0"/>
    <n v="0"/>
    <n v="0"/>
    <n v="0"/>
    <n v="0"/>
    <n v="0"/>
    <n v="0"/>
    <n v="1"/>
    <n v="0"/>
    <n v="0"/>
    <n v="0"/>
    <n v="0"/>
    <n v="0"/>
    <n v="0"/>
    <n v="0"/>
    <n v="0"/>
    <n v="0"/>
    <x v="0"/>
    <x v="0"/>
    <x v="0"/>
    <x v="0"/>
    <x v="0"/>
    <m/>
    <x v="0"/>
    <x v="0"/>
    <n v="13"/>
    <m/>
    <n v="-2"/>
    <m/>
    <m/>
    <m/>
    <m/>
    <m/>
    <m/>
    <m/>
    <m/>
    <m/>
    <m/>
    <m/>
    <m/>
    <m/>
    <m/>
    <m/>
    <m/>
    <m/>
    <m/>
    <m/>
    <n v="-2"/>
    <n v="-2"/>
  </r>
  <r>
    <n v="7026"/>
    <x v="1"/>
    <s v="2018/4645"/>
    <s v="50 Bolingbroke Grove"/>
    <m/>
    <n v="527441"/>
    <n v="174367"/>
    <x v="4"/>
    <d v="2019-03-31T00:00:00"/>
    <m/>
    <n v="2"/>
    <n v="1"/>
    <n v="-1"/>
    <n v="1"/>
    <n v="-1"/>
    <x v="0"/>
    <s v="Alterations including erection of dormer roof extension, erection of roof extension above two storey side addition and erection of replacement single-storey rear extension in connection with conversion of property from two flats to single dwelling house."/>
    <s v="PF"/>
    <d v="2018-10-01T00:00:00"/>
    <d v="2018-11-26T00:00:00"/>
    <x v="0"/>
    <s v="Nil"/>
    <m/>
    <s v="BF"/>
    <s v="CON"/>
    <x v="0"/>
    <x v="8"/>
    <n v="1.30000002682209E-2"/>
    <d v="2019-03-31T00:00:00"/>
    <x v="0"/>
    <m/>
    <x v="0"/>
    <s v="M"/>
    <m/>
    <m/>
    <n v="0"/>
    <n v="0"/>
    <n v="0"/>
    <n v="0"/>
    <n v="0"/>
    <n v="-1"/>
    <n v="0"/>
    <n v="0"/>
    <n v="-1"/>
    <n v="1"/>
    <n v="0"/>
    <n v="0"/>
    <n v="-1"/>
    <n v="0"/>
    <n v="0"/>
    <n v="-1"/>
    <n v="0"/>
    <n v="0"/>
    <n v="0"/>
    <n v="0"/>
    <n v="0"/>
    <n v="0"/>
    <n v="0"/>
    <n v="1"/>
    <n v="0"/>
    <n v="0"/>
    <n v="0"/>
    <n v="0"/>
    <n v="0"/>
    <n v="0"/>
    <n v="0"/>
    <n v="0"/>
    <x v="0"/>
    <x v="0"/>
    <x v="0"/>
    <x v="0"/>
    <x v="0"/>
    <m/>
    <x v="0"/>
    <x v="0"/>
    <n v="13"/>
    <m/>
    <n v="-1"/>
    <m/>
    <m/>
    <m/>
    <m/>
    <m/>
    <m/>
    <m/>
    <m/>
    <m/>
    <m/>
    <m/>
    <m/>
    <m/>
    <m/>
    <m/>
    <m/>
    <m/>
    <m/>
    <m/>
    <n v="-1"/>
    <n v="-1"/>
  </r>
  <r>
    <n v="7029"/>
    <x v="1"/>
    <s v="2018/4835"/>
    <s v="21 Bedford Hill"/>
    <m/>
    <n v="528624"/>
    <n v="173357"/>
    <x v="6"/>
    <d v="2019-08-14T00:00:00"/>
    <m/>
    <n v="0"/>
    <n v="1"/>
    <n v="1"/>
    <n v="1"/>
    <n v="1"/>
    <x v="0"/>
    <s v="Determination as to whether prior approval is required for change of use of rear part of shop (Class A1) to residential (Class C3) to provide 1 x 1-bedroom flat."/>
    <s v="PAG"/>
    <d v="2018-10-10T00:00:00"/>
    <d v="2018-11-28T00:00:00"/>
    <x v="0"/>
    <s v="Nil"/>
    <m/>
    <s v="BF"/>
    <s v="COU"/>
    <x v="0"/>
    <x v="4"/>
    <n v="3.0000000260770299E-3"/>
    <d v="2019-08-14T00:00:00"/>
    <x v="1"/>
    <m/>
    <x v="0"/>
    <s v="M"/>
    <m/>
    <m/>
    <n v="0"/>
    <n v="0"/>
    <n v="0"/>
    <n v="0"/>
    <n v="0"/>
    <n v="1"/>
    <n v="0"/>
    <n v="0"/>
    <n v="0"/>
    <n v="0"/>
    <n v="0"/>
    <n v="0"/>
    <n v="1"/>
    <n v="0"/>
    <n v="0"/>
    <n v="0"/>
    <n v="0"/>
    <n v="0"/>
    <n v="0"/>
    <n v="0"/>
    <n v="0"/>
    <n v="0"/>
    <n v="0"/>
    <n v="0"/>
    <n v="0"/>
    <n v="0"/>
    <n v="0"/>
    <n v="0"/>
    <n v="0"/>
    <n v="0"/>
    <n v="0"/>
    <n v="0"/>
    <x v="5"/>
    <x v="0"/>
    <x v="0"/>
    <x v="0"/>
    <x v="0"/>
    <m/>
    <x v="0"/>
    <x v="0"/>
    <n v="13"/>
    <m/>
    <n v="1"/>
    <m/>
    <m/>
    <m/>
    <m/>
    <m/>
    <m/>
    <m/>
    <m/>
    <m/>
    <m/>
    <m/>
    <m/>
    <m/>
    <m/>
    <m/>
    <m/>
    <m/>
    <m/>
    <m/>
    <n v="1"/>
    <n v="1"/>
  </r>
  <r>
    <n v="7041"/>
    <x v="1"/>
    <s v="2019/1544"/>
    <s v="203 Trinity Road"/>
    <m/>
    <n v="527503"/>
    <n v="173064"/>
    <x v="17"/>
    <d v="2019-11-11T00:00:00"/>
    <m/>
    <n v="1"/>
    <n v="3"/>
    <n v="2"/>
    <n v="3"/>
    <n v="2"/>
    <x v="0"/>
    <s v="Alterations including demolition of existing two storey back addition, reconstruction of enlarged two storey back addition, erection of a mansard roof extension to main rear roof, erection of extension above two storey back addition, erection of a single storey rear/side extension in connection with conversion to 1 x 1-bed, 1 x 2-bed and 1 x 3-bed flats with associated cycle and refuse storage to front and rear garden."/>
    <s v="PF"/>
    <d v="2019-04-08T00:00:00"/>
    <d v="2019-07-01T00:00:00"/>
    <x v="1"/>
    <s v="Nil"/>
    <m/>
    <s v="BF"/>
    <s v="CON"/>
    <x v="0"/>
    <x v="2"/>
    <n v="1.60000007599592E-2"/>
    <d v="2019-11-11T00:00:00"/>
    <x v="1"/>
    <m/>
    <x v="0"/>
    <s v="M"/>
    <m/>
    <m/>
    <n v="0"/>
    <n v="0"/>
    <n v="0"/>
    <n v="0"/>
    <n v="0"/>
    <n v="1"/>
    <n v="1"/>
    <n v="1"/>
    <n v="0"/>
    <n v="-1"/>
    <n v="0"/>
    <n v="0"/>
    <n v="1"/>
    <n v="1"/>
    <n v="1"/>
    <n v="0"/>
    <n v="0"/>
    <n v="0"/>
    <n v="0"/>
    <n v="0"/>
    <n v="0"/>
    <n v="0"/>
    <n v="0"/>
    <n v="-1"/>
    <n v="0"/>
    <n v="0"/>
    <n v="0"/>
    <n v="0"/>
    <n v="0"/>
    <n v="0"/>
    <n v="0"/>
    <n v="0"/>
    <x v="0"/>
    <x v="0"/>
    <x v="0"/>
    <x v="0"/>
    <x v="0"/>
    <m/>
    <x v="0"/>
    <x v="0"/>
    <n v="14"/>
    <m/>
    <n v="1"/>
    <n v="1"/>
    <m/>
    <m/>
    <m/>
    <m/>
    <m/>
    <m/>
    <m/>
    <m/>
    <m/>
    <m/>
    <m/>
    <m/>
    <m/>
    <m/>
    <m/>
    <m/>
    <m/>
    <m/>
    <n v="2"/>
    <n v="2"/>
  </r>
  <r>
    <n v="7058"/>
    <x v="1"/>
    <s v="2018/1257"/>
    <s v="Flat C, 180 Queenstown Road"/>
    <m/>
    <n v="528753"/>
    <n v="176620"/>
    <x v="12"/>
    <d v="2019-09-16T00:00:00"/>
    <m/>
    <n v="0"/>
    <n v="1"/>
    <n v="1"/>
    <n v="1"/>
    <n v="1"/>
    <x v="0"/>
    <s v="Internal alterations to existing second floor flat and loft conversion and the erection of a dormer roof extension to create 1 x 1 person 1 bedroom self-contained flat."/>
    <s v="PF"/>
    <d v="2018-04-17T00:00:00"/>
    <d v="2018-12-20T00:00:00"/>
    <x v="0"/>
    <s v="Nil"/>
    <m/>
    <s v="BF"/>
    <s v="EXT"/>
    <x v="0"/>
    <x v="13"/>
    <n v="3.0000000260770299E-3"/>
    <d v="2019-09-16T00:00:00"/>
    <x v="1"/>
    <m/>
    <x v="0"/>
    <s v="M"/>
    <m/>
    <m/>
    <n v="0"/>
    <n v="0"/>
    <n v="0"/>
    <n v="0"/>
    <n v="0"/>
    <n v="1"/>
    <n v="0"/>
    <n v="0"/>
    <n v="0"/>
    <n v="0"/>
    <n v="0"/>
    <n v="0"/>
    <n v="1"/>
    <n v="0"/>
    <n v="0"/>
    <n v="0"/>
    <n v="0"/>
    <n v="0"/>
    <n v="0"/>
    <n v="0"/>
    <n v="0"/>
    <n v="0"/>
    <n v="0"/>
    <n v="0"/>
    <n v="0"/>
    <n v="0"/>
    <n v="0"/>
    <n v="0"/>
    <n v="0"/>
    <n v="0"/>
    <n v="0"/>
    <n v="0"/>
    <x v="0"/>
    <x v="1"/>
    <x v="0"/>
    <x v="0"/>
    <x v="0"/>
    <m/>
    <x v="0"/>
    <x v="0"/>
    <n v="13"/>
    <m/>
    <n v="1"/>
    <m/>
    <m/>
    <m/>
    <m/>
    <m/>
    <m/>
    <m/>
    <m/>
    <m/>
    <m/>
    <m/>
    <m/>
    <m/>
    <m/>
    <m/>
    <m/>
    <m/>
    <m/>
    <m/>
    <n v="1"/>
    <n v="1"/>
  </r>
  <r>
    <n v="7059"/>
    <x v="1"/>
    <s v="2019/2893"/>
    <s v="7 Gressenhall Road"/>
    <m/>
    <n v="524685"/>
    <n v="174182"/>
    <x v="5"/>
    <d v="2020-01-07T00:00:00"/>
    <m/>
    <n v="1"/>
    <n v="7"/>
    <n v="6"/>
    <n v="7"/>
    <n v="6"/>
    <x v="0"/>
    <s v="Demolition of existing building and erection of four-storey (plus basement) building to provide 2 x 3-bedroom, 2 x 2-bedroom and 3 x 1-bedroom flats with roof terraces at second and third floor levels, associated landscaping, boundary treatment and bin and cycle storage."/>
    <s v="PF"/>
    <d v="2019-07-16T00:00:00"/>
    <d v="2019-09-18T00:00:00"/>
    <x v="1"/>
    <s v="Nil"/>
    <m/>
    <s v="BF"/>
    <s v="NB"/>
    <x v="0"/>
    <x v="5"/>
    <n v="9.9999997764825804E-3"/>
    <d v="2020-01-07T00:00:00"/>
    <x v="1"/>
    <m/>
    <x v="0"/>
    <s v="M"/>
    <m/>
    <m/>
    <n v="0"/>
    <n v="0"/>
    <n v="0"/>
    <n v="0"/>
    <n v="0"/>
    <n v="3"/>
    <n v="1"/>
    <n v="2"/>
    <n v="0"/>
    <n v="0"/>
    <n v="0"/>
    <n v="0"/>
    <n v="3"/>
    <n v="2"/>
    <n v="2"/>
    <n v="0"/>
    <n v="0"/>
    <n v="0"/>
    <n v="0"/>
    <n v="0"/>
    <n v="-1"/>
    <n v="0"/>
    <n v="0"/>
    <n v="0"/>
    <n v="0"/>
    <n v="0"/>
    <n v="0"/>
    <n v="0"/>
    <n v="0"/>
    <n v="0"/>
    <n v="0"/>
    <n v="0"/>
    <x v="0"/>
    <x v="0"/>
    <x v="0"/>
    <x v="0"/>
    <x v="0"/>
    <m/>
    <x v="0"/>
    <x v="0"/>
    <n v="3"/>
    <m/>
    <n v="3"/>
    <n v="3"/>
    <m/>
    <m/>
    <m/>
    <m/>
    <m/>
    <m/>
    <m/>
    <m/>
    <m/>
    <m/>
    <m/>
    <m/>
    <m/>
    <m/>
    <m/>
    <m/>
    <m/>
    <m/>
    <n v="6"/>
    <n v="6"/>
  </r>
  <r>
    <n v="7068"/>
    <x v="1"/>
    <s v="2018/5840"/>
    <s v="43 Seymour Road"/>
    <m/>
    <n v="524905"/>
    <n v="173971"/>
    <x v="5"/>
    <d v="2019-07-01T00:00:00"/>
    <m/>
    <n v="1"/>
    <n v="1"/>
    <n v="0"/>
    <n v="1"/>
    <n v="0"/>
    <x v="0"/>
    <s v="Demolition of existing dwelling and erection of replacement two-storey (plus basement) 5-bedroom house with elevated ground floor terrace at rear and front lightwell."/>
    <s v="PF"/>
    <d v="2018-12-07T00:00:00"/>
    <d v="2019-04-26T00:00:00"/>
    <x v="1"/>
    <s v="Nil"/>
    <m/>
    <s v="BF"/>
    <s v="NB"/>
    <x v="0"/>
    <x v="5"/>
    <n v="4.39999997615814E-2"/>
    <d v="2019-07-01T00:00:00"/>
    <x v="1"/>
    <m/>
    <x v="0"/>
    <s v="M"/>
    <m/>
    <m/>
    <n v="0"/>
    <n v="0"/>
    <n v="0"/>
    <n v="0"/>
    <n v="0"/>
    <n v="0"/>
    <n v="0"/>
    <n v="-1"/>
    <n v="0"/>
    <n v="1"/>
    <n v="0"/>
    <n v="0"/>
    <n v="0"/>
    <n v="0"/>
    <n v="0"/>
    <n v="0"/>
    <n v="0"/>
    <n v="0"/>
    <n v="0"/>
    <n v="0"/>
    <n v="0"/>
    <n v="-1"/>
    <n v="0"/>
    <n v="1"/>
    <n v="0"/>
    <n v="0"/>
    <n v="0"/>
    <n v="0"/>
    <n v="0"/>
    <n v="0"/>
    <n v="0"/>
    <n v="0"/>
    <x v="0"/>
    <x v="0"/>
    <x v="0"/>
    <x v="0"/>
    <x v="0"/>
    <m/>
    <x v="0"/>
    <x v="0"/>
    <n v="2"/>
    <m/>
    <n v="0"/>
    <m/>
    <m/>
    <m/>
    <m/>
    <m/>
    <m/>
    <m/>
    <m/>
    <m/>
    <m/>
    <m/>
    <m/>
    <m/>
    <m/>
    <m/>
    <m/>
    <m/>
    <m/>
    <m/>
    <n v="0"/>
    <n v="0"/>
  </r>
  <r>
    <n v="7095"/>
    <x v="1"/>
    <s v="2019/0196"/>
    <s v="Flat A, 167 Mitcham Road"/>
    <m/>
    <n v="527849"/>
    <n v="171048"/>
    <x v="10"/>
    <d v="2020-03-31T00:00:00"/>
    <m/>
    <n v="1"/>
    <n v="2"/>
    <n v="1"/>
    <n v="2"/>
    <n v="1"/>
    <x v="0"/>
    <s v="Conversion of existing 1 x 3 bedroom flat to create 2 x 1-bedroom studio flats."/>
    <s v="PF"/>
    <d v="2019-01-16T00:00:00"/>
    <d v="2019-05-01T00:00:00"/>
    <x v="1"/>
    <s v="Nil"/>
    <m/>
    <s v="BF"/>
    <s v="CON"/>
    <x v="0"/>
    <x v="0"/>
    <n v="4.0000001899898104E-3"/>
    <d v="2020-03-31T00:00:00"/>
    <x v="1"/>
    <m/>
    <x v="0"/>
    <s v="M"/>
    <m/>
    <m/>
    <n v="0"/>
    <n v="0"/>
    <n v="0"/>
    <n v="0"/>
    <n v="2"/>
    <n v="0"/>
    <n v="0"/>
    <n v="-1"/>
    <n v="0"/>
    <n v="0"/>
    <n v="0"/>
    <n v="2"/>
    <n v="0"/>
    <n v="0"/>
    <n v="-1"/>
    <n v="0"/>
    <n v="0"/>
    <n v="0"/>
    <n v="0"/>
    <n v="0"/>
    <n v="0"/>
    <n v="0"/>
    <n v="0"/>
    <n v="0"/>
    <n v="0"/>
    <n v="0"/>
    <n v="0"/>
    <n v="0"/>
    <n v="0"/>
    <n v="0"/>
    <n v="0"/>
    <n v="0"/>
    <x v="4"/>
    <x v="0"/>
    <x v="0"/>
    <x v="0"/>
    <x v="0"/>
    <m/>
    <x v="0"/>
    <x v="0"/>
    <n v="14"/>
    <m/>
    <n v="0.5"/>
    <n v="0.5"/>
    <m/>
    <m/>
    <m/>
    <m/>
    <m/>
    <m/>
    <m/>
    <m/>
    <m/>
    <m/>
    <m/>
    <m/>
    <m/>
    <m/>
    <m/>
    <m/>
    <m/>
    <m/>
    <n v="1"/>
    <n v="1"/>
  </r>
  <r>
    <n v="7104"/>
    <x v="1"/>
    <s v="2019/0135"/>
    <s v="185 Garratt Lane"/>
    <m/>
    <n v="525887"/>
    <n v="173963"/>
    <x v="8"/>
    <d v="2019-05-20T00:00:00"/>
    <m/>
    <n v="1"/>
    <n v="3"/>
    <n v="2"/>
    <n v="3"/>
    <n v="2"/>
    <x v="0"/>
    <s v="Alterations including erection of extension above two storey back addition; Erection of part single, part-two storey rear extension; formation of terraces with glass surround to rear elevation at first and second floor levels in connection with conversion to 2 x 1-bed and 1 x 2-bed flats."/>
    <s v="PF"/>
    <d v="2019-02-04T00:00:00"/>
    <d v="2019-04-01T00:00:00"/>
    <x v="1"/>
    <s v="Nil"/>
    <m/>
    <s v="BF"/>
    <s v="MIX"/>
    <x v="0"/>
    <x v="0"/>
    <n v="6.0000000521540598E-3"/>
    <d v="2019-05-20T00:00:00"/>
    <x v="1"/>
    <m/>
    <x v="0"/>
    <s v="M"/>
    <m/>
    <m/>
    <n v="0"/>
    <n v="0"/>
    <n v="0"/>
    <n v="0"/>
    <n v="0"/>
    <n v="2"/>
    <n v="1"/>
    <n v="-1"/>
    <n v="0"/>
    <n v="0"/>
    <n v="0"/>
    <n v="0"/>
    <n v="2"/>
    <n v="1"/>
    <n v="-1"/>
    <n v="0"/>
    <n v="0"/>
    <n v="0"/>
    <n v="0"/>
    <n v="0"/>
    <n v="0"/>
    <n v="0"/>
    <n v="0"/>
    <n v="0"/>
    <n v="0"/>
    <n v="0"/>
    <n v="0"/>
    <n v="0"/>
    <n v="0"/>
    <n v="0"/>
    <n v="0"/>
    <n v="0"/>
    <x v="0"/>
    <x v="0"/>
    <x v="0"/>
    <x v="0"/>
    <x v="0"/>
    <m/>
    <x v="0"/>
    <x v="0"/>
    <n v="13"/>
    <m/>
    <n v="2"/>
    <m/>
    <m/>
    <m/>
    <m/>
    <m/>
    <m/>
    <m/>
    <m/>
    <m/>
    <m/>
    <m/>
    <m/>
    <m/>
    <m/>
    <m/>
    <m/>
    <m/>
    <m/>
    <m/>
    <n v="2"/>
    <n v="2"/>
  </r>
  <r>
    <n v="7114"/>
    <x v="1"/>
    <s v="2019/0291"/>
    <s v="4 Ravenslea Road"/>
    <m/>
    <n v="527807"/>
    <n v="173671"/>
    <x v="3"/>
    <d v="2019-11-06T00:00:00"/>
    <m/>
    <n v="0"/>
    <n v="1"/>
    <n v="1"/>
    <n v="1"/>
    <n v="1"/>
    <x v="0"/>
    <s v="Change of use from a House of Multiple Occupation (HMO) to a single dwelling house."/>
    <s v="LDC Prop"/>
    <d v="2019-02-05T00:00:00"/>
    <d v="2019-04-01T00:00:00"/>
    <x v="1"/>
    <s v="Nil"/>
    <m/>
    <s v="BF"/>
    <s v="COU"/>
    <x v="0"/>
    <x v="1"/>
    <n v="3.7999998778104803E-2"/>
    <d v="2019-11-06T00:00:00"/>
    <x v="1"/>
    <m/>
    <x v="0"/>
    <s v="M"/>
    <m/>
    <m/>
    <n v="0"/>
    <n v="0"/>
    <n v="0"/>
    <n v="0"/>
    <n v="0"/>
    <n v="0"/>
    <n v="0"/>
    <n v="0"/>
    <n v="0"/>
    <n v="1"/>
    <n v="0"/>
    <n v="0"/>
    <n v="0"/>
    <n v="0"/>
    <n v="0"/>
    <n v="0"/>
    <n v="0"/>
    <n v="0"/>
    <n v="0"/>
    <n v="0"/>
    <n v="0"/>
    <n v="0"/>
    <n v="0"/>
    <n v="1"/>
    <n v="0"/>
    <n v="0"/>
    <n v="0"/>
    <n v="0"/>
    <n v="0"/>
    <n v="0"/>
    <n v="0"/>
    <n v="0"/>
    <x v="0"/>
    <x v="0"/>
    <x v="0"/>
    <x v="0"/>
    <x v="0"/>
    <m/>
    <x v="0"/>
    <x v="0"/>
    <n v="14"/>
    <m/>
    <n v="0.5"/>
    <n v="0.5"/>
    <m/>
    <m/>
    <m/>
    <m/>
    <m/>
    <m/>
    <m/>
    <m/>
    <m/>
    <m/>
    <m/>
    <m/>
    <m/>
    <m/>
    <m/>
    <m/>
    <m/>
    <m/>
    <n v="1"/>
    <n v="1"/>
  </r>
  <r>
    <n v="7117"/>
    <x v="1"/>
    <s v="2019/0503"/>
    <s v="812 Garratt Lane"/>
    <m/>
    <n v="526909"/>
    <n v="171796"/>
    <x v="1"/>
    <d v="2019-11-07T00:00:00"/>
    <m/>
    <n v="0"/>
    <n v="1"/>
    <n v="1"/>
    <n v="1"/>
    <n v="1"/>
    <x v="0"/>
    <s v="Alterations including erection of side and rear mansard extension to main rear roof and over back addition; erection of two-storey side/rear extension and replacement and installation of first floor external staircase and landing to rear in connection with formation of additional 2-bedroom flat and extension to existing studio and 3 bedroom flats."/>
    <s v="PF"/>
    <d v="2019-02-05T00:00:00"/>
    <d v="2019-04-02T00:00:00"/>
    <x v="1"/>
    <s v="Nil"/>
    <m/>
    <s v="BF"/>
    <s v="MIX"/>
    <x v="0"/>
    <x v="3"/>
    <n v="4.0000001899898104E-3"/>
    <d v="2019-11-07T00:00:00"/>
    <x v="1"/>
    <m/>
    <x v="0"/>
    <s v="M"/>
    <m/>
    <m/>
    <n v="0"/>
    <n v="0"/>
    <n v="0"/>
    <n v="0"/>
    <n v="0"/>
    <n v="0"/>
    <n v="1"/>
    <n v="0"/>
    <n v="0"/>
    <n v="0"/>
    <n v="0"/>
    <n v="0"/>
    <n v="0"/>
    <n v="1"/>
    <n v="0"/>
    <n v="0"/>
    <n v="0"/>
    <n v="0"/>
    <n v="0"/>
    <n v="0"/>
    <n v="0"/>
    <n v="0"/>
    <n v="0"/>
    <n v="0"/>
    <n v="0"/>
    <n v="0"/>
    <n v="0"/>
    <n v="0"/>
    <n v="0"/>
    <n v="0"/>
    <n v="0"/>
    <n v="0"/>
    <x v="0"/>
    <x v="0"/>
    <x v="0"/>
    <x v="0"/>
    <x v="0"/>
    <m/>
    <x v="0"/>
    <x v="0"/>
    <n v="14"/>
    <m/>
    <n v="0.5"/>
    <n v="0.5"/>
    <m/>
    <m/>
    <m/>
    <m/>
    <m/>
    <m/>
    <m/>
    <m/>
    <m/>
    <m/>
    <m/>
    <m/>
    <m/>
    <m/>
    <m/>
    <m/>
    <m/>
    <m/>
    <n v="1"/>
    <n v="1"/>
  </r>
  <r>
    <n v="7120"/>
    <x v="1"/>
    <s v="2019/0557"/>
    <s v="515 Battersea Park Road"/>
    <s v="conversion"/>
    <n v="527464"/>
    <n v="176353"/>
    <x v="16"/>
    <d v="2019-12-13T00:00:00"/>
    <m/>
    <n v="2"/>
    <n v="1"/>
    <n v="-1"/>
    <n v="4"/>
    <n v="2"/>
    <x v="0"/>
    <s v="Alterations including erection of mansard roof extension to create an additional storey; erection of a part one/two/three/four storey rear extension; creation of balconies/roof terraces at first/second/third storeys; in connection with change of use of rear part of ground floor from restaurant (Class A3) to residential (Class C3) and creation of 4 x 1-bedroom and 1 x 2-bedroom flats."/>
    <s v="PF"/>
    <d v="2019-02-07T00:00:00"/>
    <d v="2019-06-21T00:00:00"/>
    <x v="1"/>
    <s v="Nil"/>
    <m/>
    <s v="BF"/>
    <s v="MIX"/>
    <x v="0"/>
    <x v="10"/>
    <n v="2.0000000949949E-3"/>
    <d v="2019-12-13T00:00:00"/>
    <x v="1"/>
    <m/>
    <x v="0"/>
    <s v="M"/>
    <m/>
    <m/>
    <n v="0"/>
    <n v="0"/>
    <n v="0"/>
    <n v="0"/>
    <n v="0"/>
    <n v="-2"/>
    <n v="1"/>
    <n v="0"/>
    <n v="0"/>
    <n v="0"/>
    <n v="0"/>
    <n v="0"/>
    <n v="-2"/>
    <n v="1"/>
    <n v="0"/>
    <n v="0"/>
    <n v="0"/>
    <n v="0"/>
    <n v="0"/>
    <n v="0"/>
    <n v="0"/>
    <n v="0"/>
    <n v="0"/>
    <n v="0"/>
    <n v="0"/>
    <n v="0"/>
    <n v="0"/>
    <n v="0"/>
    <n v="0"/>
    <n v="0"/>
    <n v="0"/>
    <n v="0"/>
    <x v="0"/>
    <x v="0"/>
    <x v="0"/>
    <x v="0"/>
    <x v="0"/>
    <m/>
    <x v="0"/>
    <x v="0"/>
    <n v="14"/>
    <m/>
    <n v="-0.5"/>
    <n v="-0.5"/>
    <m/>
    <m/>
    <m/>
    <m/>
    <m/>
    <m/>
    <m/>
    <m/>
    <m/>
    <m/>
    <m/>
    <m/>
    <m/>
    <m/>
    <m/>
    <m/>
    <m/>
    <m/>
    <n v="-1"/>
    <n v="-1"/>
  </r>
  <r>
    <n v="7120"/>
    <x v="1"/>
    <s v="2019/0557"/>
    <s v="515 Battersea Park Road"/>
    <s v="CoU"/>
    <n v="527464"/>
    <n v="176353"/>
    <x v="16"/>
    <d v="2019-12-13T00:00:00"/>
    <m/>
    <n v="0"/>
    <n v="1"/>
    <n v="1"/>
    <n v="4"/>
    <n v="2"/>
    <x v="0"/>
    <s v="Alterations including erection of mansard roof extension to create an additional storey; erection of a part one/two/three/four storey rear extension; creation of balconies/roof terraces at first/second/third storeys; in connection with change of use of rear part of ground floor from restaurant (Class A3) to residential (Class C3) and creation of 4 x 1-bedroom and 1 x 2-bedroom flats."/>
    <s v="PF"/>
    <d v="2019-02-07T00:00:00"/>
    <d v="2019-06-21T00:00:00"/>
    <x v="1"/>
    <s v="Nil"/>
    <m/>
    <s v="BF"/>
    <s v="MIX"/>
    <x v="0"/>
    <x v="1"/>
    <n v="2.0000000949949E-3"/>
    <d v="2019-12-13T00:00:00"/>
    <x v="1"/>
    <m/>
    <x v="0"/>
    <s v="M"/>
    <m/>
    <m/>
    <n v="0"/>
    <n v="0"/>
    <n v="0"/>
    <n v="0"/>
    <n v="0"/>
    <n v="1"/>
    <n v="0"/>
    <n v="0"/>
    <n v="0"/>
    <n v="0"/>
    <n v="0"/>
    <n v="0"/>
    <n v="1"/>
    <n v="0"/>
    <n v="0"/>
    <n v="0"/>
    <n v="0"/>
    <n v="0"/>
    <n v="0"/>
    <n v="0"/>
    <n v="0"/>
    <n v="0"/>
    <n v="0"/>
    <n v="0"/>
    <n v="0"/>
    <n v="0"/>
    <n v="0"/>
    <n v="0"/>
    <n v="0"/>
    <n v="0"/>
    <n v="0"/>
    <n v="0"/>
    <x v="0"/>
    <x v="0"/>
    <x v="0"/>
    <x v="0"/>
    <x v="0"/>
    <m/>
    <x v="0"/>
    <x v="0"/>
    <n v="14"/>
    <m/>
    <n v="0.5"/>
    <n v="0.5"/>
    <m/>
    <m/>
    <m/>
    <m/>
    <m/>
    <m/>
    <m/>
    <m/>
    <m/>
    <m/>
    <m/>
    <m/>
    <m/>
    <m/>
    <m/>
    <m/>
    <m/>
    <m/>
    <n v="1"/>
    <n v="1"/>
  </r>
  <r>
    <n v="7120"/>
    <x v="1"/>
    <s v="2019/0557"/>
    <s v="515 Battersea Park Road"/>
    <s v="Extn to ex"/>
    <n v="527464"/>
    <n v="176353"/>
    <x v="16"/>
    <d v="2019-12-13T00:00:00"/>
    <m/>
    <n v="0"/>
    <n v="2"/>
    <n v="2"/>
    <n v="4"/>
    <n v="2"/>
    <x v="0"/>
    <s v="Alterations including erection of mansard roof extension to create an additional storey; erection of a part one/two/three/four storey rear extension; creation of balconies/roof terraces at first/second/third storeys; in connection with change of use of rear part of ground floor from restaurant (Class A3) to residential (Class C3) and creation of 4 x 1-bedroom and 1 x 2-bedroom flats."/>
    <s v="PF"/>
    <d v="2019-02-07T00:00:00"/>
    <d v="2019-06-21T00:00:00"/>
    <x v="1"/>
    <s v="Nil"/>
    <m/>
    <s v="BF"/>
    <s v="MIX"/>
    <x v="0"/>
    <x v="3"/>
    <n v="4.0000001899898104E-3"/>
    <d v="2019-12-13T00:00:00"/>
    <x v="1"/>
    <m/>
    <x v="0"/>
    <s v="M"/>
    <m/>
    <m/>
    <n v="0"/>
    <n v="0"/>
    <n v="0"/>
    <n v="0"/>
    <n v="0"/>
    <n v="2"/>
    <n v="0"/>
    <n v="0"/>
    <n v="0"/>
    <n v="0"/>
    <n v="0"/>
    <n v="0"/>
    <n v="2"/>
    <n v="0"/>
    <n v="0"/>
    <n v="0"/>
    <n v="0"/>
    <n v="0"/>
    <n v="0"/>
    <n v="0"/>
    <n v="0"/>
    <n v="0"/>
    <n v="0"/>
    <n v="0"/>
    <n v="0"/>
    <n v="0"/>
    <n v="0"/>
    <n v="0"/>
    <n v="0"/>
    <n v="0"/>
    <n v="0"/>
    <n v="0"/>
    <x v="0"/>
    <x v="0"/>
    <x v="0"/>
    <x v="0"/>
    <x v="0"/>
    <m/>
    <x v="0"/>
    <x v="0"/>
    <n v="14"/>
    <m/>
    <n v="1"/>
    <n v="1"/>
    <m/>
    <m/>
    <m/>
    <m/>
    <m/>
    <m/>
    <m/>
    <m/>
    <m/>
    <m/>
    <m/>
    <m/>
    <m/>
    <m/>
    <m/>
    <m/>
    <m/>
    <m/>
    <n v="2"/>
    <n v="2"/>
  </r>
  <r>
    <n v="7122"/>
    <x v="1"/>
    <s v="2019/0676"/>
    <s v="10 Westbridge Road"/>
    <m/>
    <n v="527141"/>
    <n v="177027"/>
    <x v="11"/>
    <d v="2020-03-31T00:00:00"/>
    <m/>
    <n v="2"/>
    <n v="1"/>
    <n v="-1"/>
    <n v="1"/>
    <n v="-1"/>
    <x v="0"/>
    <s v="Alterations including erection of two-storey (lower ground floor and ground floor) rear extension; in connection with a de-conversion of 1 x studio and 1 x 3-bedroom into 1 x 4-bedroom unit. Erection of front boundary wall and gates with associated refuse and cycle storage."/>
    <s v="PF"/>
    <d v="2019-02-26T00:00:00"/>
    <d v="2019-04-23T00:00:00"/>
    <x v="1"/>
    <s v="Nil"/>
    <m/>
    <s v="BF"/>
    <s v="MIX"/>
    <x v="0"/>
    <x v="8"/>
    <n v="2.0999999716877899E-2"/>
    <d v="2020-03-31T00:00:00"/>
    <x v="1"/>
    <m/>
    <x v="0"/>
    <s v="M"/>
    <m/>
    <m/>
    <n v="0"/>
    <n v="0"/>
    <n v="0"/>
    <n v="0"/>
    <n v="-1"/>
    <n v="0"/>
    <n v="0"/>
    <n v="-1"/>
    <n v="1"/>
    <n v="0"/>
    <n v="0"/>
    <n v="-1"/>
    <n v="0"/>
    <n v="0"/>
    <n v="-1"/>
    <n v="0"/>
    <n v="0"/>
    <n v="0"/>
    <n v="0"/>
    <n v="0"/>
    <n v="0"/>
    <n v="0"/>
    <n v="1"/>
    <n v="0"/>
    <n v="0"/>
    <n v="0"/>
    <n v="0"/>
    <n v="0"/>
    <n v="0"/>
    <n v="0"/>
    <n v="0"/>
    <n v="0"/>
    <x v="0"/>
    <x v="0"/>
    <x v="0"/>
    <x v="0"/>
    <x v="0"/>
    <m/>
    <x v="0"/>
    <x v="0"/>
    <n v="14"/>
    <m/>
    <n v="-0.5"/>
    <n v="-0.5"/>
    <m/>
    <m/>
    <m/>
    <m/>
    <m/>
    <m/>
    <m/>
    <m/>
    <m/>
    <m/>
    <m/>
    <m/>
    <m/>
    <m/>
    <m/>
    <m/>
    <m/>
    <m/>
    <n v="-1"/>
    <n v="-1"/>
  </r>
  <r>
    <n v="7123"/>
    <x v="1"/>
    <s v="2019/0705"/>
    <s v="14 Gibey Road"/>
    <s v="Conversion"/>
    <n v="527344"/>
    <n v="171444"/>
    <x v="1"/>
    <d v="2019-09-18T00:00:00"/>
    <m/>
    <n v="0"/>
    <n v="2"/>
    <n v="2"/>
    <n v="3"/>
    <n v="2"/>
    <x v="0"/>
    <s v="Alterations including erection of a single storey rear/side extension, change first floor rear roof from pitched to flat, installation of French doors with safety screen to rear first and second floors in connection with conversion to 1 x 1 bedroom, 1 x 2 bedroom and 1 x 3 bedroom flats."/>
    <s v="PF"/>
    <d v="2019-02-18T00:00:00"/>
    <d v="2019-04-15T00:00:00"/>
    <x v="1"/>
    <s v="Nil"/>
    <m/>
    <s v="BF"/>
    <s v="MIX"/>
    <x v="0"/>
    <x v="2"/>
    <n v="7.0000002160668399E-3"/>
    <d v="2019-09-18T00:00:00"/>
    <x v="1"/>
    <m/>
    <x v="0"/>
    <s v="M"/>
    <m/>
    <m/>
    <n v="0"/>
    <n v="0"/>
    <n v="0"/>
    <n v="0"/>
    <n v="0"/>
    <n v="1"/>
    <n v="1"/>
    <n v="0"/>
    <n v="0"/>
    <n v="0"/>
    <n v="0"/>
    <n v="0"/>
    <n v="1"/>
    <n v="1"/>
    <n v="0"/>
    <n v="0"/>
    <n v="0"/>
    <n v="0"/>
    <n v="0"/>
    <n v="0"/>
    <n v="0"/>
    <n v="0"/>
    <n v="0"/>
    <n v="0"/>
    <n v="0"/>
    <n v="0"/>
    <n v="0"/>
    <n v="0"/>
    <n v="0"/>
    <n v="0"/>
    <n v="0"/>
    <n v="0"/>
    <x v="0"/>
    <x v="0"/>
    <x v="0"/>
    <x v="0"/>
    <x v="0"/>
    <m/>
    <x v="0"/>
    <x v="0"/>
    <n v="13"/>
    <m/>
    <n v="2"/>
    <m/>
    <m/>
    <m/>
    <m/>
    <m/>
    <m/>
    <m/>
    <m/>
    <m/>
    <m/>
    <m/>
    <m/>
    <m/>
    <m/>
    <m/>
    <m/>
    <m/>
    <m/>
    <m/>
    <n v="2"/>
    <n v="2"/>
  </r>
  <r>
    <n v="7123"/>
    <x v="1"/>
    <s v="2019/0705"/>
    <s v="14 Gibey Road"/>
    <s v="New Build"/>
    <n v="527344"/>
    <n v="171444"/>
    <x v="1"/>
    <d v="2019-09-18T00:00:00"/>
    <m/>
    <n v="1"/>
    <n v="1"/>
    <n v="0"/>
    <n v="3"/>
    <n v="2"/>
    <x v="0"/>
    <s v="Alterations including erection of a single storey rear/side extension, change first floor rear roof from pitched to flat, installation of French doors with safety screen to rear first and second floors in connection with conversion to 1 x 1 bedroom, 1 x 2 bedroom and 1 x 3 bedroom flats."/>
    <s v="PF"/>
    <d v="2019-02-18T00:00:00"/>
    <d v="2019-04-15T00:00:00"/>
    <x v="1"/>
    <s v="Nil"/>
    <m/>
    <s v="BF"/>
    <s v="MIX"/>
    <x v="0"/>
    <x v="5"/>
    <n v="6.0000000521540598E-3"/>
    <d v="2019-09-18T00:00:00"/>
    <x v="1"/>
    <m/>
    <x v="0"/>
    <s v="M"/>
    <m/>
    <m/>
    <n v="0"/>
    <n v="0"/>
    <n v="0"/>
    <n v="0"/>
    <n v="0"/>
    <n v="0"/>
    <n v="0"/>
    <n v="1"/>
    <n v="-1"/>
    <n v="0"/>
    <n v="0"/>
    <n v="0"/>
    <n v="0"/>
    <n v="0"/>
    <n v="1"/>
    <n v="0"/>
    <n v="0"/>
    <n v="0"/>
    <n v="0"/>
    <n v="0"/>
    <n v="0"/>
    <n v="0"/>
    <n v="-1"/>
    <n v="0"/>
    <n v="0"/>
    <n v="0"/>
    <n v="0"/>
    <n v="0"/>
    <n v="0"/>
    <n v="0"/>
    <n v="0"/>
    <n v="0"/>
    <x v="0"/>
    <x v="0"/>
    <x v="0"/>
    <x v="0"/>
    <x v="0"/>
    <m/>
    <x v="0"/>
    <x v="0"/>
    <n v="13"/>
    <m/>
    <n v="0"/>
    <m/>
    <m/>
    <m/>
    <m/>
    <m/>
    <m/>
    <m/>
    <m/>
    <m/>
    <m/>
    <m/>
    <m/>
    <m/>
    <m/>
    <m/>
    <m/>
    <m/>
    <m/>
    <m/>
    <n v="0"/>
    <n v="0"/>
  </r>
  <r>
    <n v="7133"/>
    <x v="1"/>
    <s v="2019/0975"/>
    <s v="354 Old York Road"/>
    <m/>
    <n v="525906"/>
    <n v="175010"/>
    <x v="2"/>
    <d v="2019-11-11T00:00:00"/>
    <m/>
    <n v="1"/>
    <n v="2"/>
    <n v="1"/>
    <n v="3"/>
    <n v="2"/>
    <x v="0"/>
    <s v="Erection of part two to four storey rear/side extension, rear roof extension, front dormers including raising the ridge by 300mm ; formation of roof terraces at second and third floor levels with 1.7m high screen surround in connection with the conversion of the property into 2 x 1-bedroom, 1 x 2-bedroom flats; Change of use from shop (Class A1) to retail/financial and professional services (Class A2 and Class A1) flexible use."/>
    <s v="PF"/>
    <d v="2019-03-19T00:00:00"/>
    <d v="2019-05-22T00:00:00"/>
    <x v="1"/>
    <s v="Nil"/>
    <m/>
    <s v="BF"/>
    <s v="MIX"/>
    <x v="0"/>
    <x v="3"/>
    <n v="4.0000001899898104E-3"/>
    <d v="2019-11-11T00:00:00"/>
    <x v="1"/>
    <m/>
    <x v="0"/>
    <s v="M"/>
    <m/>
    <m/>
    <n v="0"/>
    <n v="0"/>
    <n v="0"/>
    <n v="0"/>
    <n v="0"/>
    <n v="2"/>
    <n v="-1"/>
    <n v="0"/>
    <n v="0"/>
    <n v="0"/>
    <n v="0"/>
    <n v="0"/>
    <n v="2"/>
    <n v="-1"/>
    <n v="0"/>
    <n v="0"/>
    <n v="0"/>
    <n v="0"/>
    <n v="0"/>
    <n v="0"/>
    <n v="0"/>
    <n v="0"/>
    <n v="0"/>
    <n v="0"/>
    <n v="0"/>
    <n v="0"/>
    <n v="0"/>
    <n v="0"/>
    <n v="0"/>
    <n v="0"/>
    <n v="0"/>
    <n v="0"/>
    <x v="0"/>
    <x v="0"/>
    <x v="1"/>
    <x v="0"/>
    <x v="0"/>
    <m/>
    <x v="0"/>
    <x v="0"/>
    <n v="14"/>
    <m/>
    <n v="0.5"/>
    <n v="0.5"/>
    <m/>
    <m/>
    <m/>
    <m/>
    <m/>
    <m/>
    <m/>
    <m/>
    <m/>
    <m/>
    <m/>
    <m/>
    <m/>
    <m/>
    <m/>
    <m/>
    <m/>
    <m/>
    <n v="1"/>
    <n v="1"/>
  </r>
  <r>
    <n v="7133"/>
    <x v="1"/>
    <s v="2019/0975"/>
    <s v="354 Old York Road"/>
    <m/>
    <n v="525906"/>
    <n v="175010"/>
    <x v="2"/>
    <d v="2019-11-11T00:00:00"/>
    <m/>
    <n v="0"/>
    <n v="1"/>
    <n v="1"/>
    <n v="3"/>
    <n v="2"/>
    <x v="0"/>
    <s v="Erection of part two to four storey rear/side extension, rear roof extension, front dormers including raising the ridge by 300mm ; formation of roof terraces at second and third floor levels with 1.7m high screen surround in connection with the conversion of the property into 2 x 1-bedroom, 1 x 2-bedroom flats; Change of use from shop (Class A1) to retail/financial and professional services (Class A2 and Class A1) flexible use."/>
    <s v="PF"/>
    <d v="2019-03-19T00:00:00"/>
    <d v="2019-05-22T00:00:00"/>
    <x v="1"/>
    <s v="Nil"/>
    <m/>
    <s v="BF"/>
    <s v="MIX"/>
    <x v="0"/>
    <x v="0"/>
    <n v="3.0000000260770299E-3"/>
    <d v="2019-11-11T00:00:00"/>
    <x v="1"/>
    <m/>
    <x v="0"/>
    <s v="M"/>
    <m/>
    <m/>
    <n v="0"/>
    <n v="0"/>
    <n v="0"/>
    <n v="0"/>
    <n v="0"/>
    <n v="0"/>
    <n v="1"/>
    <n v="0"/>
    <n v="0"/>
    <n v="0"/>
    <n v="0"/>
    <n v="0"/>
    <n v="0"/>
    <n v="1"/>
    <n v="0"/>
    <n v="0"/>
    <n v="0"/>
    <n v="0"/>
    <n v="0"/>
    <n v="0"/>
    <n v="0"/>
    <n v="0"/>
    <n v="0"/>
    <n v="0"/>
    <n v="0"/>
    <n v="0"/>
    <n v="0"/>
    <n v="0"/>
    <n v="0"/>
    <n v="0"/>
    <n v="0"/>
    <n v="0"/>
    <x v="0"/>
    <x v="0"/>
    <x v="1"/>
    <x v="0"/>
    <x v="0"/>
    <m/>
    <x v="0"/>
    <x v="0"/>
    <n v="14"/>
    <m/>
    <n v="0.5"/>
    <n v="0.5"/>
    <m/>
    <m/>
    <m/>
    <m/>
    <m/>
    <m/>
    <m/>
    <m/>
    <m/>
    <m/>
    <m/>
    <m/>
    <m/>
    <m/>
    <m/>
    <m/>
    <m/>
    <m/>
    <n v="1"/>
    <n v="1"/>
  </r>
  <r>
    <n v="7139"/>
    <x v="1"/>
    <s v="2019/1082"/>
    <s v="14 Werter Road"/>
    <m/>
    <n v="524123"/>
    <n v="175170"/>
    <x v="0"/>
    <d v="2020-03-31T00:00:00"/>
    <m/>
    <n v="1"/>
    <n v="5"/>
    <n v="4"/>
    <n v="5"/>
    <n v="4"/>
    <x v="0"/>
    <s v="Alterations including erection of a dormer roof extension to main rear roof, and hip to gable rear roof extension; Erection of ground and first floor rear extension.Excavation to create basement including formation of front and rear lightwells; in connection with conversion of property into 1 x 1-bedrooms 2 x 2-bedrooms 2 x 3-bedroom flats with associated refuse storage and cycle storage."/>
    <s v="PF"/>
    <d v="2019-03-08T00:00:00"/>
    <d v="2019-08-23T00:00:00"/>
    <x v="1"/>
    <s v="Nil"/>
    <m/>
    <s v="BF"/>
    <s v="CON"/>
    <x v="0"/>
    <x v="2"/>
    <n v="3.20000015199184E-2"/>
    <d v="2020-03-31T00:00:00"/>
    <x v="1"/>
    <m/>
    <x v="0"/>
    <s v="M"/>
    <m/>
    <m/>
    <n v="0"/>
    <n v="0"/>
    <n v="0"/>
    <n v="0"/>
    <n v="0"/>
    <n v="1"/>
    <n v="2"/>
    <n v="2"/>
    <n v="0"/>
    <n v="-1"/>
    <n v="0"/>
    <n v="0"/>
    <n v="1"/>
    <n v="2"/>
    <n v="2"/>
    <n v="0"/>
    <n v="0"/>
    <n v="0"/>
    <n v="0"/>
    <n v="0"/>
    <n v="0"/>
    <n v="0"/>
    <n v="0"/>
    <n v="-1"/>
    <n v="0"/>
    <n v="0"/>
    <n v="0"/>
    <n v="0"/>
    <n v="0"/>
    <n v="0"/>
    <n v="0"/>
    <n v="0"/>
    <x v="0"/>
    <x v="0"/>
    <x v="0"/>
    <x v="0"/>
    <x v="0"/>
    <m/>
    <x v="0"/>
    <x v="0"/>
    <n v="14"/>
    <m/>
    <n v="2"/>
    <n v="2"/>
    <m/>
    <m/>
    <m/>
    <m/>
    <m/>
    <m/>
    <m/>
    <m/>
    <m/>
    <m/>
    <m/>
    <m/>
    <m/>
    <m/>
    <m/>
    <m/>
    <m/>
    <m/>
    <n v="4"/>
    <n v="4"/>
  </r>
  <r>
    <n v="7140"/>
    <x v="1"/>
    <s v="2019/1290"/>
    <s v="First and Second Floor, 565a Garratt Lane"/>
    <m/>
    <n v="526129"/>
    <n v="172841"/>
    <x v="8"/>
    <d v="2019-08-01T00:00:00"/>
    <m/>
    <n v="1"/>
    <n v="2"/>
    <n v="1"/>
    <n v="2"/>
    <n v="1"/>
    <x v="0"/>
    <s v="Conversion of a 3-bedroom flat into 2 x 1-bedroom flats and formation of roof terrace above rear addition with a 1.7m obscured surround"/>
    <s v="PF"/>
    <d v="2019-03-21T00:00:00"/>
    <d v="2019-07-18T00:00:00"/>
    <x v="1"/>
    <s v="Nil"/>
    <m/>
    <s v="BF"/>
    <s v="CON"/>
    <x v="0"/>
    <x v="0"/>
    <n v="4.0000001899898104E-3"/>
    <d v="2019-08-01T00:00:00"/>
    <x v="1"/>
    <m/>
    <x v="0"/>
    <s v="M"/>
    <m/>
    <m/>
    <n v="0"/>
    <n v="0"/>
    <n v="0"/>
    <n v="0"/>
    <n v="0"/>
    <n v="2"/>
    <n v="0"/>
    <n v="-1"/>
    <n v="0"/>
    <n v="0"/>
    <n v="0"/>
    <n v="0"/>
    <n v="2"/>
    <n v="0"/>
    <n v="-1"/>
    <n v="0"/>
    <n v="0"/>
    <n v="0"/>
    <n v="0"/>
    <n v="0"/>
    <n v="0"/>
    <n v="0"/>
    <n v="0"/>
    <n v="0"/>
    <n v="0"/>
    <n v="0"/>
    <n v="0"/>
    <n v="0"/>
    <n v="0"/>
    <n v="0"/>
    <n v="0"/>
    <n v="0"/>
    <x v="0"/>
    <x v="0"/>
    <x v="0"/>
    <x v="0"/>
    <x v="0"/>
    <m/>
    <x v="0"/>
    <x v="0"/>
    <n v="13"/>
    <m/>
    <n v="1"/>
    <m/>
    <m/>
    <m/>
    <m/>
    <m/>
    <m/>
    <m/>
    <m/>
    <m/>
    <m/>
    <m/>
    <m/>
    <m/>
    <m/>
    <m/>
    <m/>
    <m/>
    <m/>
    <m/>
    <n v="1"/>
    <n v="1"/>
  </r>
  <r>
    <n v="7151"/>
    <x v="1"/>
    <s v="2018/3531"/>
    <s v="Basement and Ground floor, 6-8 Old Devonshire Road"/>
    <m/>
    <n v="528927"/>
    <n v="173545"/>
    <x v="6"/>
    <d v="2019-09-16T00:00:00"/>
    <m/>
    <n v="0"/>
    <n v="1"/>
    <n v="1"/>
    <n v="1"/>
    <n v="1"/>
    <x v="0"/>
    <s v="Planning permission (2018/3531) and Listed Building Consent (2018/3533) for erection of two-storey side/rear extension at Nos.6 Old Devonshire Road basement and ground floor flats; formation of rear balcony with screening at No.6 Old Devonshire Road ground floor flat and creation of opening in flank wall to gain access to extension and reconfiguration of existing bathroom; installation and replacement of rear French doors at No.6 Old Devonshire Road basement flat. Erection of two storey side/rear extension at basement and ground floor levels at No.8 Old Devonshire Road to provide 1 x 1-bedroom self-contained residential unit. Alterations and replacement of front boundaries treatments at Nos.6 and 8 Old Devonshire Road."/>
    <s v="PFLA"/>
    <d v="2018-07-19T00:00:00"/>
    <d v="2019-06-06T00:00:00"/>
    <x v="1"/>
    <s v="Nil"/>
    <m/>
    <s v="BF"/>
    <s v="NB"/>
    <x v="0"/>
    <x v="5"/>
    <n v="1.60000007599592E-2"/>
    <d v="2019-09-16T00:00:00"/>
    <x v="1"/>
    <m/>
    <x v="0"/>
    <s v="M"/>
    <m/>
    <m/>
    <n v="0"/>
    <n v="0"/>
    <n v="0"/>
    <n v="0"/>
    <n v="0"/>
    <n v="1"/>
    <n v="0"/>
    <n v="0"/>
    <n v="0"/>
    <n v="0"/>
    <n v="0"/>
    <n v="0"/>
    <n v="1"/>
    <n v="0"/>
    <n v="0"/>
    <n v="0"/>
    <n v="0"/>
    <n v="0"/>
    <n v="0"/>
    <n v="0"/>
    <n v="0"/>
    <n v="0"/>
    <n v="0"/>
    <n v="0"/>
    <n v="0"/>
    <n v="0"/>
    <n v="0"/>
    <n v="0"/>
    <n v="0"/>
    <n v="0"/>
    <n v="0"/>
    <n v="0"/>
    <x v="0"/>
    <x v="0"/>
    <x v="0"/>
    <x v="0"/>
    <x v="0"/>
    <m/>
    <x v="0"/>
    <x v="0"/>
    <n v="2"/>
    <m/>
    <n v="1"/>
    <m/>
    <m/>
    <m/>
    <m/>
    <m/>
    <m/>
    <m/>
    <m/>
    <m/>
    <m/>
    <m/>
    <m/>
    <m/>
    <m/>
    <m/>
    <m/>
    <m/>
    <m/>
    <m/>
    <n v="1"/>
    <n v="1"/>
  </r>
  <r>
    <n v="7158"/>
    <x v="1"/>
    <s v="2019/1035"/>
    <s v="51 St Anns Hill"/>
    <m/>
    <n v="526237"/>
    <n v="173943"/>
    <x v="17"/>
    <d v="2019-07-17T00:00:00"/>
    <m/>
    <n v="1"/>
    <n v="3"/>
    <n v="2"/>
    <n v="3"/>
    <n v="2"/>
    <x v="0"/>
    <s v="Demolition of existing house and erection of three storey (plus basement) building to provide 2 x 1-bedroom and 1 x 3-bedroom flats with front balcony at second floor level and associated bin and cycle storage."/>
    <s v="PF"/>
    <d v="2019-04-01T00:00:00"/>
    <d v="2019-06-10T00:00:00"/>
    <x v="1"/>
    <s v="Nil"/>
    <m/>
    <s v="BF"/>
    <s v="NB"/>
    <x v="0"/>
    <x v="5"/>
    <n v="1.7999999225139601E-2"/>
    <d v="2019-07-17T00:00:00"/>
    <x v="1"/>
    <m/>
    <x v="0"/>
    <s v="M"/>
    <m/>
    <m/>
    <n v="0"/>
    <n v="0"/>
    <n v="0"/>
    <n v="0"/>
    <n v="0"/>
    <n v="2"/>
    <n v="1"/>
    <n v="-1"/>
    <n v="0"/>
    <n v="0"/>
    <n v="0"/>
    <n v="0"/>
    <n v="2"/>
    <n v="1"/>
    <n v="0"/>
    <n v="0"/>
    <n v="0"/>
    <n v="0"/>
    <n v="0"/>
    <n v="0"/>
    <n v="0"/>
    <n v="-1"/>
    <n v="0"/>
    <n v="0"/>
    <n v="0"/>
    <n v="0"/>
    <n v="0"/>
    <n v="0"/>
    <n v="0"/>
    <n v="0"/>
    <n v="0"/>
    <n v="0"/>
    <x v="0"/>
    <x v="0"/>
    <x v="0"/>
    <x v="0"/>
    <x v="0"/>
    <m/>
    <x v="0"/>
    <x v="0"/>
    <n v="2"/>
    <m/>
    <n v="2"/>
    <m/>
    <m/>
    <m/>
    <m/>
    <m/>
    <m/>
    <m/>
    <m/>
    <m/>
    <m/>
    <m/>
    <m/>
    <m/>
    <m/>
    <m/>
    <m/>
    <m/>
    <m/>
    <m/>
    <n v="2"/>
    <n v="2"/>
  </r>
  <r>
    <n v="7159"/>
    <x v="1"/>
    <s v="2019/1551"/>
    <s v="78 Coverton Road"/>
    <m/>
    <n v="527166"/>
    <n v="171490"/>
    <x v="1"/>
    <d v="2019-10-22T00:00:00"/>
    <m/>
    <n v="1"/>
    <n v="4"/>
    <n v="3"/>
    <n v="4"/>
    <n v="3"/>
    <x v="0"/>
    <s v="Alterations in connection with conversion of existing property to provide 1 x studio, 1 x 1-bedroom, 1 x 2-bedroom, 1 x 3-bedroom flats."/>
    <s v="PF"/>
    <d v="2019-05-03T00:00:00"/>
    <d v="2019-07-03T00:00:00"/>
    <x v="1"/>
    <s v="Nil"/>
    <m/>
    <s v="BF"/>
    <s v="CON"/>
    <x v="0"/>
    <x v="2"/>
    <n v="1.30000002682209E-2"/>
    <d v="2019-10-22T00:00:00"/>
    <x v="1"/>
    <m/>
    <x v="0"/>
    <s v="M"/>
    <m/>
    <m/>
    <n v="0"/>
    <n v="0"/>
    <n v="0"/>
    <n v="0"/>
    <n v="1"/>
    <n v="1"/>
    <n v="1"/>
    <n v="1"/>
    <n v="0"/>
    <n v="-1"/>
    <n v="0"/>
    <n v="1"/>
    <n v="1"/>
    <n v="1"/>
    <n v="1"/>
    <n v="0"/>
    <n v="0"/>
    <n v="0"/>
    <n v="0"/>
    <n v="0"/>
    <n v="0"/>
    <n v="0"/>
    <n v="0"/>
    <n v="-1"/>
    <n v="0"/>
    <n v="0"/>
    <n v="0"/>
    <n v="0"/>
    <n v="0"/>
    <n v="0"/>
    <n v="0"/>
    <n v="0"/>
    <x v="0"/>
    <x v="0"/>
    <x v="0"/>
    <x v="0"/>
    <x v="0"/>
    <m/>
    <x v="0"/>
    <x v="0"/>
    <n v="14"/>
    <m/>
    <n v="1.5"/>
    <n v="1.5"/>
    <m/>
    <m/>
    <m/>
    <m/>
    <m/>
    <m/>
    <m/>
    <m/>
    <m/>
    <m/>
    <m/>
    <m/>
    <m/>
    <m/>
    <m/>
    <m/>
    <m/>
    <m/>
    <n v="3"/>
    <n v="3"/>
  </r>
  <r>
    <n v="7165"/>
    <x v="1"/>
    <s v="2019/2168"/>
    <s v="52 Alderbrook Road"/>
    <m/>
    <n v="528584"/>
    <n v="173976"/>
    <x v="6"/>
    <d v="2019-11-15T00:00:00"/>
    <m/>
    <n v="0"/>
    <n v="1"/>
    <n v="1"/>
    <n v="1"/>
    <n v="1"/>
    <x v="0"/>
    <s v="Alterations including erection of mansard roof extension to main rear roof and extension above part of two-storey back addition; formation of roof terrace above two-storey back addition with 1.7m high screen in connection with creation of a 1 x 1-bedroom flat, with associated refuse and cycle storage to front garden."/>
    <s v="PF"/>
    <d v="2019-05-29T00:00:00"/>
    <d v="2019-09-20T00:00:00"/>
    <x v="1"/>
    <s v="Nil"/>
    <m/>
    <s v="BF"/>
    <s v="EXT"/>
    <x v="0"/>
    <x v="3"/>
    <n v="4.9999998882412902E-3"/>
    <d v="2019-11-15T00:00:00"/>
    <x v="1"/>
    <m/>
    <x v="0"/>
    <s v="M"/>
    <m/>
    <m/>
    <n v="0"/>
    <n v="0"/>
    <n v="0"/>
    <n v="0"/>
    <n v="0"/>
    <n v="1"/>
    <n v="0"/>
    <n v="0"/>
    <n v="0"/>
    <n v="0"/>
    <n v="0"/>
    <n v="0"/>
    <n v="1"/>
    <n v="0"/>
    <n v="0"/>
    <n v="0"/>
    <n v="0"/>
    <n v="0"/>
    <n v="0"/>
    <n v="0"/>
    <n v="0"/>
    <n v="0"/>
    <n v="0"/>
    <n v="0"/>
    <n v="0"/>
    <n v="0"/>
    <n v="0"/>
    <n v="0"/>
    <n v="0"/>
    <n v="0"/>
    <n v="0"/>
    <n v="0"/>
    <x v="0"/>
    <x v="0"/>
    <x v="0"/>
    <x v="0"/>
    <x v="0"/>
    <m/>
    <x v="0"/>
    <x v="0"/>
    <n v="14"/>
    <m/>
    <n v="0.5"/>
    <n v="0.5"/>
    <m/>
    <m/>
    <m/>
    <m/>
    <m/>
    <m/>
    <m/>
    <m/>
    <m/>
    <m/>
    <m/>
    <m/>
    <m/>
    <m/>
    <m/>
    <m/>
    <m/>
    <m/>
    <n v="1"/>
    <n v="1"/>
  </r>
  <r>
    <n v="7175"/>
    <x v="1"/>
    <s v="2019/1593"/>
    <s v="15 Southmead Road"/>
    <m/>
    <n v="524134"/>
    <n v="173447"/>
    <x v="18"/>
    <d v="2020-01-06T00:00:00"/>
    <m/>
    <n v="0"/>
    <n v="1"/>
    <n v="1"/>
    <n v="1"/>
    <n v="1"/>
    <x v="0"/>
    <s v="Demolition of existing garage and single storey rear extension and erection of a two-storey 2-bedroom semi-detached house with associated landscaping"/>
    <s v="PF"/>
    <d v="2019-04-10T00:00:00"/>
    <d v="2019-06-04T00:00:00"/>
    <x v="1"/>
    <s v="Nil"/>
    <m/>
    <s v="Gdn"/>
    <s v="NB"/>
    <x v="0"/>
    <x v="5"/>
    <n v="2.19999998807907E-2"/>
    <d v="2020-01-06T00:00:00"/>
    <x v="1"/>
    <m/>
    <x v="0"/>
    <s v="M"/>
    <m/>
    <m/>
    <n v="0"/>
    <n v="0"/>
    <n v="0"/>
    <n v="0"/>
    <n v="0"/>
    <n v="0"/>
    <n v="1"/>
    <n v="0"/>
    <n v="0"/>
    <n v="0"/>
    <n v="0"/>
    <n v="0"/>
    <n v="0"/>
    <n v="0"/>
    <n v="0"/>
    <n v="0"/>
    <n v="0"/>
    <n v="0"/>
    <n v="0"/>
    <n v="0"/>
    <n v="1"/>
    <n v="0"/>
    <n v="0"/>
    <n v="0"/>
    <n v="0"/>
    <n v="0"/>
    <n v="0"/>
    <n v="0"/>
    <n v="0"/>
    <n v="0"/>
    <n v="0"/>
    <n v="0"/>
    <x v="0"/>
    <x v="0"/>
    <x v="0"/>
    <x v="0"/>
    <x v="0"/>
    <m/>
    <x v="0"/>
    <x v="0"/>
    <n v="3"/>
    <m/>
    <n v="0.5"/>
    <n v="0.5"/>
    <m/>
    <m/>
    <m/>
    <m/>
    <m/>
    <m/>
    <m/>
    <m/>
    <m/>
    <m/>
    <m/>
    <m/>
    <m/>
    <m/>
    <m/>
    <m/>
    <m/>
    <m/>
    <n v="1"/>
    <n v="1"/>
  </r>
  <r>
    <n v="7183"/>
    <x v="1"/>
    <s v="2019/2165"/>
    <s v="163 Newlands Terrace, Queenstown Road"/>
    <m/>
    <n v="528633"/>
    <n v="176345"/>
    <x v="12"/>
    <d v="2020-03-31T00:00:00"/>
    <m/>
    <n v="0"/>
    <n v="1"/>
    <n v="1"/>
    <n v="1"/>
    <n v="1"/>
    <x v="0"/>
    <s v="Alterations including erection of a mansard roof extension to main rear roof and extension above part of three storey back addition; Formation of a roof terrace above three storey back addition with 1.7m high screen surround, in connection with creation of new 1 x 2-bedroom flat."/>
    <s v="PF"/>
    <d v="2019-05-17T00:00:00"/>
    <d v="2019-07-29T00:00:00"/>
    <x v="1"/>
    <s v="Nil"/>
    <m/>
    <s v="BF"/>
    <s v="EXT"/>
    <x v="0"/>
    <x v="3"/>
    <n v="4.0000001899898104E-3"/>
    <d v="2020-03-31T00:00:00"/>
    <x v="1"/>
    <m/>
    <x v="0"/>
    <s v="M"/>
    <m/>
    <m/>
    <n v="0"/>
    <n v="0"/>
    <n v="0"/>
    <n v="0"/>
    <n v="0"/>
    <n v="0"/>
    <n v="1"/>
    <n v="0"/>
    <n v="0"/>
    <n v="0"/>
    <n v="0"/>
    <n v="0"/>
    <n v="0"/>
    <n v="1"/>
    <n v="0"/>
    <n v="0"/>
    <n v="0"/>
    <n v="0"/>
    <n v="0"/>
    <n v="0"/>
    <n v="0"/>
    <n v="0"/>
    <n v="0"/>
    <n v="0"/>
    <n v="0"/>
    <n v="0"/>
    <n v="0"/>
    <n v="0"/>
    <n v="0"/>
    <n v="0"/>
    <n v="0"/>
    <n v="0"/>
    <x v="0"/>
    <x v="0"/>
    <x v="0"/>
    <x v="0"/>
    <x v="0"/>
    <m/>
    <x v="0"/>
    <x v="0"/>
    <n v="14"/>
    <m/>
    <n v="0.5"/>
    <n v="0.5"/>
    <m/>
    <m/>
    <m/>
    <m/>
    <m/>
    <m/>
    <m/>
    <m/>
    <m/>
    <m/>
    <m/>
    <m/>
    <m/>
    <m/>
    <m/>
    <m/>
    <m/>
    <m/>
    <n v="1"/>
    <n v="1"/>
  </r>
  <r>
    <n v="7189"/>
    <x v="1"/>
    <s v="2019/2493"/>
    <s v="Newlands Terrace, 171 Queenstown Road"/>
    <m/>
    <n v="528643"/>
    <n v="176384"/>
    <x v="12"/>
    <d v="2020-03-31T00:00:00"/>
    <m/>
    <n v="0"/>
    <n v="1"/>
    <n v="1"/>
    <n v="1"/>
    <n v="1"/>
    <x v="0"/>
    <s v="Alterations including erection of mansard roof extension to main rear roof; erection of roof extension and formation of roof terrace with 1.7m high screen surround over two storey back addition in connection with creation of 1 x 2-bedroom flat."/>
    <s v="PF"/>
    <d v="2019-06-24T00:00:00"/>
    <d v="2019-08-30T00:00:00"/>
    <x v="1"/>
    <s v="Nil"/>
    <m/>
    <s v="BF"/>
    <s v="EXT"/>
    <x v="0"/>
    <x v="3"/>
    <n v="3.0000000260770299E-3"/>
    <d v="2020-03-31T00:00:00"/>
    <x v="1"/>
    <m/>
    <x v="0"/>
    <s v="M"/>
    <m/>
    <m/>
    <n v="0"/>
    <n v="0"/>
    <n v="0"/>
    <n v="0"/>
    <n v="0"/>
    <n v="0"/>
    <n v="1"/>
    <n v="0"/>
    <n v="0"/>
    <n v="0"/>
    <n v="0"/>
    <n v="0"/>
    <n v="0"/>
    <n v="1"/>
    <n v="0"/>
    <n v="0"/>
    <n v="0"/>
    <n v="0"/>
    <n v="0"/>
    <n v="0"/>
    <n v="0"/>
    <n v="0"/>
    <n v="0"/>
    <n v="0"/>
    <n v="0"/>
    <n v="0"/>
    <n v="0"/>
    <n v="0"/>
    <n v="0"/>
    <n v="0"/>
    <n v="0"/>
    <n v="0"/>
    <x v="0"/>
    <x v="0"/>
    <x v="0"/>
    <x v="0"/>
    <x v="0"/>
    <m/>
    <x v="0"/>
    <x v="0"/>
    <n v="14"/>
    <m/>
    <n v="0.5"/>
    <n v="0.5"/>
    <m/>
    <m/>
    <m/>
    <m/>
    <m/>
    <m/>
    <m/>
    <m/>
    <m/>
    <m/>
    <m/>
    <m/>
    <m/>
    <m/>
    <m/>
    <m/>
    <m/>
    <m/>
    <n v="1"/>
    <n v="1"/>
  </r>
  <r>
    <n v="7200"/>
    <x v="1"/>
    <s v="2019/2727"/>
    <s v="4 The Boulevard, Balham High Road"/>
    <m/>
    <n v="528359"/>
    <n v="172944"/>
    <x v="19"/>
    <d v="2020-01-30T00:00:00"/>
    <m/>
    <n v="0"/>
    <n v="2"/>
    <n v="2"/>
    <n v="2"/>
    <n v="2"/>
    <x v="0"/>
    <s v="Determination as to whether prior approval is required for partial change of use from retail (Class A1) to 2 x 1- studio flats (Class C3) with associated external alterations to rear elevations"/>
    <s v="PANR"/>
    <d v="2019-07-08T00:00:00"/>
    <d v="2019-08-29T00:00:00"/>
    <x v="1"/>
    <s v="Nil"/>
    <m/>
    <s v="BF"/>
    <s v="COU"/>
    <x v="0"/>
    <x v="4"/>
    <n v="7.0000002160668399E-3"/>
    <d v="2020-01-30T00:00:00"/>
    <x v="1"/>
    <m/>
    <x v="0"/>
    <s v="M"/>
    <m/>
    <m/>
    <n v="0"/>
    <n v="0"/>
    <n v="0"/>
    <n v="0"/>
    <n v="2"/>
    <n v="0"/>
    <n v="0"/>
    <n v="0"/>
    <n v="0"/>
    <n v="0"/>
    <n v="0"/>
    <n v="2"/>
    <n v="0"/>
    <n v="0"/>
    <n v="0"/>
    <n v="0"/>
    <n v="0"/>
    <n v="0"/>
    <n v="0"/>
    <n v="0"/>
    <n v="0"/>
    <n v="0"/>
    <n v="0"/>
    <n v="0"/>
    <n v="0"/>
    <n v="0"/>
    <n v="0"/>
    <n v="0"/>
    <n v="0"/>
    <n v="0"/>
    <n v="0"/>
    <n v="0"/>
    <x v="0"/>
    <x v="0"/>
    <x v="0"/>
    <x v="0"/>
    <x v="0"/>
    <m/>
    <x v="0"/>
    <x v="0"/>
    <n v="14"/>
    <m/>
    <n v="1"/>
    <n v="1"/>
    <m/>
    <m/>
    <m/>
    <m/>
    <m/>
    <m/>
    <m/>
    <m/>
    <m/>
    <m/>
    <m/>
    <m/>
    <m/>
    <m/>
    <m/>
    <m/>
    <m/>
    <m/>
    <n v="2"/>
    <n v="2"/>
  </r>
  <r>
    <n v="7204"/>
    <x v="1"/>
    <s v="2019/2905"/>
    <s v="83 Huron Road"/>
    <m/>
    <n v="528657"/>
    <n v="172323"/>
    <x v="19"/>
    <d v="2020-03-31T00:00:00"/>
    <m/>
    <n v="0"/>
    <n v="7"/>
    <n v="7"/>
    <n v="7"/>
    <n v="7"/>
    <x v="0"/>
    <s v="Alterations including erection of a single-storey rear extension and excavation to enlarge existing basement with formation of front and rear lightwells; demolition and erection of replacement front boundary wall and gate, in connection with change of use from HMO (Use Class Sui Generis) to 1 x 1 bed, 4 x 2 bed and 2 x 3 bed flats (Use Class C3), with associated refuse &amp; cycle storage."/>
    <s v="PF"/>
    <d v="2019-07-19T00:00:00"/>
    <d v="2019-09-18T00:00:00"/>
    <x v="1"/>
    <s v="Nil"/>
    <m/>
    <s v="BF"/>
    <s v="MIX"/>
    <x v="0"/>
    <x v="1"/>
    <n v="4.6000000089407002E-2"/>
    <d v="2020-03-31T00:00:00"/>
    <x v="1"/>
    <m/>
    <x v="0"/>
    <s v="M"/>
    <m/>
    <m/>
    <n v="0"/>
    <n v="0"/>
    <n v="0"/>
    <n v="0"/>
    <n v="0"/>
    <n v="1"/>
    <n v="4"/>
    <n v="2"/>
    <n v="0"/>
    <n v="0"/>
    <n v="0"/>
    <n v="0"/>
    <n v="1"/>
    <n v="4"/>
    <n v="2"/>
    <n v="0"/>
    <n v="0"/>
    <n v="0"/>
    <n v="0"/>
    <n v="0"/>
    <n v="0"/>
    <n v="0"/>
    <n v="0"/>
    <n v="0"/>
    <n v="0"/>
    <n v="0"/>
    <n v="0"/>
    <n v="0"/>
    <n v="0"/>
    <n v="0"/>
    <n v="0"/>
    <n v="0"/>
    <x v="0"/>
    <x v="0"/>
    <x v="0"/>
    <x v="0"/>
    <x v="0"/>
    <m/>
    <x v="0"/>
    <x v="0"/>
    <n v="14"/>
    <m/>
    <n v="3.5"/>
    <n v="3.5"/>
    <m/>
    <m/>
    <m/>
    <m/>
    <m/>
    <m/>
    <m/>
    <m/>
    <m/>
    <m/>
    <m/>
    <m/>
    <m/>
    <m/>
    <m/>
    <m/>
    <m/>
    <m/>
    <n v="7"/>
    <n v="7"/>
  </r>
  <r>
    <n v="7209"/>
    <x v="1"/>
    <s v="2019/2996"/>
    <s v="1 Carlton Villas, St Johns Avenue"/>
    <m/>
    <n v="524271"/>
    <n v="174853"/>
    <x v="5"/>
    <d v="2020-03-18T00:00:00"/>
    <m/>
    <n v="0"/>
    <n v="1"/>
    <n v="1"/>
    <n v="1"/>
    <n v="1"/>
    <x v="0"/>
    <s v="Erection of two-storey (plus roof) 3-bedroom house with off-street parking accessed from St John's Avenue."/>
    <s v="PF"/>
    <d v="2019-07-24T00:00:00"/>
    <d v="2019-11-24T00:00:00"/>
    <x v="1"/>
    <s v="Nil"/>
    <m/>
    <s v="Gdn"/>
    <s v="NB"/>
    <x v="0"/>
    <x v="5"/>
    <n v="1.09999999403954E-2"/>
    <d v="2020-03-18T00:00:00"/>
    <x v="1"/>
    <m/>
    <x v="0"/>
    <s v="M"/>
    <m/>
    <m/>
    <n v="0"/>
    <n v="0"/>
    <n v="0"/>
    <n v="0"/>
    <n v="0"/>
    <n v="0"/>
    <n v="0"/>
    <n v="1"/>
    <n v="0"/>
    <n v="0"/>
    <n v="0"/>
    <n v="0"/>
    <n v="0"/>
    <n v="0"/>
    <n v="0"/>
    <n v="0"/>
    <n v="0"/>
    <n v="0"/>
    <n v="0"/>
    <n v="0"/>
    <n v="0"/>
    <n v="1"/>
    <n v="0"/>
    <n v="0"/>
    <n v="0"/>
    <n v="0"/>
    <n v="0"/>
    <n v="0"/>
    <n v="0"/>
    <n v="0"/>
    <n v="0"/>
    <n v="0"/>
    <x v="0"/>
    <x v="0"/>
    <x v="0"/>
    <x v="0"/>
    <x v="0"/>
    <m/>
    <x v="0"/>
    <x v="0"/>
    <n v="3"/>
    <m/>
    <n v="0.5"/>
    <n v="0.5"/>
    <m/>
    <m/>
    <m/>
    <m/>
    <m/>
    <m/>
    <m/>
    <m/>
    <m/>
    <m/>
    <m/>
    <m/>
    <m/>
    <m/>
    <m/>
    <m/>
    <m/>
    <m/>
    <n v="1"/>
    <n v="1"/>
  </r>
  <r>
    <n v="7214"/>
    <x v="1"/>
    <s v="2019/2954"/>
    <s v="39 Balham Hill"/>
    <m/>
    <n v="528816"/>
    <n v="174167"/>
    <x v="6"/>
    <d v="2020-02-26T00:00:00"/>
    <m/>
    <n v="1"/>
    <n v="2"/>
    <n v="1"/>
    <n v="3"/>
    <n v="2"/>
    <x v="0"/>
    <s v="Alterations including erection of single storey rear extension; formation of rear balconies on first and second floor level; formation of lightwell to the side elevation; in connection with conversion of building to provide retail use on ground and basement floors and 2 x 1-bedroom and 1 x studio flats (amended description)."/>
    <s v="PF"/>
    <d v="2019-08-02T00:00:00"/>
    <d v="2019-12-02T00:00:00"/>
    <x v="1"/>
    <s v="Nil"/>
    <m/>
    <s v="BF"/>
    <s v="MIX"/>
    <x v="0"/>
    <x v="0"/>
    <n v="4.0000001899898104E-3"/>
    <d v="2020-02-26T00:00:00"/>
    <x v="1"/>
    <m/>
    <x v="0"/>
    <s v="M"/>
    <m/>
    <m/>
    <n v="0"/>
    <n v="0"/>
    <n v="0"/>
    <n v="0"/>
    <n v="0"/>
    <n v="2"/>
    <n v="-1"/>
    <n v="0"/>
    <n v="0"/>
    <n v="0"/>
    <n v="0"/>
    <n v="0"/>
    <n v="2"/>
    <n v="-1"/>
    <n v="0"/>
    <n v="0"/>
    <n v="0"/>
    <n v="0"/>
    <n v="0"/>
    <n v="0"/>
    <n v="0"/>
    <n v="0"/>
    <n v="0"/>
    <n v="0"/>
    <n v="0"/>
    <n v="0"/>
    <n v="0"/>
    <n v="0"/>
    <n v="0"/>
    <n v="0"/>
    <n v="0"/>
    <n v="0"/>
    <x v="0"/>
    <x v="0"/>
    <x v="0"/>
    <x v="0"/>
    <x v="0"/>
    <m/>
    <x v="0"/>
    <x v="0"/>
    <n v="14"/>
    <m/>
    <n v="0.5"/>
    <n v="0.5"/>
    <m/>
    <m/>
    <m/>
    <m/>
    <m/>
    <m/>
    <m/>
    <m/>
    <m/>
    <m/>
    <m/>
    <m/>
    <m/>
    <m/>
    <m/>
    <m/>
    <m/>
    <m/>
    <n v="1"/>
    <n v="1"/>
  </r>
  <r>
    <n v="7214"/>
    <x v="1"/>
    <s v="2019/2954"/>
    <s v="39 Balham Hill"/>
    <m/>
    <n v="528816"/>
    <n v="174167"/>
    <x v="6"/>
    <d v="2020-02-26T00:00:00"/>
    <m/>
    <n v="0"/>
    <n v="1"/>
    <n v="1"/>
    <n v="3"/>
    <n v="2"/>
    <x v="0"/>
    <s v="Alterations including erection of single storey rear extension; formation of rear balconies on first and second floor level; formation of lightwell to the side elevation; in connection with conversion of building to provide retail use on ground and basement floors and 2 x 1-bedroom and 1 x studio flats (amended description)."/>
    <s v="PF"/>
    <d v="2019-08-02T00:00:00"/>
    <d v="2019-12-02T00:00:00"/>
    <x v="1"/>
    <s v="Nil"/>
    <m/>
    <s v="BF"/>
    <s v="MIX"/>
    <x v="0"/>
    <x v="4"/>
    <n v="2.0000000949949E-3"/>
    <d v="2020-02-26T00:00:00"/>
    <x v="1"/>
    <m/>
    <x v="0"/>
    <s v="M"/>
    <m/>
    <m/>
    <n v="0"/>
    <n v="0"/>
    <n v="0"/>
    <n v="0"/>
    <n v="1"/>
    <n v="0"/>
    <n v="0"/>
    <n v="0"/>
    <n v="0"/>
    <n v="0"/>
    <n v="0"/>
    <n v="1"/>
    <n v="0"/>
    <n v="0"/>
    <n v="0"/>
    <n v="0"/>
    <n v="0"/>
    <n v="0"/>
    <n v="0"/>
    <n v="0"/>
    <n v="0"/>
    <n v="0"/>
    <n v="0"/>
    <n v="0"/>
    <n v="0"/>
    <n v="0"/>
    <n v="0"/>
    <n v="0"/>
    <n v="0"/>
    <n v="0"/>
    <n v="0"/>
    <n v="0"/>
    <x v="0"/>
    <x v="0"/>
    <x v="0"/>
    <x v="0"/>
    <x v="0"/>
    <m/>
    <x v="0"/>
    <x v="0"/>
    <n v="14"/>
    <m/>
    <n v="0.5"/>
    <n v="0.5"/>
    <m/>
    <m/>
    <m/>
    <m/>
    <m/>
    <m/>
    <m/>
    <m/>
    <m/>
    <m/>
    <m/>
    <m/>
    <m/>
    <m/>
    <m/>
    <m/>
    <m/>
    <m/>
    <n v="1"/>
    <n v="1"/>
  </r>
  <r>
    <n v="7225"/>
    <x v="1"/>
    <s v="2019/3256"/>
    <s v="1 Este Road"/>
    <m/>
    <n v="527240"/>
    <n v="175812"/>
    <x v="16"/>
    <d v="2020-03-31T00:00:00"/>
    <m/>
    <n v="1"/>
    <n v="2"/>
    <n v="1"/>
    <n v="2"/>
    <n v="1"/>
    <x v="0"/>
    <s v="Alterations in connection with conversion of existing dwelling house into 2 x 3-bedroom flats."/>
    <s v="PF"/>
    <d v="2019-08-13T00:00:00"/>
    <d v="2019-09-20T00:00:00"/>
    <x v="1"/>
    <s v="Nil"/>
    <m/>
    <s v="BF"/>
    <s v="CON"/>
    <x v="0"/>
    <x v="2"/>
    <n v="1.7000000923872001E-2"/>
    <d v="2020-03-31T00:00:00"/>
    <x v="1"/>
    <m/>
    <x v="0"/>
    <s v="M"/>
    <m/>
    <m/>
    <n v="0"/>
    <n v="0"/>
    <n v="0"/>
    <n v="0"/>
    <n v="0"/>
    <n v="0"/>
    <n v="0"/>
    <n v="2"/>
    <n v="0"/>
    <n v="-1"/>
    <n v="0"/>
    <n v="0"/>
    <n v="0"/>
    <n v="0"/>
    <n v="2"/>
    <n v="0"/>
    <n v="0"/>
    <n v="0"/>
    <n v="0"/>
    <n v="0"/>
    <n v="0"/>
    <n v="0"/>
    <n v="0"/>
    <n v="-1"/>
    <n v="0"/>
    <n v="0"/>
    <n v="0"/>
    <n v="0"/>
    <n v="0"/>
    <n v="0"/>
    <n v="0"/>
    <n v="0"/>
    <x v="0"/>
    <x v="0"/>
    <x v="0"/>
    <x v="0"/>
    <x v="0"/>
    <m/>
    <x v="0"/>
    <x v="0"/>
    <n v="14"/>
    <m/>
    <n v="0.5"/>
    <n v="0.5"/>
    <m/>
    <m/>
    <m/>
    <m/>
    <m/>
    <m/>
    <m/>
    <m/>
    <m/>
    <m/>
    <m/>
    <m/>
    <m/>
    <m/>
    <m/>
    <m/>
    <m/>
    <m/>
    <n v="1"/>
    <n v="1"/>
  </r>
  <r>
    <n v="7230"/>
    <x v="1"/>
    <s v="2019/3367"/>
    <s v="92 and 92a, Gilbey Road"/>
    <m/>
    <n v="527163"/>
    <n v="171564"/>
    <x v="1"/>
    <d v="2020-02-04T00:00:00"/>
    <m/>
    <n v="2"/>
    <n v="1"/>
    <n v="-1"/>
    <n v="1"/>
    <n v="-1"/>
    <x v="0"/>
    <s v="Alterations including conversion of two flats to single dwelling house and removal of render to front elevation."/>
    <s v="PF"/>
    <d v="2019-08-14T00:00:00"/>
    <d v="2019-10-02T00:00:00"/>
    <x v="1"/>
    <s v="Nil"/>
    <m/>
    <s v="BF"/>
    <s v="CON"/>
    <x v="0"/>
    <x v="8"/>
    <n v="1.2000000104308101E-2"/>
    <d v="2020-02-04T00:00:00"/>
    <x v="1"/>
    <m/>
    <x v="0"/>
    <s v="M"/>
    <m/>
    <m/>
    <n v="0"/>
    <n v="0"/>
    <n v="0"/>
    <n v="0"/>
    <n v="0"/>
    <n v="-1"/>
    <n v="-1"/>
    <n v="0"/>
    <n v="0"/>
    <n v="1"/>
    <n v="0"/>
    <n v="0"/>
    <n v="-1"/>
    <n v="-1"/>
    <n v="0"/>
    <n v="0"/>
    <n v="0"/>
    <n v="0"/>
    <n v="0"/>
    <n v="0"/>
    <n v="0"/>
    <n v="0"/>
    <n v="0"/>
    <n v="1"/>
    <n v="0"/>
    <n v="0"/>
    <n v="0"/>
    <n v="0"/>
    <n v="0"/>
    <n v="0"/>
    <n v="0"/>
    <n v="0"/>
    <x v="0"/>
    <x v="0"/>
    <x v="0"/>
    <x v="0"/>
    <x v="0"/>
    <m/>
    <x v="0"/>
    <x v="0"/>
    <n v="14"/>
    <m/>
    <n v="-0.5"/>
    <n v="-0.5"/>
    <m/>
    <m/>
    <m/>
    <m/>
    <m/>
    <m/>
    <m/>
    <m/>
    <m/>
    <m/>
    <m/>
    <m/>
    <m/>
    <m/>
    <m/>
    <m/>
    <m/>
    <m/>
    <n v="-1"/>
    <n v="-1"/>
  </r>
  <r>
    <n v="7237"/>
    <x v="1"/>
    <s v="2019/3567"/>
    <s v="78 St Johns Hill"/>
    <m/>
    <n v="526940"/>
    <n v="175221"/>
    <x v="2"/>
    <d v="2019-12-20T00:00:00"/>
    <m/>
    <n v="0"/>
    <n v="1"/>
    <n v="1"/>
    <n v="2"/>
    <n v="2"/>
    <x v="0"/>
    <s v="Erection of extension to provide two additional floors of accommodation including front mansard at third floor level; Erection of part-single, part-two storey rear extension in connection with creation of 1 x studio and 1 x 1 bed flats (Amended Description)."/>
    <s v="PF"/>
    <d v="2019-09-04T00:00:00"/>
    <d v="2019-11-01T00:00:00"/>
    <x v="1"/>
    <s v="Nil"/>
    <m/>
    <s v="BF"/>
    <s v="MIX"/>
    <x v="0"/>
    <x v="4"/>
    <n v="3.0000000260770299E-3"/>
    <d v="2019-12-20T00:00:00"/>
    <x v="1"/>
    <m/>
    <x v="0"/>
    <s v="M"/>
    <m/>
    <m/>
    <n v="0"/>
    <n v="0"/>
    <n v="0"/>
    <n v="0"/>
    <n v="1"/>
    <n v="0"/>
    <n v="0"/>
    <n v="0"/>
    <n v="0"/>
    <n v="0"/>
    <n v="0"/>
    <n v="1"/>
    <n v="0"/>
    <n v="0"/>
    <n v="0"/>
    <n v="0"/>
    <n v="0"/>
    <n v="0"/>
    <n v="0"/>
    <n v="0"/>
    <n v="0"/>
    <n v="0"/>
    <n v="0"/>
    <n v="0"/>
    <n v="0"/>
    <n v="0"/>
    <n v="0"/>
    <n v="0"/>
    <n v="0"/>
    <n v="0"/>
    <n v="0"/>
    <n v="0"/>
    <x v="0"/>
    <x v="0"/>
    <x v="0"/>
    <x v="0"/>
    <x v="0"/>
    <m/>
    <x v="0"/>
    <x v="0"/>
    <n v="14"/>
    <m/>
    <n v="0.5"/>
    <n v="0.5"/>
    <m/>
    <m/>
    <m/>
    <m/>
    <m/>
    <m/>
    <m/>
    <m/>
    <m/>
    <m/>
    <m/>
    <m/>
    <m/>
    <m/>
    <m/>
    <m/>
    <m/>
    <m/>
    <n v="1"/>
    <n v="1"/>
  </r>
  <r>
    <n v="7237"/>
    <x v="1"/>
    <s v="2019/3567"/>
    <s v="78 St Johns Hill"/>
    <m/>
    <n v="526940"/>
    <n v="175221"/>
    <x v="2"/>
    <d v="2019-12-20T00:00:00"/>
    <m/>
    <n v="0"/>
    <n v="1"/>
    <n v="1"/>
    <n v="2"/>
    <n v="2"/>
    <x v="0"/>
    <s v="Erection of extension to provide two additional floors of accommodation including front mansard at third floor level; Erection of part-single, part-two storey rear extension in connection with creation of 1 x studio and 1 x 1 bed flats (Amended Description)."/>
    <s v="PF"/>
    <d v="2019-09-04T00:00:00"/>
    <d v="2019-11-01T00:00:00"/>
    <x v="1"/>
    <s v="Nil"/>
    <m/>
    <s v="BF"/>
    <s v="MIX"/>
    <x v="0"/>
    <x v="3"/>
    <n v="4.9999998882412902E-3"/>
    <d v="2019-12-20T00:00:00"/>
    <x v="1"/>
    <m/>
    <x v="0"/>
    <s v="M"/>
    <m/>
    <m/>
    <n v="0"/>
    <n v="0"/>
    <n v="0"/>
    <n v="0"/>
    <n v="0"/>
    <n v="1"/>
    <n v="0"/>
    <n v="0"/>
    <n v="0"/>
    <n v="0"/>
    <n v="0"/>
    <n v="0"/>
    <n v="1"/>
    <n v="0"/>
    <n v="0"/>
    <n v="0"/>
    <n v="0"/>
    <n v="0"/>
    <n v="0"/>
    <n v="0"/>
    <n v="0"/>
    <n v="0"/>
    <n v="0"/>
    <n v="0"/>
    <n v="0"/>
    <n v="0"/>
    <n v="0"/>
    <n v="0"/>
    <n v="0"/>
    <n v="0"/>
    <n v="0"/>
    <n v="0"/>
    <x v="0"/>
    <x v="0"/>
    <x v="0"/>
    <x v="0"/>
    <x v="0"/>
    <m/>
    <x v="0"/>
    <x v="0"/>
    <n v="14"/>
    <m/>
    <n v="0.5"/>
    <n v="0.5"/>
    <m/>
    <m/>
    <m/>
    <m/>
    <m/>
    <m/>
    <m/>
    <m/>
    <m/>
    <m/>
    <m/>
    <m/>
    <m/>
    <m/>
    <m/>
    <m/>
    <m/>
    <m/>
    <n v="1"/>
    <n v="1"/>
  </r>
  <r>
    <n v="7255"/>
    <x v="1"/>
    <s v="2019/3781"/>
    <s v="44a Battersea Rise"/>
    <m/>
    <n v="527569"/>
    <n v="175159"/>
    <x v="4"/>
    <d v="2020-03-31T00:00:00"/>
    <m/>
    <n v="0"/>
    <n v="1"/>
    <n v="1"/>
    <n v="1"/>
    <n v="1"/>
    <x v="0"/>
    <s v="Alterations including erection of mansard roof extension to main rear roof and mansard style roof extension and formation of balcony with glazed screen surround over existing two-storey back addition in connection with conversion of existing flat into 1 x 1-bedroom and 1 x 3-bedroom flats."/>
    <s v="PF"/>
    <d v="2019-09-20T00:00:00"/>
    <d v="2020-01-24T00:00:00"/>
    <x v="1"/>
    <s v="Nil"/>
    <m/>
    <s v="BF"/>
    <s v="MIX"/>
    <x v="0"/>
    <x v="3"/>
    <n v="3.0000000260770299E-3"/>
    <d v="2020-03-31T00:00:00"/>
    <x v="1"/>
    <m/>
    <x v="0"/>
    <s v="M"/>
    <m/>
    <m/>
    <n v="0"/>
    <n v="0"/>
    <n v="0"/>
    <n v="0"/>
    <n v="0"/>
    <n v="1"/>
    <n v="0"/>
    <n v="0"/>
    <n v="0"/>
    <n v="0"/>
    <n v="0"/>
    <n v="0"/>
    <n v="1"/>
    <n v="0"/>
    <n v="0"/>
    <n v="0"/>
    <n v="0"/>
    <n v="0"/>
    <n v="0"/>
    <n v="0"/>
    <n v="0"/>
    <n v="0"/>
    <n v="0"/>
    <n v="0"/>
    <n v="0"/>
    <n v="0"/>
    <n v="0"/>
    <n v="0"/>
    <n v="0"/>
    <n v="0"/>
    <n v="0"/>
    <n v="0"/>
    <x v="1"/>
    <x v="0"/>
    <x v="0"/>
    <x v="0"/>
    <x v="0"/>
    <m/>
    <x v="0"/>
    <x v="0"/>
    <n v="14"/>
    <m/>
    <n v="0.5"/>
    <n v="0.5"/>
    <m/>
    <m/>
    <m/>
    <m/>
    <m/>
    <m/>
    <m/>
    <m/>
    <m/>
    <m/>
    <m/>
    <m/>
    <m/>
    <m/>
    <m/>
    <m/>
    <m/>
    <m/>
    <n v="1"/>
    <n v="1"/>
  </r>
  <r>
    <n v="7261"/>
    <x v="1"/>
    <s v="2019/3334"/>
    <s v="8 Spencer park"/>
    <m/>
    <n v="526747"/>
    <n v="174635"/>
    <x v="17"/>
    <d v="2020-02-27T00:00:00"/>
    <m/>
    <n v="3"/>
    <n v="2"/>
    <n v="-1"/>
    <n v="2"/>
    <n v="-1"/>
    <x v="0"/>
    <s v="Alterations including excavation to enlarge lower ground floor to rear and side including rear lightwell;  erection of single-storey rear and side extensions and staircase/lightwell to north side of building. replacement fenestration and rebuilding of front boundary wall including insertion of gates; use of property as two flats."/>
    <s v="PF"/>
    <d v="2019-08-14T00:00:00"/>
    <d v="2019-10-24T00:00:00"/>
    <x v="1"/>
    <s v="Nil"/>
    <m/>
    <s v="BF"/>
    <s v="CON"/>
    <x v="0"/>
    <x v="10"/>
    <n v="8.9000001549720806E-2"/>
    <d v="2020-02-27T00:00:00"/>
    <x v="1"/>
    <m/>
    <x v="0"/>
    <s v="M"/>
    <m/>
    <m/>
    <n v="0"/>
    <n v="0"/>
    <n v="0"/>
    <n v="0"/>
    <n v="0"/>
    <n v="-2"/>
    <n v="1"/>
    <n v="0"/>
    <n v="-1"/>
    <n v="1"/>
    <n v="0"/>
    <n v="0"/>
    <n v="-2"/>
    <n v="1"/>
    <n v="0"/>
    <n v="-1"/>
    <n v="1"/>
    <n v="0"/>
    <n v="0"/>
    <n v="0"/>
    <n v="0"/>
    <n v="0"/>
    <n v="0"/>
    <n v="0"/>
    <n v="0"/>
    <n v="0"/>
    <n v="0"/>
    <n v="0"/>
    <n v="0"/>
    <n v="0"/>
    <n v="0"/>
    <n v="0"/>
    <x v="0"/>
    <x v="0"/>
    <x v="0"/>
    <x v="0"/>
    <x v="0"/>
    <m/>
    <x v="0"/>
    <x v="0"/>
    <n v="14"/>
    <m/>
    <n v="-0.5"/>
    <n v="-0.5"/>
    <m/>
    <m/>
    <m/>
    <m/>
    <m/>
    <m/>
    <m/>
    <m/>
    <m/>
    <m/>
    <m/>
    <m/>
    <m/>
    <m/>
    <m/>
    <m/>
    <m/>
    <m/>
    <n v="-1"/>
    <n v="-1"/>
  </r>
  <r>
    <n v="7282"/>
    <x v="1"/>
    <s v="2019/4101"/>
    <s v="13 Herndon Road"/>
    <m/>
    <n v="526085"/>
    <n v="174651"/>
    <x v="2"/>
    <d v="2020-03-03T00:00:00"/>
    <m/>
    <n v="2"/>
    <n v="1"/>
    <n v="-1"/>
    <n v="1"/>
    <n v="-1"/>
    <x v="0"/>
    <s v="Alterations including erection of single storey rear/side extension in connection with use as a single dwelling house."/>
    <s v="PF"/>
    <d v="2019-11-12T00:00:00"/>
    <d v="2020-01-07T00:00:00"/>
    <x v="1"/>
    <s v="Nil"/>
    <m/>
    <s v="BF"/>
    <s v="CON"/>
    <x v="0"/>
    <x v="8"/>
    <n v="1.4000000432133701E-2"/>
    <d v="2020-03-03T00:00:00"/>
    <x v="1"/>
    <m/>
    <x v="0"/>
    <s v="M"/>
    <m/>
    <m/>
    <n v="0"/>
    <n v="0"/>
    <n v="0"/>
    <n v="0"/>
    <n v="0"/>
    <n v="-1"/>
    <n v="0"/>
    <n v="0"/>
    <n v="-1"/>
    <n v="1"/>
    <n v="0"/>
    <n v="0"/>
    <n v="-1"/>
    <n v="0"/>
    <n v="0"/>
    <n v="-1"/>
    <n v="0"/>
    <n v="0"/>
    <n v="0"/>
    <n v="0"/>
    <n v="0"/>
    <n v="0"/>
    <n v="0"/>
    <n v="1"/>
    <n v="0"/>
    <n v="0"/>
    <n v="0"/>
    <n v="0"/>
    <n v="0"/>
    <n v="0"/>
    <n v="0"/>
    <n v="0"/>
    <x v="0"/>
    <x v="0"/>
    <x v="0"/>
    <x v="0"/>
    <x v="0"/>
    <m/>
    <x v="0"/>
    <x v="0"/>
    <n v="14"/>
    <m/>
    <n v="-0.5"/>
    <n v="-0.5"/>
    <m/>
    <m/>
    <m/>
    <m/>
    <m/>
    <m/>
    <m/>
    <m/>
    <m/>
    <m/>
    <m/>
    <m/>
    <m/>
    <m/>
    <m/>
    <m/>
    <m/>
    <m/>
    <n v="-1"/>
    <n v="-1"/>
  </r>
  <r>
    <n v="7286"/>
    <x v="1"/>
    <s v="2019/4598"/>
    <s v="The Telegraph, Telegraph Road"/>
    <m/>
    <n v="523312"/>
    <n v="173708"/>
    <x v="13"/>
    <d v="2020-03-31T00:00:00"/>
    <m/>
    <n v="0"/>
    <n v="1"/>
    <n v="1"/>
    <n v="1"/>
    <n v="1"/>
    <x v="0"/>
    <s v="Alterations in connection with change of use of rear of first floor from pub (Class A4) to residential (Class C3) to create 1-bedroom flat."/>
    <s v="PF"/>
    <d v="2019-11-20T00:00:00"/>
    <d v="2020-01-17T00:00:00"/>
    <x v="1"/>
    <s v="Nil"/>
    <m/>
    <s v="BF"/>
    <s v="COU"/>
    <x v="0"/>
    <x v="1"/>
    <n v="1.09999999403954E-2"/>
    <d v="2020-03-31T00:00:00"/>
    <x v="1"/>
    <m/>
    <x v="0"/>
    <s v="M"/>
    <m/>
    <m/>
    <n v="0"/>
    <n v="0"/>
    <n v="0"/>
    <n v="0"/>
    <n v="0"/>
    <n v="1"/>
    <n v="0"/>
    <n v="0"/>
    <n v="0"/>
    <n v="0"/>
    <n v="0"/>
    <n v="0"/>
    <n v="1"/>
    <n v="0"/>
    <n v="0"/>
    <n v="0"/>
    <n v="0"/>
    <n v="0"/>
    <n v="0"/>
    <n v="0"/>
    <n v="0"/>
    <n v="0"/>
    <n v="0"/>
    <n v="0"/>
    <n v="0"/>
    <n v="0"/>
    <n v="0"/>
    <n v="0"/>
    <n v="0"/>
    <n v="0"/>
    <n v="0"/>
    <n v="0"/>
    <x v="0"/>
    <x v="0"/>
    <x v="0"/>
    <x v="0"/>
    <x v="0"/>
    <m/>
    <x v="0"/>
    <x v="0"/>
    <n v="14"/>
    <m/>
    <n v="0.5"/>
    <n v="0.5"/>
    <m/>
    <m/>
    <m/>
    <m/>
    <m/>
    <m/>
    <m/>
    <m/>
    <m/>
    <m/>
    <m/>
    <m/>
    <m/>
    <m/>
    <m/>
    <m/>
    <m/>
    <m/>
    <n v="1"/>
    <n v="1"/>
  </r>
  <r>
    <n v="7370"/>
    <x v="1"/>
    <s v="2017/0473"/>
    <s v="130 Wimbledon Park Road"/>
    <m/>
    <n v="524897"/>
    <n v="173679"/>
    <x v="14"/>
    <d v="2019-03-31T00:00:00"/>
    <m/>
    <n v="0"/>
    <n v="1"/>
    <n v="1"/>
    <n v="1"/>
    <n v="1"/>
    <x v="0"/>
    <s v="Change of use from Professional and Financial Services ( Class  A2 ) to a Residential Dwelling ( Class C3 ), erection of single storey rear extension and erection of a front boundary wall."/>
    <s v="PF"/>
    <d v="2017-01-25T00:00:00"/>
    <d v="2017-05-23T00:00:00"/>
    <x v="0"/>
    <s v="Nil"/>
    <m/>
    <s v="BF"/>
    <s v="MIX"/>
    <x v="0"/>
    <x v="6"/>
    <n v="1.8999999389052401E-2"/>
    <d v="2019-03-31T00:00:00"/>
    <x v="0"/>
    <m/>
    <x v="0"/>
    <s v="M"/>
    <m/>
    <m/>
    <n v="0"/>
    <n v="0"/>
    <n v="0"/>
    <n v="0"/>
    <n v="0"/>
    <n v="0"/>
    <n v="1"/>
    <n v="0"/>
    <n v="0"/>
    <n v="0"/>
    <n v="0"/>
    <n v="0"/>
    <n v="0"/>
    <n v="0"/>
    <n v="0"/>
    <n v="0"/>
    <n v="0"/>
    <n v="0"/>
    <n v="0"/>
    <n v="0"/>
    <n v="1"/>
    <n v="0"/>
    <n v="0"/>
    <n v="0"/>
    <n v="0"/>
    <n v="0"/>
    <n v="0"/>
    <n v="0"/>
    <n v="0"/>
    <n v="0"/>
    <n v="0"/>
    <n v="0"/>
    <x v="0"/>
    <x v="0"/>
    <x v="0"/>
    <x v="0"/>
    <x v="0"/>
    <m/>
    <x v="0"/>
    <x v="0"/>
    <n v="13"/>
    <m/>
    <n v="1"/>
    <m/>
    <m/>
    <m/>
    <m/>
    <m/>
    <m/>
    <m/>
    <m/>
    <m/>
    <m/>
    <m/>
    <m/>
    <m/>
    <m/>
    <m/>
    <m/>
    <m/>
    <m/>
    <m/>
    <n v="1"/>
    <n v="1"/>
  </r>
  <r>
    <n v="7371"/>
    <x v="1"/>
    <s v="2018/4594"/>
    <s v="Store and Land East of The Queens Arms, 143 St Philip Street"/>
    <m/>
    <n v="528660"/>
    <n v="175992"/>
    <x v="12"/>
    <d v="2020-03-31T00:00:00"/>
    <m/>
    <n v="0"/>
    <n v="1"/>
    <n v="1"/>
    <n v="1"/>
    <n v="1"/>
    <x v="0"/>
    <s v="Erection of two-storey (plus basement) 3-bedroom house."/>
    <s v="PF"/>
    <d v="2018-10-25T00:00:00"/>
    <d v="2018-12-20T00:00:00"/>
    <x v="0"/>
    <s v="Nil"/>
    <m/>
    <s v="BF"/>
    <s v="NB"/>
    <x v="0"/>
    <x v="5"/>
    <n v="1.4000000432133701E-2"/>
    <d v="2020-03-31T00:00:00"/>
    <x v="1"/>
    <m/>
    <x v="0"/>
    <s v="M"/>
    <m/>
    <m/>
    <n v="0"/>
    <n v="0"/>
    <n v="0"/>
    <n v="0"/>
    <n v="0"/>
    <n v="0"/>
    <n v="0"/>
    <n v="1"/>
    <n v="0"/>
    <n v="0"/>
    <n v="0"/>
    <n v="0"/>
    <n v="0"/>
    <n v="0"/>
    <n v="0"/>
    <n v="0"/>
    <n v="0"/>
    <n v="0"/>
    <n v="0"/>
    <n v="0"/>
    <n v="0"/>
    <n v="1"/>
    <n v="0"/>
    <n v="0"/>
    <n v="0"/>
    <n v="0"/>
    <n v="0"/>
    <n v="0"/>
    <n v="0"/>
    <n v="0"/>
    <n v="0"/>
    <n v="0"/>
    <x v="0"/>
    <x v="0"/>
    <x v="0"/>
    <x v="0"/>
    <x v="0"/>
    <m/>
    <x v="0"/>
    <x v="0"/>
    <n v="3"/>
    <m/>
    <n v="0.5"/>
    <n v="0.5"/>
    <m/>
    <m/>
    <m/>
    <m/>
    <m/>
    <m/>
    <m/>
    <m/>
    <m/>
    <m/>
    <m/>
    <m/>
    <m/>
    <m/>
    <m/>
    <m/>
    <m/>
    <m/>
    <n v="1"/>
    <n v="1"/>
  </r>
  <r>
    <n v="54"/>
    <x v="2"/>
    <s v="2017/0125"/>
    <s v="Ransomes Dock, 35-37 Parkgate Road (Ransomes Dock Business Centre)"/>
    <m/>
    <n v="527320"/>
    <n v="177144"/>
    <x v="11"/>
    <m/>
    <m/>
    <n v="0"/>
    <n v="5"/>
    <n v="5"/>
    <n v="5"/>
    <n v="5"/>
    <x v="0"/>
    <s v="Erection of five two-storey flats with roof terraces above the existing business units of the Ransomes Dock Business Centre at third floor level."/>
    <s v="PF"/>
    <d v="2017-01-30T00:00:00"/>
    <d v="2017-12-18T00:00:00"/>
    <x v="0"/>
    <s v="Nil"/>
    <m/>
    <s v="BF"/>
    <s v="EXT"/>
    <x v="0"/>
    <x v="3"/>
    <n v="2.70000007003546E-2"/>
    <m/>
    <x v="0"/>
    <m/>
    <x v="0"/>
    <s v="M"/>
    <m/>
    <m/>
    <n v="0"/>
    <n v="0"/>
    <n v="0"/>
    <n v="0"/>
    <n v="0"/>
    <n v="1"/>
    <n v="0"/>
    <n v="4"/>
    <n v="0"/>
    <n v="0"/>
    <n v="0"/>
    <n v="0"/>
    <n v="1"/>
    <n v="0"/>
    <n v="4"/>
    <n v="0"/>
    <n v="0"/>
    <n v="0"/>
    <n v="0"/>
    <n v="0"/>
    <n v="0"/>
    <n v="0"/>
    <n v="0"/>
    <n v="0"/>
    <n v="0"/>
    <n v="0"/>
    <n v="0"/>
    <n v="0"/>
    <n v="0"/>
    <n v="0"/>
    <n v="0"/>
    <n v="0"/>
    <x v="0"/>
    <x v="0"/>
    <x v="0"/>
    <x v="0"/>
    <x v="0"/>
    <m/>
    <x v="1"/>
    <x v="0"/>
    <n v="15"/>
    <m/>
    <n v="1.6666666666666667"/>
    <n v="1.6666666666666667"/>
    <n v="1.6666666666666667"/>
    <m/>
    <m/>
    <m/>
    <m/>
    <m/>
    <m/>
    <m/>
    <m/>
    <m/>
    <m/>
    <m/>
    <m/>
    <m/>
    <m/>
    <m/>
    <m/>
    <m/>
    <n v="5"/>
    <n v="5"/>
  </r>
  <r>
    <n v="179"/>
    <x v="2"/>
    <s v="2018/2166"/>
    <s v="1a Merivale Road"/>
    <s v="Cou/extn"/>
    <n v="524331"/>
    <n v="174522"/>
    <x v="0"/>
    <m/>
    <m/>
    <n v="0"/>
    <n v="4"/>
    <n v="4"/>
    <n v="7"/>
    <n v="7"/>
    <x v="0"/>
    <s v="Refurbishement and extension of warehouse building including insertion of dormer windows together with replacement and new fenestration to provide 1 x 1-bed, 2 x 2-bed and 1 x 3-bed flats; demolition of outbuildings and erection of  2 x 2-bed and 1 x 3-bed single-storey (plus roof level accommodation) houses; 3 x parking spaces, cycle parking, refuse storage and associated landscaping; gated access via Merivale Road and Deodar Road."/>
    <s v="PFLA"/>
    <d v="2018-05-23T00:00:00"/>
    <d v="2019-10-18T00:00:00"/>
    <x v="1"/>
    <s v="Nil"/>
    <m/>
    <s v="BF"/>
    <s v="MIX"/>
    <x v="0"/>
    <x v="1"/>
    <n v="3.9000000804662698E-2"/>
    <m/>
    <x v="0"/>
    <m/>
    <x v="0"/>
    <s v="M"/>
    <m/>
    <m/>
    <n v="0"/>
    <n v="0"/>
    <n v="0"/>
    <n v="0"/>
    <n v="0"/>
    <n v="1"/>
    <n v="2"/>
    <n v="1"/>
    <n v="0"/>
    <n v="0"/>
    <n v="0"/>
    <n v="0"/>
    <n v="1"/>
    <n v="2"/>
    <n v="1"/>
    <n v="0"/>
    <n v="0"/>
    <n v="0"/>
    <n v="0"/>
    <n v="0"/>
    <n v="0"/>
    <n v="0"/>
    <n v="0"/>
    <n v="0"/>
    <n v="0"/>
    <n v="0"/>
    <n v="0"/>
    <n v="0"/>
    <n v="0"/>
    <n v="0"/>
    <n v="0"/>
    <n v="0"/>
    <x v="0"/>
    <x v="0"/>
    <x v="0"/>
    <x v="0"/>
    <x v="0"/>
    <m/>
    <x v="0"/>
    <x v="0"/>
    <n v="18"/>
    <m/>
    <m/>
    <n v="1"/>
    <n v="1"/>
    <n v="1"/>
    <n v="1"/>
    <m/>
    <m/>
    <m/>
    <m/>
    <m/>
    <m/>
    <m/>
    <m/>
    <m/>
    <m/>
    <m/>
    <m/>
    <m/>
    <m/>
    <m/>
    <n v="4"/>
    <n v="4"/>
  </r>
  <r>
    <n v="179"/>
    <x v="2"/>
    <s v="2018/2166"/>
    <s v="1a Merivale Road"/>
    <s v="New build"/>
    <n v="524331"/>
    <n v="174522"/>
    <x v="0"/>
    <m/>
    <m/>
    <n v="0"/>
    <n v="3"/>
    <n v="3"/>
    <n v="7"/>
    <n v="7"/>
    <x v="0"/>
    <s v="Refurbishement and extension of warehouse building including insertion of dormer windows together with replacement and new fenestration to provide 1 x 1-bed, 2 x 2-bed and 1 x 3-bed flats; demolition of outbuildings and erection of  2 x 2-bed and 1 x 3-bed single-storey (plus roof level accommodation) houses; 3 x parking spaces, cycle parking, refuse storage and associated landscaping; gated access via Merivale Road and Deodar Road."/>
    <s v="PFLA"/>
    <d v="2018-05-23T00:00:00"/>
    <d v="2019-10-18T00:00:00"/>
    <x v="1"/>
    <s v="Nil"/>
    <m/>
    <s v="BF"/>
    <s v="MIX"/>
    <x v="0"/>
    <x v="5"/>
    <n v="3.9999999105930301E-2"/>
    <m/>
    <x v="0"/>
    <m/>
    <x v="0"/>
    <s v="M"/>
    <m/>
    <m/>
    <n v="0"/>
    <n v="0"/>
    <n v="0"/>
    <n v="0"/>
    <n v="0"/>
    <n v="0"/>
    <n v="2"/>
    <n v="1"/>
    <n v="0"/>
    <n v="0"/>
    <n v="0"/>
    <n v="0"/>
    <n v="0"/>
    <n v="0"/>
    <n v="0"/>
    <n v="0"/>
    <n v="0"/>
    <n v="0"/>
    <n v="0"/>
    <n v="0"/>
    <n v="2"/>
    <n v="1"/>
    <n v="0"/>
    <n v="0"/>
    <n v="0"/>
    <n v="0"/>
    <n v="0"/>
    <n v="0"/>
    <n v="0"/>
    <n v="0"/>
    <n v="0"/>
    <n v="0"/>
    <x v="0"/>
    <x v="0"/>
    <x v="0"/>
    <x v="0"/>
    <x v="0"/>
    <m/>
    <x v="0"/>
    <x v="0"/>
    <n v="18"/>
    <m/>
    <m/>
    <n v="0.75"/>
    <n v="0.75"/>
    <n v="0.75"/>
    <n v="0.75"/>
    <m/>
    <m/>
    <m/>
    <m/>
    <m/>
    <m/>
    <m/>
    <m/>
    <m/>
    <m/>
    <m/>
    <m/>
    <m/>
    <m/>
    <m/>
    <n v="3"/>
    <n v="3"/>
  </r>
  <r>
    <n v="182"/>
    <x v="2"/>
    <s v="2019/3692"/>
    <s v="376-378 Garratt Lane"/>
    <m/>
    <n v="526066"/>
    <n v="172919"/>
    <x v="8"/>
    <m/>
    <m/>
    <n v="1"/>
    <n v="3"/>
    <n v="2"/>
    <n v="4"/>
    <n v="3"/>
    <x v="0"/>
    <s v="Alterations in connection with conversion of existing flat and  office (B1) to 4 x two-bedroom flats with associated bin and cycle storage."/>
    <s v="PF"/>
    <d v="2019-09-11T00:00:00"/>
    <d v="2019-11-18T00:00:00"/>
    <x v="1"/>
    <s v="Nil"/>
    <m/>
    <s v="BF"/>
    <s v="MIX"/>
    <x v="0"/>
    <x v="0"/>
    <n v="2.19999998807907E-2"/>
    <m/>
    <x v="0"/>
    <m/>
    <x v="0"/>
    <s v="M"/>
    <m/>
    <m/>
    <n v="0"/>
    <n v="0"/>
    <n v="0"/>
    <n v="0"/>
    <n v="0"/>
    <n v="0"/>
    <n v="3"/>
    <n v="0"/>
    <n v="-1"/>
    <n v="0"/>
    <n v="0"/>
    <n v="0"/>
    <n v="0"/>
    <n v="3"/>
    <n v="0"/>
    <n v="-1"/>
    <n v="0"/>
    <n v="0"/>
    <n v="0"/>
    <n v="0"/>
    <n v="0"/>
    <n v="0"/>
    <n v="0"/>
    <n v="0"/>
    <n v="0"/>
    <n v="0"/>
    <n v="0"/>
    <n v="0"/>
    <n v="0"/>
    <n v="0"/>
    <n v="0"/>
    <n v="0"/>
    <x v="0"/>
    <x v="0"/>
    <x v="0"/>
    <x v="0"/>
    <x v="0"/>
    <m/>
    <x v="0"/>
    <x v="0"/>
    <n v="15"/>
    <m/>
    <n v="0.66666666666666663"/>
    <n v="0.66666666666666663"/>
    <n v="0.66666666666666663"/>
    <m/>
    <m/>
    <m/>
    <m/>
    <m/>
    <m/>
    <m/>
    <m/>
    <m/>
    <m/>
    <m/>
    <m/>
    <m/>
    <m/>
    <m/>
    <m/>
    <m/>
    <n v="2"/>
    <n v="2"/>
  </r>
  <r>
    <n v="182"/>
    <x v="2"/>
    <s v="2019/3692"/>
    <s v="376-378 Garratt Lane"/>
    <m/>
    <n v="526066"/>
    <n v="172919"/>
    <x v="8"/>
    <m/>
    <m/>
    <n v="0"/>
    <n v="1"/>
    <n v="1"/>
    <n v="4"/>
    <n v="3"/>
    <x v="0"/>
    <s v="Alterations in connection with conversion of existing flat and  office (B1) to 4 x two-bedroom flats with associated bin and cycle storage."/>
    <s v="PF"/>
    <d v="2019-09-11T00:00:00"/>
    <d v="2019-11-18T00:00:00"/>
    <x v="1"/>
    <s v="Nil"/>
    <m/>
    <s v="BF"/>
    <s v="MIX"/>
    <x v="0"/>
    <x v="6"/>
    <n v="7.000000216066839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211"/>
    <x v="2"/>
    <s v="2019/4916"/>
    <s v="Land front of, 1-3 Candahar Road"/>
    <m/>
    <n v="527282"/>
    <n v="176235"/>
    <x v="16"/>
    <m/>
    <m/>
    <n v="0"/>
    <n v="1"/>
    <n v="1"/>
    <n v="1"/>
    <n v="1"/>
    <x v="0"/>
    <s v="Erection of three-storey three bedroom house with associated bin and cycle storage."/>
    <s v="PF"/>
    <d v="2019-12-05T00:00:00"/>
    <d v="2020-01-07T00:00:00"/>
    <x v="1"/>
    <s v="Nil"/>
    <m/>
    <s v="BF"/>
    <s v="NB"/>
    <x v="0"/>
    <x v="5"/>
    <n v="0.10700000077485999"/>
    <m/>
    <x v="0"/>
    <m/>
    <x v="0"/>
    <s v="M"/>
    <m/>
    <m/>
    <n v="0"/>
    <n v="0"/>
    <n v="0"/>
    <n v="0"/>
    <n v="0"/>
    <n v="0"/>
    <n v="0"/>
    <n v="1"/>
    <n v="0"/>
    <n v="0"/>
    <n v="0"/>
    <n v="0"/>
    <n v="0"/>
    <n v="0"/>
    <n v="0"/>
    <n v="0"/>
    <n v="0"/>
    <n v="0"/>
    <n v="0"/>
    <n v="0"/>
    <n v="0"/>
    <n v="1"/>
    <n v="0"/>
    <n v="0"/>
    <n v="0"/>
    <n v="0"/>
    <n v="0"/>
    <n v="0"/>
    <n v="0"/>
    <n v="0"/>
    <n v="0"/>
    <n v="0"/>
    <x v="0"/>
    <x v="0"/>
    <x v="0"/>
    <x v="0"/>
    <x v="0"/>
    <m/>
    <x v="0"/>
    <x v="0"/>
    <n v="6"/>
    <m/>
    <m/>
    <n v="0.25"/>
    <n v="0.25"/>
    <n v="0.25"/>
    <n v="0.25"/>
    <m/>
    <m/>
    <m/>
    <m/>
    <m/>
    <m/>
    <m/>
    <m/>
    <m/>
    <m/>
    <m/>
    <m/>
    <m/>
    <m/>
    <m/>
    <n v="1"/>
    <n v="1"/>
  </r>
  <r>
    <n v="213"/>
    <x v="2"/>
    <s v="2017/1804"/>
    <s v="Estate House, 225-231 Upper Richmond Road"/>
    <m/>
    <n v="523620"/>
    <n v="175154"/>
    <x v="5"/>
    <m/>
    <m/>
    <n v="0"/>
    <n v="1"/>
    <n v="1"/>
    <n v="1"/>
    <n v="1"/>
    <x v="0"/>
    <s v="Conversion of storage area at first floor level into a 2-bedroom self contained flat."/>
    <s v="PF"/>
    <d v="2017-05-17T00:00:00"/>
    <d v="2017-07-13T00:00:00"/>
    <x v="0"/>
    <s v="Nil"/>
    <m/>
    <s v="BF"/>
    <s v="COU"/>
    <x v="0"/>
    <x v="1"/>
    <n v="2.8000000864267301E-2"/>
    <m/>
    <x v="0"/>
    <m/>
    <x v="0"/>
    <s v="M"/>
    <m/>
    <m/>
    <n v="0"/>
    <n v="0"/>
    <n v="0"/>
    <n v="0"/>
    <n v="0"/>
    <n v="0"/>
    <n v="1"/>
    <n v="0"/>
    <n v="0"/>
    <n v="0"/>
    <n v="0"/>
    <n v="0"/>
    <n v="0"/>
    <n v="1"/>
    <n v="0"/>
    <n v="0"/>
    <n v="0"/>
    <n v="0"/>
    <n v="0"/>
    <n v="0"/>
    <n v="0"/>
    <n v="0"/>
    <n v="0"/>
    <n v="0"/>
    <n v="0"/>
    <n v="0"/>
    <n v="0"/>
    <n v="0"/>
    <n v="0"/>
    <n v="0"/>
    <n v="0"/>
    <n v="0"/>
    <x v="2"/>
    <x v="0"/>
    <x v="0"/>
    <x v="0"/>
    <x v="0"/>
    <m/>
    <x v="0"/>
    <x v="0"/>
    <n v="15"/>
    <m/>
    <n v="0.33333333333333331"/>
    <n v="0.33333333333333331"/>
    <n v="0.33333333333333331"/>
    <m/>
    <m/>
    <m/>
    <m/>
    <m/>
    <m/>
    <m/>
    <m/>
    <m/>
    <m/>
    <m/>
    <m/>
    <m/>
    <m/>
    <m/>
    <m/>
    <m/>
    <n v="1"/>
    <n v="1"/>
  </r>
  <r>
    <n v="419"/>
    <x v="2"/>
    <s v="2017/4958"/>
    <s v="5 Beechcroft Road"/>
    <m/>
    <n v="527797"/>
    <n v="172208"/>
    <x v="1"/>
    <m/>
    <m/>
    <n v="0"/>
    <n v="4"/>
    <n v="4"/>
    <n v="4"/>
    <n v="4"/>
    <x v="0"/>
    <s v="Demolition of existing building and erection of a three-storey building to provide 1 x 1-bedroom, 2 x 2-bedroom and 1 x 3-bedroom flats with private amenity area and the use of the ground floor as a community Class D1."/>
    <s v="PF"/>
    <d v="2017-09-05T00:00:00"/>
    <d v="2017-12-18T00:00:00"/>
    <x v="0"/>
    <s v="Nil"/>
    <m/>
    <s v="BF"/>
    <s v="NB"/>
    <x v="0"/>
    <x v="5"/>
    <n v="2.3000000044703501E-2"/>
    <m/>
    <x v="0"/>
    <m/>
    <x v="0"/>
    <s v="M"/>
    <m/>
    <m/>
    <n v="0"/>
    <n v="0"/>
    <n v="0"/>
    <n v="0"/>
    <n v="0"/>
    <n v="1"/>
    <n v="2"/>
    <n v="1"/>
    <n v="0"/>
    <n v="0"/>
    <n v="0"/>
    <n v="0"/>
    <n v="1"/>
    <n v="2"/>
    <n v="1"/>
    <n v="0"/>
    <n v="0"/>
    <n v="0"/>
    <n v="0"/>
    <n v="0"/>
    <n v="0"/>
    <n v="0"/>
    <n v="0"/>
    <n v="0"/>
    <n v="0"/>
    <n v="0"/>
    <n v="0"/>
    <n v="0"/>
    <n v="0"/>
    <n v="0"/>
    <n v="0"/>
    <n v="0"/>
    <x v="0"/>
    <x v="0"/>
    <x v="0"/>
    <x v="0"/>
    <x v="0"/>
    <m/>
    <x v="0"/>
    <x v="0"/>
    <n v="6"/>
    <m/>
    <m/>
    <n v="1"/>
    <n v="1"/>
    <n v="1"/>
    <n v="1"/>
    <m/>
    <m/>
    <m/>
    <m/>
    <m/>
    <m/>
    <m/>
    <m/>
    <m/>
    <m/>
    <m/>
    <m/>
    <m/>
    <m/>
    <m/>
    <n v="4"/>
    <n v="4"/>
  </r>
  <r>
    <n v="455"/>
    <x v="2"/>
    <s v="2019/4718"/>
    <s v="215 Upper Tooting Road"/>
    <s v="CoU"/>
    <n v="527687"/>
    <n v="171721"/>
    <x v="1"/>
    <m/>
    <m/>
    <n v="0"/>
    <n v="3"/>
    <n v="3"/>
    <n v="4"/>
    <n v="4"/>
    <x v="0"/>
    <s v="Change of use of part ground floor and entire first floor from restaurant (Class A3) to residential (Class C3) and erection of an additional floor of accommodation in connection with the formation of 4 x 1bedroom flats. Alterations including installation of front and side elevation windows."/>
    <s v="PF"/>
    <d v="2019-12-12T00:00:00"/>
    <d v="2020-01-29T00:00:00"/>
    <x v="1"/>
    <s v="Nil"/>
    <m/>
    <s v="BF"/>
    <s v="MIX"/>
    <x v="0"/>
    <x v="1"/>
    <n v="7.0000002160668399E-3"/>
    <m/>
    <x v="0"/>
    <m/>
    <x v="0"/>
    <s v="M"/>
    <m/>
    <m/>
    <n v="0"/>
    <n v="0"/>
    <n v="0"/>
    <n v="0"/>
    <n v="0"/>
    <n v="3"/>
    <n v="0"/>
    <n v="0"/>
    <n v="0"/>
    <n v="0"/>
    <n v="0"/>
    <n v="0"/>
    <n v="3"/>
    <n v="0"/>
    <n v="0"/>
    <n v="0"/>
    <n v="0"/>
    <n v="0"/>
    <n v="0"/>
    <n v="0"/>
    <n v="0"/>
    <n v="0"/>
    <n v="0"/>
    <n v="0"/>
    <n v="0"/>
    <n v="0"/>
    <n v="0"/>
    <n v="0"/>
    <n v="0"/>
    <n v="0"/>
    <n v="0"/>
    <n v="0"/>
    <x v="0"/>
    <x v="0"/>
    <x v="0"/>
    <x v="0"/>
    <x v="0"/>
    <m/>
    <x v="0"/>
    <x v="0"/>
    <n v="15"/>
    <m/>
    <n v="1"/>
    <n v="1"/>
    <n v="1"/>
    <m/>
    <m/>
    <m/>
    <m/>
    <m/>
    <m/>
    <m/>
    <m/>
    <m/>
    <m/>
    <m/>
    <m/>
    <m/>
    <m/>
    <m/>
    <m/>
    <m/>
    <n v="3"/>
    <n v="3"/>
  </r>
  <r>
    <n v="455"/>
    <x v="2"/>
    <s v="2019/4718"/>
    <s v="215 Upper Tooting Road"/>
    <s v="extn"/>
    <n v="527687"/>
    <n v="171721"/>
    <x v="1"/>
    <m/>
    <m/>
    <n v="0"/>
    <n v="1"/>
    <n v="1"/>
    <n v="4"/>
    <n v="4"/>
    <x v="0"/>
    <s v="Change of use of part ground floor and entire first floor from restaurant (Class A3) to residential (Class C3) and erection of an additional floor of accommodation in connection with the formation of 4 x 1bedroom flats. Alterations including installation of front and side elevation windows."/>
    <s v="PF"/>
    <d v="2019-12-12T00:00:00"/>
    <d v="2020-01-29T00:00:00"/>
    <x v="1"/>
    <s v="Nil"/>
    <m/>
    <s v="BF"/>
    <s v="MIX"/>
    <x v="0"/>
    <x v="3"/>
    <n v="2.000000094994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464"/>
    <x v="2"/>
    <s v="2015/6813"/>
    <s v="41-59 Battersea Park Road (Booker and BMW Sites)"/>
    <s v="Block A"/>
    <n v="529321"/>
    <n v="177258"/>
    <x v="12"/>
    <m/>
    <m/>
    <n v="0"/>
    <n v="42"/>
    <n v="42"/>
    <n v="307"/>
    <n v="307"/>
    <x v="1"/>
    <s v="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
    <s v="PFLA"/>
    <d v="2015-11-30T00:00:00"/>
    <d v="2019-03-28T00:00:00"/>
    <x v="0"/>
    <s v="Nil"/>
    <m/>
    <s v="BF"/>
    <s v="NB"/>
    <x v="1"/>
    <x v="7"/>
    <n v="3.9000000804662698E-2"/>
    <m/>
    <x v="0"/>
    <m/>
    <x v="0"/>
    <s v="M"/>
    <s v="2.1.13"/>
    <n v="17320035"/>
    <n v="0"/>
    <n v="38"/>
    <n v="0"/>
    <n v="4"/>
    <n v="0"/>
    <n v="10"/>
    <n v="21"/>
    <n v="10"/>
    <n v="1"/>
    <n v="0"/>
    <n v="0"/>
    <n v="0"/>
    <n v="10"/>
    <n v="21"/>
    <n v="10"/>
    <n v="1"/>
    <n v="0"/>
    <n v="0"/>
    <n v="0"/>
    <n v="0"/>
    <n v="0"/>
    <n v="0"/>
    <n v="0"/>
    <n v="0"/>
    <n v="0"/>
    <n v="0"/>
    <n v="0"/>
    <n v="0"/>
    <n v="0"/>
    <n v="0"/>
    <n v="0"/>
    <n v="0"/>
    <x v="0"/>
    <x v="1"/>
    <x v="0"/>
    <x v="0"/>
    <x v="0"/>
    <m/>
    <x v="0"/>
    <x v="0"/>
    <n v="21"/>
    <m/>
    <m/>
    <m/>
    <n v="42"/>
    <m/>
    <m/>
    <m/>
    <m/>
    <m/>
    <m/>
    <m/>
    <m/>
    <m/>
    <m/>
    <m/>
    <m/>
    <m/>
    <m/>
    <m/>
    <m/>
    <m/>
    <n v="42"/>
    <n v="42"/>
  </r>
  <r>
    <n v="464"/>
    <x v="2"/>
    <s v="2015/6813"/>
    <s v="41-59 Battersea Park Road (Booker and BMW Sites)"/>
    <s v="Block B"/>
    <n v="529321"/>
    <n v="177258"/>
    <x v="12"/>
    <m/>
    <m/>
    <n v="0"/>
    <n v="111"/>
    <n v="111"/>
    <n v="307"/>
    <n v="307"/>
    <x v="1"/>
    <s v="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
    <s v="PFLA"/>
    <d v="2015-11-30T00:00:00"/>
    <d v="2019-03-28T00:00:00"/>
    <x v="0"/>
    <s v="Nil"/>
    <m/>
    <s v="BF"/>
    <s v="NB"/>
    <x v="1"/>
    <x v="7"/>
    <n v="9.00000035762787E-2"/>
    <m/>
    <x v="0"/>
    <m/>
    <x v="0"/>
    <s v="M"/>
    <s v="2.1.13"/>
    <n v="17320035"/>
    <n v="0"/>
    <n v="100"/>
    <n v="0"/>
    <n v="11"/>
    <n v="1"/>
    <n v="40"/>
    <n v="60"/>
    <n v="10"/>
    <n v="0"/>
    <n v="0"/>
    <n v="0"/>
    <n v="1"/>
    <n v="40"/>
    <n v="60"/>
    <n v="10"/>
    <n v="0"/>
    <n v="0"/>
    <n v="0"/>
    <n v="0"/>
    <n v="0"/>
    <n v="0"/>
    <n v="0"/>
    <n v="0"/>
    <n v="0"/>
    <n v="0"/>
    <n v="0"/>
    <n v="0"/>
    <n v="0"/>
    <n v="0"/>
    <n v="0"/>
    <n v="0"/>
    <n v="0"/>
    <x v="0"/>
    <x v="1"/>
    <x v="0"/>
    <x v="0"/>
    <x v="0"/>
    <m/>
    <x v="0"/>
    <x v="0"/>
    <n v="21"/>
    <m/>
    <m/>
    <m/>
    <n v="111"/>
    <m/>
    <m/>
    <m/>
    <m/>
    <m/>
    <m/>
    <m/>
    <m/>
    <m/>
    <m/>
    <m/>
    <m/>
    <m/>
    <m/>
    <m/>
    <m/>
    <m/>
    <n v="111"/>
    <n v="111"/>
  </r>
  <r>
    <n v="464"/>
    <x v="2"/>
    <s v="2015/6813"/>
    <s v="41-59 Battersea Park Road (Booker and BMW Sites)"/>
    <s v="Block C"/>
    <n v="529321"/>
    <n v="177258"/>
    <x v="12"/>
    <m/>
    <m/>
    <n v="0"/>
    <n v="52"/>
    <n v="52"/>
    <n v="307"/>
    <n v="307"/>
    <x v="1"/>
    <s v="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
    <s v="PFLA"/>
    <d v="2015-11-30T00:00:00"/>
    <d v="2019-03-28T00:00:00"/>
    <x v="0"/>
    <s v="Nil"/>
    <m/>
    <s v="BF"/>
    <s v="NB"/>
    <x v="1"/>
    <x v="7"/>
    <n v="4.39999997615814E-2"/>
    <m/>
    <x v="0"/>
    <m/>
    <x v="0"/>
    <s v="M"/>
    <s v="2.1.13"/>
    <n v="17320035"/>
    <n v="0"/>
    <n v="47"/>
    <n v="0"/>
    <n v="5"/>
    <n v="0"/>
    <n v="9"/>
    <n v="42"/>
    <n v="1"/>
    <n v="0"/>
    <n v="0"/>
    <n v="0"/>
    <n v="0"/>
    <n v="9"/>
    <n v="42"/>
    <n v="1"/>
    <n v="0"/>
    <n v="0"/>
    <n v="0"/>
    <n v="0"/>
    <n v="0"/>
    <n v="0"/>
    <n v="0"/>
    <n v="0"/>
    <n v="0"/>
    <n v="0"/>
    <n v="0"/>
    <n v="0"/>
    <n v="0"/>
    <n v="0"/>
    <n v="0"/>
    <n v="0"/>
    <n v="0"/>
    <x v="0"/>
    <x v="1"/>
    <x v="0"/>
    <x v="0"/>
    <x v="0"/>
    <m/>
    <x v="0"/>
    <x v="0"/>
    <n v="21"/>
    <m/>
    <m/>
    <m/>
    <n v="52"/>
    <m/>
    <m/>
    <m/>
    <m/>
    <m/>
    <m/>
    <m/>
    <m/>
    <m/>
    <m/>
    <m/>
    <m/>
    <m/>
    <m/>
    <m/>
    <m/>
    <m/>
    <n v="52"/>
    <n v="52"/>
  </r>
  <r>
    <n v="464"/>
    <x v="2"/>
    <s v="2015/6813"/>
    <s v="41-59 Battersea Park Road (Booker and BMW Sites)"/>
    <s v="Block C"/>
    <n v="529321"/>
    <n v="177258"/>
    <x v="12"/>
    <m/>
    <m/>
    <n v="0"/>
    <n v="10"/>
    <n v="10"/>
    <n v="307"/>
    <n v="307"/>
    <x v="1"/>
    <s v="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
    <s v="PFLA"/>
    <d v="2015-11-30T00:00:00"/>
    <d v="2019-03-28T00:00:00"/>
    <x v="0"/>
    <s v="Nil"/>
    <m/>
    <s v="BF"/>
    <s v="NB"/>
    <x v="1"/>
    <x v="7"/>
    <n v="4.9999998882412902E-3"/>
    <m/>
    <x v="0"/>
    <m/>
    <x v="1"/>
    <s v="ISO"/>
    <s v="2.1.13"/>
    <n v="17320035"/>
    <n v="0"/>
    <n v="9"/>
    <n v="0"/>
    <n v="1"/>
    <n v="0"/>
    <n v="10"/>
    <n v="0"/>
    <n v="0"/>
    <n v="0"/>
    <n v="0"/>
    <n v="0"/>
    <n v="0"/>
    <n v="10"/>
    <n v="0"/>
    <n v="0"/>
    <n v="0"/>
    <n v="0"/>
    <n v="0"/>
    <n v="0"/>
    <n v="0"/>
    <n v="0"/>
    <n v="0"/>
    <n v="0"/>
    <n v="0"/>
    <n v="0"/>
    <n v="0"/>
    <n v="0"/>
    <n v="0"/>
    <n v="0"/>
    <n v="0"/>
    <n v="0"/>
    <n v="0"/>
    <x v="0"/>
    <x v="1"/>
    <x v="0"/>
    <x v="0"/>
    <x v="0"/>
    <m/>
    <x v="0"/>
    <x v="0"/>
    <n v="21"/>
    <m/>
    <m/>
    <m/>
    <n v="10"/>
    <m/>
    <m/>
    <m/>
    <m/>
    <m/>
    <m/>
    <m/>
    <m/>
    <m/>
    <m/>
    <m/>
    <m/>
    <m/>
    <m/>
    <m/>
    <m/>
    <m/>
    <n v="10"/>
    <n v="10"/>
  </r>
  <r>
    <n v="464"/>
    <x v="2"/>
    <s v="2015/6813"/>
    <s v="41-59 Battersea Park Road (Booker and BMW Sites)"/>
    <s v="Block D"/>
    <n v="529321"/>
    <n v="177258"/>
    <x v="12"/>
    <m/>
    <m/>
    <n v="0"/>
    <n v="20"/>
    <n v="20"/>
    <n v="307"/>
    <n v="307"/>
    <x v="1"/>
    <s v="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
    <s v="PFLA"/>
    <d v="2015-11-30T00:00:00"/>
    <d v="2019-03-28T00:00:00"/>
    <x v="0"/>
    <s v="Nil"/>
    <m/>
    <s v="BF"/>
    <s v="NB"/>
    <x v="1"/>
    <x v="7"/>
    <n v="1.7999999225139601E-2"/>
    <m/>
    <x v="0"/>
    <m/>
    <x v="2"/>
    <s v="AA"/>
    <s v="2.1.13"/>
    <n v="17320035"/>
    <n v="0"/>
    <n v="18"/>
    <n v="0"/>
    <n v="2"/>
    <n v="1"/>
    <n v="9"/>
    <n v="6"/>
    <n v="4"/>
    <n v="0"/>
    <n v="0"/>
    <n v="0"/>
    <n v="1"/>
    <n v="9"/>
    <n v="6"/>
    <n v="4"/>
    <n v="0"/>
    <n v="0"/>
    <n v="0"/>
    <n v="0"/>
    <n v="0"/>
    <n v="0"/>
    <n v="0"/>
    <n v="0"/>
    <n v="0"/>
    <n v="0"/>
    <n v="0"/>
    <n v="0"/>
    <n v="0"/>
    <n v="0"/>
    <n v="0"/>
    <n v="0"/>
    <n v="0"/>
    <x v="0"/>
    <x v="1"/>
    <x v="0"/>
    <x v="0"/>
    <x v="0"/>
    <m/>
    <x v="0"/>
    <x v="0"/>
    <n v="21"/>
    <m/>
    <m/>
    <m/>
    <n v="20"/>
    <m/>
    <m/>
    <m/>
    <m/>
    <m/>
    <m/>
    <m/>
    <m/>
    <m/>
    <m/>
    <m/>
    <m/>
    <m/>
    <m/>
    <m/>
    <m/>
    <m/>
    <n v="20"/>
    <n v="20"/>
  </r>
  <r>
    <n v="464"/>
    <x v="2"/>
    <s v="2015/6813"/>
    <s v="41-59 Battersea Park Road (Booker and BMW Sites)"/>
    <s v="Block E"/>
    <n v="529321"/>
    <n v="177258"/>
    <x v="12"/>
    <m/>
    <m/>
    <n v="0"/>
    <n v="47"/>
    <n v="47"/>
    <n v="307"/>
    <n v="307"/>
    <x v="1"/>
    <s v="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
    <s v="PFLA"/>
    <d v="2015-11-30T00:00:00"/>
    <d v="2019-03-28T00:00:00"/>
    <x v="0"/>
    <s v="Nil"/>
    <m/>
    <s v="BF"/>
    <s v="NB"/>
    <x v="1"/>
    <x v="7"/>
    <n v="3.9000000804662698E-2"/>
    <m/>
    <x v="0"/>
    <m/>
    <x v="1"/>
    <s v="ISO"/>
    <s v="2.1.13"/>
    <n v="17320035"/>
    <n v="0"/>
    <n v="42"/>
    <n v="0"/>
    <n v="5"/>
    <n v="0"/>
    <n v="12"/>
    <n v="35"/>
    <n v="0"/>
    <n v="0"/>
    <n v="0"/>
    <n v="0"/>
    <n v="0"/>
    <n v="12"/>
    <n v="35"/>
    <n v="0"/>
    <n v="0"/>
    <n v="0"/>
    <n v="0"/>
    <n v="0"/>
    <n v="0"/>
    <n v="0"/>
    <n v="0"/>
    <n v="0"/>
    <n v="0"/>
    <n v="0"/>
    <n v="0"/>
    <n v="0"/>
    <n v="0"/>
    <n v="0"/>
    <n v="0"/>
    <n v="0"/>
    <n v="0"/>
    <x v="0"/>
    <x v="1"/>
    <x v="0"/>
    <x v="0"/>
    <x v="0"/>
    <m/>
    <x v="0"/>
    <x v="0"/>
    <n v="21"/>
    <m/>
    <m/>
    <m/>
    <n v="47"/>
    <m/>
    <m/>
    <m/>
    <m/>
    <m/>
    <m/>
    <m/>
    <m/>
    <m/>
    <m/>
    <m/>
    <m/>
    <m/>
    <m/>
    <m/>
    <m/>
    <m/>
    <n v="47"/>
    <n v="47"/>
  </r>
  <r>
    <n v="464"/>
    <x v="2"/>
    <s v="2015/6813"/>
    <s v="41-59 Battersea Park Road (Booker and BMW Sites)"/>
    <s v="Block E"/>
    <n v="529321"/>
    <n v="177258"/>
    <x v="12"/>
    <m/>
    <m/>
    <n v="0"/>
    <n v="25"/>
    <n v="25"/>
    <n v="307"/>
    <n v="307"/>
    <x v="1"/>
    <s v="Demolition of all existing buildings and construction of new buildings of between 5 storeys and 18 storeys, containing 307 residential units, business (Class B1) floorspace and flexible retail/restaurant and cafe/business floorspace (Class A1-A5 and B1), CHP basement, vehicle and cycle parking, plant and associated works, landscaping  and a new access onto Sleaford street."/>
    <s v="PFLA"/>
    <d v="2015-11-30T00:00:00"/>
    <d v="2019-03-28T00:00:00"/>
    <x v="0"/>
    <s v="Nil"/>
    <m/>
    <s v="BF"/>
    <s v="NB"/>
    <x v="1"/>
    <x v="7"/>
    <n v="2.0999999716877899E-2"/>
    <m/>
    <x v="0"/>
    <m/>
    <x v="0"/>
    <s v="M"/>
    <s v="2.1.13"/>
    <n v="17320035"/>
    <n v="0"/>
    <n v="22"/>
    <n v="0"/>
    <n v="3"/>
    <n v="0"/>
    <n v="0"/>
    <n v="25"/>
    <n v="0"/>
    <n v="0"/>
    <n v="0"/>
    <n v="0"/>
    <n v="0"/>
    <n v="0"/>
    <n v="25"/>
    <n v="0"/>
    <n v="0"/>
    <n v="0"/>
    <n v="0"/>
    <n v="0"/>
    <n v="0"/>
    <n v="0"/>
    <n v="0"/>
    <n v="0"/>
    <n v="0"/>
    <n v="0"/>
    <n v="0"/>
    <n v="0"/>
    <n v="0"/>
    <n v="0"/>
    <n v="0"/>
    <n v="0"/>
    <n v="0"/>
    <x v="0"/>
    <x v="1"/>
    <x v="0"/>
    <x v="0"/>
    <x v="0"/>
    <m/>
    <x v="0"/>
    <x v="0"/>
    <n v="21"/>
    <m/>
    <m/>
    <m/>
    <n v="25"/>
    <m/>
    <m/>
    <m/>
    <m/>
    <m/>
    <m/>
    <m/>
    <m/>
    <m/>
    <m/>
    <m/>
    <m/>
    <m/>
    <m/>
    <m/>
    <m/>
    <m/>
    <n v="25"/>
    <n v="25"/>
  </r>
  <r>
    <n v="470"/>
    <x v="2"/>
    <s v="2017/6089"/>
    <s v="Rear of 76, Tooting High Street"/>
    <m/>
    <n v="527370"/>
    <n v="171395"/>
    <x v="1"/>
    <m/>
    <m/>
    <n v="0"/>
    <n v="1"/>
    <n v="1"/>
    <n v="1"/>
    <n v="1"/>
    <x v="0"/>
    <s v="Demolition of existing garages and erection of a 2-storey, 3-bedroom dwellinghouse with basement and habitable roofspace including a rear mansard roof."/>
    <s v="PF"/>
    <d v="2017-11-02T00:00:00"/>
    <d v="2018-03-08T00:00:00"/>
    <x v="0"/>
    <s v="Nil"/>
    <m/>
    <s v="BF"/>
    <s v="NB"/>
    <x v="0"/>
    <x v="5"/>
    <n v="4.9999998882412902E-3"/>
    <m/>
    <x v="0"/>
    <m/>
    <x v="0"/>
    <s v="M"/>
    <m/>
    <m/>
    <n v="0"/>
    <n v="0"/>
    <n v="0"/>
    <n v="0"/>
    <n v="0"/>
    <n v="0"/>
    <n v="0"/>
    <n v="1"/>
    <n v="0"/>
    <n v="0"/>
    <n v="0"/>
    <n v="0"/>
    <n v="0"/>
    <n v="0"/>
    <n v="0"/>
    <n v="0"/>
    <n v="0"/>
    <n v="0"/>
    <n v="0"/>
    <n v="0"/>
    <n v="0"/>
    <n v="1"/>
    <n v="0"/>
    <n v="0"/>
    <n v="0"/>
    <n v="0"/>
    <n v="0"/>
    <n v="0"/>
    <n v="0"/>
    <n v="0"/>
    <n v="0"/>
    <n v="0"/>
    <x v="4"/>
    <x v="0"/>
    <x v="0"/>
    <x v="0"/>
    <x v="0"/>
    <m/>
    <x v="0"/>
    <x v="0"/>
    <n v="6"/>
    <m/>
    <m/>
    <n v="0.25"/>
    <n v="0.25"/>
    <n v="0.25"/>
    <n v="0.25"/>
    <m/>
    <m/>
    <m/>
    <m/>
    <m/>
    <m/>
    <m/>
    <m/>
    <m/>
    <m/>
    <m/>
    <m/>
    <m/>
    <m/>
    <m/>
    <n v="1"/>
    <n v="1"/>
  </r>
  <r>
    <n v="501"/>
    <x v="2"/>
    <s v="2017/3124"/>
    <s v="252 Upper Richmond Road"/>
    <m/>
    <n v="523779"/>
    <n v="175125"/>
    <x v="0"/>
    <m/>
    <m/>
    <n v="0"/>
    <n v="1"/>
    <n v="1"/>
    <n v="1"/>
    <n v="1"/>
    <x v="0"/>
    <s v="Alterations to the rear elevation to allow change of part of the ground and basement levels from a shop (Class A1) to a 1 x 2-bedroom flat (Class C3) with rear terrace and external steps."/>
    <s v="PF"/>
    <d v="2017-06-15T00:00:00"/>
    <d v="2017-08-24T00:00:00"/>
    <x v="0"/>
    <s v="Nil"/>
    <m/>
    <s v="BF"/>
    <s v="COU"/>
    <x v="0"/>
    <x v="4"/>
    <n v="8.9999996125698107E-3"/>
    <m/>
    <x v="0"/>
    <m/>
    <x v="0"/>
    <s v="M"/>
    <m/>
    <m/>
    <n v="0"/>
    <n v="0"/>
    <n v="0"/>
    <n v="0"/>
    <n v="0"/>
    <n v="0"/>
    <n v="1"/>
    <n v="0"/>
    <n v="0"/>
    <n v="0"/>
    <n v="0"/>
    <n v="0"/>
    <n v="0"/>
    <n v="1"/>
    <n v="0"/>
    <n v="0"/>
    <n v="0"/>
    <n v="0"/>
    <n v="0"/>
    <n v="0"/>
    <n v="0"/>
    <n v="0"/>
    <n v="0"/>
    <n v="0"/>
    <n v="0"/>
    <n v="0"/>
    <n v="0"/>
    <n v="0"/>
    <n v="0"/>
    <n v="0"/>
    <n v="0"/>
    <n v="0"/>
    <x v="2"/>
    <x v="0"/>
    <x v="0"/>
    <x v="0"/>
    <x v="0"/>
    <m/>
    <x v="0"/>
    <x v="0"/>
    <n v="15"/>
    <m/>
    <n v="0.33333333333333331"/>
    <n v="0.33333333333333331"/>
    <n v="0.33333333333333331"/>
    <m/>
    <m/>
    <m/>
    <m/>
    <m/>
    <m/>
    <m/>
    <m/>
    <m/>
    <m/>
    <m/>
    <m/>
    <m/>
    <m/>
    <m/>
    <m/>
    <m/>
    <n v="1"/>
    <n v="1"/>
  </r>
  <r>
    <n v="536"/>
    <x v="2"/>
    <s v="2016/7216"/>
    <s v="Argylle House, 1a All Saints Passage"/>
    <s v="1 x 3 unit @ g/f rear of commercial"/>
    <n v="525441"/>
    <n v="174750"/>
    <x v="2"/>
    <m/>
    <m/>
    <n v="0"/>
    <n v="1"/>
    <n v="1"/>
    <n v="17"/>
    <n v="13"/>
    <x v="1"/>
    <s v="Demolition of the existing building and construction of a part 4 part 5 storey building providing 17 residential units and 106sqm flexible B1 commercial floorspace with communal external amenity space at fourth floor level (Revised Description)"/>
    <s v="PFLA"/>
    <d v="2017-01-26T00:00:00"/>
    <d v="2020-01-30T00:00:00"/>
    <x v="1"/>
    <s v="Nil"/>
    <m/>
    <s v="BF"/>
    <s v="NB"/>
    <x v="1"/>
    <x v="7"/>
    <n v="3.0000000260770299E-3"/>
    <m/>
    <x v="0"/>
    <m/>
    <x v="0"/>
    <s v="M"/>
    <m/>
    <m/>
    <n v="2"/>
    <n v="0"/>
    <n v="0"/>
    <n v="0"/>
    <n v="0"/>
    <n v="0"/>
    <n v="0"/>
    <n v="1"/>
    <n v="0"/>
    <n v="0"/>
    <n v="0"/>
    <n v="0"/>
    <n v="0"/>
    <n v="0"/>
    <n v="1"/>
    <n v="0"/>
    <n v="0"/>
    <n v="0"/>
    <n v="0"/>
    <n v="0"/>
    <n v="0"/>
    <n v="0"/>
    <n v="0"/>
    <n v="0"/>
    <n v="0"/>
    <n v="0"/>
    <n v="0"/>
    <n v="0"/>
    <n v="0"/>
    <n v="0"/>
    <n v="0"/>
    <n v="0"/>
    <x v="3"/>
    <x v="0"/>
    <x v="1"/>
    <x v="0"/>
    <x v="0"/>
    <m/>
    <x v="0"/>
    <x v="0"/>
    <n v="7"/>
    <m/>
    <m/>
    <m/>
    <n v="1"/>
    <m/>
    <m/>
    <m/>
    <m/>
    <m/>
    <m/>
    <m/>
    <m/>
    <m/>
    <m/>
    <m/>
    <m/>
    <m/>
    <m/>
    <m/>
    <m/>
    <m/>
    <n v="1"/>
    <n v="1"/>
  </r>
  <r>
    <n v="536"/>
    <x v="2"/>
    <s v="2016/7216"/>
    <s v="Argylle House, 1a All Saints Passage"/>
    <m/>
    <n v="525441"/>
    <n v="174750"/>
    <x v="2"/>
    <m/>
    <m/>
    <n v="4"/>
    <n v="16"/>
    <n v="12"/>
    <n v="17"/>
    <n v="13"/>
    <x v="1"/>
    <s v="Demolition of the existing building and construction of a part 4 part 5 storey building providing 17 residential units and 106sqm flexible B1 commercial floorspace with communal external amenity space at fourth floor level (Revised Description)"/>
    <s v="PFLA"/>
    <d v="2017-01-26T00:00:00"/>
    <d v="2020-01-30T00:00:00"/>
    <x v="1"/>
    <s v="Nil"/>
    <m/>
    <s v="BF"/>
    <s v="NB"/>
    <x v="1"/>
    <x v="7"/>
    <n v="4.39999997615814E-2"/>
    <m/>
    <x v="0"/>
    <m/>
    <x v="0"/>
    <s v="M"/>
    <m/>
    <m/>
    <n v="19"/>
    <n v="0"/>
    <n v="1"/>
    <n v="0"/>
    <n v="2"/>
    <n v="2"/>
    <n v="7"/>
    <n v="1"/>
    <n v="0"/>
    <n v="0"/>
    <n v="0"/>
    <n v="2"/>
    <n v="2"/>
    <n v="7"/>
    <n v="1"/>
    <n v="0"/>
    <n v="0"/>
    <n v="0"/>
    <n v="0"/>
    <n v="0"/>
    <n v="0"/>
    <n v="0"/>
    <n v="0"/>
    <n v="0"/>
    <n v="0"/>
    <n v="0"/>
    <n v="0"/>
    <n v="0"/>
    <n v="0"/>
    <n v="0"/>
    <n v="0"/>
    <n v="0"/>
    <x v="3"/>
    <x v="0"/>
    <x v="1"/>
    <x v="0"/>
    <x v="0"/>
    <m/>
    <x v="0"/>
    <x v="0"/>
    <n v="7"/>
    <m/>
    <m/>
    <m/>
    <n v="12"/>
    <m/>
    <m/>
    <m/>
    <m/>
    <m/>
    <m/>
    <m/>
    <m/>
    <m/>
    <m/>
    <m/>
    <m/>
    <m/>
    <m/>
    <m/>
    <m/>
    <m/>
    <n v="12"/>
    <n v="12"/>
  </r>
  <r>
    <n v="578"/>
    <x v="2"/>
    <s v="2019/1311"/>
    <s v="253 Lavender Hill"/>
    <m/>
    <n v="527681"/>
    <n v="175497"/>
    <x v="9"/>
    <m/>
    <m/>
    <n v="0"/>
    <n v="1"/>
    <n v="1"/>
    <n v="1"/>
    <n v="1"/>
    <x v="0"/>
    <s v="Determination as to whether prior approval is required for change of use from financial and professional services (Class A2) to 1 x 2-bedroom flat (Class C3) with associated external alterations to front and rear elevations."/>
    <s v="PANR"/>
    <d v="2019-04-10T00:00:00"/>
    <d v="2019-05-31T00:00:00"/>
    <x v="1"/>
    <s v="Nil"/>
    <m/>
    <s v="BF"/>
    <s v="COU"/>
    <x v="0"/>
    <x v="6"/>
    <n v="1.09999999403954E-2"/>
    <m/>
    <x v="0"/>
    <m/>
    <x v="0"/>
    <s v="M"/>
    <m/>
    <m/>
    <n v="0"/>
    <n v="0"/>
    <n v="0"/>
    <n v="0"/>
    <n v="0"/>
    <n v="0"/>
    <n v="1"/>
    <n v="0"/>
    <n v="0"/>
    <n v="0"/>
    <n v="0"/>
    <n v="0"/>
    <n v="0"/>
    <n v="1"/>
    <n v="0"/>
    <n v="0"/>
    <n v="0"/>
    <n v="0"/>
    <n v="0"/>
    <n v="0"/>
    <n v="0"/>
    <n v="0"/>
    <n v="0"/>
    <n v="0"/>
    <n v="0"/>
    <n v="0"/>
    <n v="0"/>
    <n v="0"/>
    <n v="0"/>
    <n v="0"/>
    <n v="0"/>
    <n v="0"/>
    <x v="1"/>
    <x v="0"/>
    <x v="0"/>
    <x v="0"/>
    <x v="0"/>
    <m/>
    <x v="0"/>
    <x v="0"/>
    <n v="15"/>
    <m/>
    <n v="0.33333333333333331"/>
    <n v="0.33333333333333331"/>
    <n v="0.33333333333333331"/>
    <m/>
    <m/>
    <m/>
    <m/>
    <m/>
    <m/>
    <m/>
    <m/>
    <m/>
    <m/>
    <m/>
    <m/>
    <m/>
    <m/>
    <m/>
    <m/>
    <m/>
    <n v="1"/>
    <n v="1"/>
  </r>
  <r>
    <n v="615"/>
    <x v="2"/>
    <s v="2017/2547"/>
    <s v="Marius Mansions, Marius Road"/>
    <m/>
    <n v="528241"/>
    <n v="172875"/>
    <x v="3"/>
    <m/>
    <m/>
    <n v="0"/>
    <n v="1"/>
    <n v="1"/>
    <n v="1"/>
    <n v="1"/>
    <x v="0"/>
    <s v="Erection of three-storey side extension to create a 1 x 2 bedroom flat with roof level balcony."/>
    <s v="PF"/>
    <d v="2017-04-26T00:00:00"/>
    <d v="2017-09-25T00:00:00"/>
    <x v="0"/>
    <s v="Nil"/>
    <m/>
    <s v="BF"/>
    <s v="EXT"/>
    <x v="0"/>
    <x v="3"/>
    <n v="7.000000216066839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81"/>
    <x v="2"/>
    <s v="2019/4244"/>
    <s v="103 East Hill"/>
    <m/>
    <n v="526030"/>
    <n v="174685"/>
    <x v="2"/>
    <m/>
    <m/>
    <n v="0"/>
    <n v="1"/>
    <n v="1"/>
    <n v="1"/>
    <n v="1"/>
    <x v="0"/>
    <s v="Alterations including change of use from restaurant (Class A3) to residential (Class C3) including alterations to the shopfront and the rear extension (Amended Description)."/>
    <s v="PF"/>
    <d v="2019-11-14T00:00:00"/>
    <d v="2020-02-05T00:00:00"/>
    <x v="1"/>
    <s v="Nil"/>
    <m/>
    <s v="BF"/>
    <s v="COU"/>
    <x v="0"/>
    <x v="1"/>
    <n v="6.0000000521540598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863"/>
    <x v="2"/>
    <s v="2019/0455"/>
    <s v="98 Felsham Road"/>
    <m/>
    <n v="523757"/>
    <n v="175633"/>
    <x v="0"/>
    <m/>
    <m/>
    <n v="0"/>
    <n v="1"/>
    <n v="1"/>
    <n v="1"/>
    <n v="1"/>
    <x v="0"/>
    <s v="Alterations including front and rear lightwells and to front elevation in connection with change of use from restaurant (Class A3) to residential dwelling (Class C3) to provide 1 x 3 bedroom flat (Amended description)."/>
    <s v="PF"/>
    <d v="2019-02-01T00:00:00"/>
    <d v="2019-04-09T00:00:00"/>
    <x v="1"/>
    <s v="Nil"/>
    <m/>
    <s v="BF"/>
    <s v="MIX"/>
    <x v="0"/>
    <x v="1"/>
    <n v="4.9999998882412902E-3"/>
    <m/>
    <x v="0"/>
    <m/>
    <x v="0"/>
    <s v="M"/>
    <m/>
    <m/>
    <n v="0"/>
    <n v="0"/>
    <n v="0"/>
    <n v="0"/>
    <n v="0"/>
    <n v="0"/>
    <n v="0"/>
    <n v="1"/>
    <n v="0"/>
    <n v="0"/>
    <n v="0"/>
    <n v="0"/>
    <n v="0"/>
    <n v="0"/>
    <n v="1"/>
    <n v="0"/>
    <n v="0"/>
    <n v="0"/>
    <n v="0"/>
    <n v="0"/>
    <n v="0"/>
    <n v="0"/>
    <n v="0"/>
    <n v="0"/>
    <n v="0"/>
    <n v="0"/>
    <n v="0"/>
    <n v="0"/>
    <n v="0"/>
    <n v="0"/>
    <n v="0"/>
    <n v="0"/>
    <x v="0"/>
    <x v="0"/>
    <x v="0"/>
    <x v="0"/>
    <x v="0"/>
    <m/>
    <x v="0"/>
    <x v="0"/>
    <n v="15"/>
    <m/>
    <n v="0.33333333333333331"/>
    <n v="0.33333333333333331"/>
    <n v="0.33333333333333331"/>
    <m/>
    <m/>
    <m/>
    <m/>
    <m/>
    <m/>
    <m/>
    <m/>
    <m/>
    <m/>
    <m/>
    <m/>
    <m/>
    <m/>
    <m/>
    <m/>
    <m/>
    <n v="1"/>
    <n v="1"/>
  </r>
  <r>
    <n v="911"/>
    <x v="2"/>
    <s v="2018/1182"/>
    <s v="631 Garratt Lane"/>
    <s v="conversion"/>
    <n v="526146"/>
    <n v="172566"/>
    <x v="8"/>
    <m/>
    <m/>
    <n v="0"/>
    <n v="1"/>
    <n v="1"/>
    <n v="2"/>
    <n v="1"/>
    <x v="0"/>
    <s v="Alterations to include the erection of a two-storey rear and single-storey side extension as part of the conversion into 1 x 2-bedroom and 1 x 1-bedroom units, including the erection of a first floor side terrace enclosed by a 1.7 metre high glass balustrade."/>
    <s v="PF"/>
    <d v="2018-03-09T00:00:00"/>
    <d v="2018-07-11T00:00:00"/>
    <x v="0"/>
    <s v="Nil"/>
    <m/>
    <s v="BF"/>
    <s v="MIX"/>
    <x v="0"/>
    <x v="5"/>
    <n v="6.0000000521540598E-3"/>
    <m/>
    <x v="0"/>
    <m/>
    <x v="0"/>
    <s v="M"/>
    <m/>
    <m/>
    <n v="0"/>
    <n v="1"/>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911"/>
    <x v="2"/>
    <s v="2018/1182"/>
    <s v="631 Garratt Lane"/>
    <s v="NB/Conv"/>
    <n v="526146"/>
    <n v="172566"/>
    <x v="8"/>
    <m/>
    <m/>
    <n v="1"/>
    <n v="1"/>
    <n v="0"/>
    <n v="2"/>
    <n v="1"/>
    <x v="0"/>
    <s v="Alterations to include the erection of a two-storey rear and single-storey side extension as part of the conversion into 1 x 2-bedroom and 1 x 1-bedroom units, including the erection of a first floor side terrace enclosed by a 1.7 metre high glass balustrade."/>
    <s v="PF"/>
    <d v="2018-03-09T00:00:00"/>
    <d v="2018-07-11T00:00:00"/>
    <x v="0"/>
    <s v="Nil"/>
    <m/>
    <s v="BF"/>
    <s v="MIX"/>
    <x v="0"/>
    <x v="5"/>
    <n v="8.0000003799796104E-3"/>
    <m/>
    <x v="0"/>
    <m/>
    <x v="0"/>
    <s v="M"/>
    <m/>
    <m/>
    <n v="0"/>
    <n v="0"/>
    <n v="0"/>
    <n v="1"/>
    <n v="0"/>
    <n v="-1"/>
    <n v="1"/>
    <n v="0"/>
    <n v="0"/>
    <n v="0"/>
    <n v="0"/>
    <n v="0"/>
    <n v="-1"/>
    <n v="1"/>
    <n v="0"/>
    <n v="0"/>
    <n v="0"/>
    <n v="0"/>
    <n v="0"/>
    <n v="0"/>
    <n v="0"/>
    <n v="0"/>
    <n v="0"/>
    <n v="0"/>
    <n v="0"/>
    <n v="0"/>
    <n v="0"/>
    <n v="0"/>
    <n v="0"/>
    <n v="0"/>
    <n v="0"/>
    <n v="0"/>
    <x v="0"/>
    <x v="0"/>
    <x v="0"/>
    <x v="0"/>
    <x v="0"/>
    <m/>
    <x v="0"/>
    <x v="0"/>
    <n v="15"/>
    <m/>
    <n v="0"/>
    <n v="0"/>
    <n v="0"/>
    <m/>
    <m/>
    <m/>
    <m/>
    <m/>
    <m/>
    <m/>
    <m/>
    <m/>
    <m/>
    <m/>
    <m/>
    <m/>
    <m/>
    <m/>
    <m/>
    <m/>
    <n v="0"/>
    <n v="0"/>
  </r>
  <r>
    <n v="967"/>
    <x v="2"/>
    <s v="2018/3390"/>
    <s v="29 Wimbledon Park Road"/>
    <s v="First Floor"/>
    <n v="525095"/>
    <n v="174084"/>
    <x v="14"/>
    <m/>
    <m/>
    <n v="0"/>
    <n v="2"/>
    <n v="2"/>
    <n v="8"/>
    <n v="4"/>
    <x v="0"/>
    <s v="Alterations including; replacement of garage door with windows on front elevation; altered lightwell and new fenestration at lower ground floor level on front elevation; new windows to ground and first floor levels of rear elevation; formation of first floor level rear balcony; erection of first floor level side east extension; removal of window on south-west facing side elevation; erection of refuse and cycle storage in front/side garden. All works in connection with conversion from four flats to 2 x 1-bedroom, 4 x 2-bedroom, 2 x 3 bedroom flats."/>
    <s v="PF"/>
    <d v="2018-07-10T00:00:00"/>
    <d v="2018-11-22T00:00:00"/>
    <x v="0"/>
    <s v="Nil"/>
    <m/>
    <s v="BF"/>
    <s v="CON"/>
    <x v="0"/>
    <x v="3"/>
    <n v="1.7999999225139601E-2"/>
    <m/>
    <x v="0"/>
    <m/>
    <x v="0"/>
    <s v="M"/>
    <m/>
    <m/>
    <n v="0"/>
    <n v="0"/>
    <n v="0"/>
    <n v="0"/>
    <n v="0"/>
    <n v="0"/>
    <n v="2"/>
    <n v="0"/>
    <n v="0"/>
    <n v="0"/>
    <n v="0"/>
    <n v="0"/>
    <n v="0"/>
    <n v="2"/>
    <n v="0"/>
    <n v="0"/>
    <n v="0"/>
    <n v="0"/>
    <n v="0"/>
    <n v="0"/>
    <n v="0"/>
    <n v="0"/>
    <n v="0"/>
    <n v="0"/>
    <n v="0"/>
    <n v="0"/>
    <n v="0"/>
    <n v="0"/>
    <n v="0"/>
    <n v="0"/>
    <n v="0"/>
    <n v="0"/>
    <x v="0"/>
    <x v="0"/>
    <x v="0"/>
    <x v="0"/>
    <x v="0"/>
    <m/>
    <x v="0"/>
    <x v="0"/>
    <n v="16"/>
    <m/>
    <m/>
    <n v="2"/>
    <m/>
    <m/>
    <m/>
    <m/>
    <m/>
    <m/>
    <m/>
    <m/>
    <m/>
    <m/>
    <m/>
    <m/>
    <m/>
    <m/>
    <m/>
    <m/>
    <m/>
    <m/>
    <n v="2"/>
    <n v="2"/>
  </r>
  <r>
    <n v="967"/>
    <x v="2"/>
    <s v="2018/3390"/>
    <s v="29 Wimbledon Park Road"/>
    <s v="Lower Ground"/>
    <n v="525095"/>
    <n v="174084"/>
    <x v="14"/>
    <m/>
    <m/>
    <n v="4"/>
    <n v="2"/>
    <n v="-2"/>
    <n v="8"/>
    <n v="4"/>
    <x v="0"/>
    <s v="Alterations including; replacement of garage door with windows on front elevation; altered lightwell and new fenestration at lower ground floor level on front elevation; new windows to ground and first floor levels of rear elevation; formation of first floor level rear balcony; erection of first floor level side east extension; removal of window on south-west facing side elevation; erection of refuse and cycle storage in front/side garden. All works in connection with conversion from four flats to 2 x 1-bedroom, 4 x 2-bedroom, 2 x 3 bedroom flats."/>
    <s v="PF"/>
    <d v="2018-07-10T00:00:00"/>
    <d v="2018-11-22T00:00:00"/>
    <x v="0"/>
    <s v="Nil"/>
    <m/>
    <s v="BF"/>
    <s v="CON"/>
    <x v="0"/>
    <x v="3"/>
    <n v="2.60000005364418E-2"/>
    <m/>
    <x v="0"/>
    <m/>
    <x v="0"/>
    <s v="M"/>
    <m/>
    <m/>
    <n v="0"/>
    <n v="0"/>
    <n v="0"/>
    <n v="0"/>
    <n v="0"/>
    <n v="-1"/>
    <n v="-1"/>
    <n v="0"/>
    <n v="0"/>
    <n v="0"/>
    <n v="0"/>
    <n v="0"/>
    <n v="-1"/>
    <n v="-1"/>
    <n v="0"/>
    <n v="0"/>
    <n v="0"/>
    <n v="0"/>
    <n v="0"/>
    <n v="0"/>
    <n v="0"/>
    <n v="0"/>
    <n v="0"/>
    <n v="0"/>
    <n v="0"/>
    <n v="0"/>
    <n v="0"/>
    <n v="0"/>
    <n v="0"/>
    <n v="0"/>
    <n v="0"/>
    <n v="0"/>
    <x v="0"/>
    <x v="0"/>
    <x v="0"/>
    <x v="0"/>
    <x v="0"/>
    <m/>
    <x v="0"/>
    <x v="0"/>
    <n v="16"/>
    <m/>
    <m/>
    <n v="-2"/>
    <m/>
    <m/>
    <m/>
    <m/>
    <m/>
    <m/>
    <m/>
    <m/>
    <m/>
    <m/>
    <m/>
    <m/>
    <m/>
    <m/>
    <m/>
    <m/>
    <m/>
    <m/>
    <n v="-2"/>
    <n v="-2"/>
  </r>
  <r>
    <n v="967"/>
    <x v="2"/>
    <s v="2018/3390"/>
    <s v="29 Wimbledon Park Road"/>
    <s v="Second Floor"/>
    <n v="525095"/>
    <n v="174084"/>
    <x v="14"/>
    <m/>
    <m/>
    <n v="0"/>
    <n v="2"/>
    <n v="2"/>
    <n v="8"/>
    <n v="4"/>
    <x v="0"/>
    <s v="Alterations including; replacement of garage door with windows on front elevation; altered lightwell and new fenestration at lower ground floor level on front elevation; new windows to ground and first floor levels of rear elevation; formation of first floor level rear balcony; erection of first floor level side east extension; removal of window on south-west facing side elevation; erection of refuse and cycle storage in front/side garden. All works in connection with conversion from four flats to 2 x 1-bedroom, 4 x 2-bedroom, 2 x 3 bedroom flats."/>
    <s v="PF"/>
    <d v="2018-07-10T00:00:00"/>
    <d v="2018-11-22T00:00:00"/>
    <x v="0"/>
    <s v="Nil"/>
    <m/>
    <s v="BF"/>
    <s v="CON"/>
    <x v="0"/>
    <x v="0"/>
    <n v="1.30000002682209E-2"/>
    <m/>
    <x v="0"/>
    <m/>
    <x v="0"/>
    <s v="M"/>
    <m/>
    <m/>
    <n v="0"/>
    <n v="0"/>
    <n v="0"/>
    <n v="0"/>
    <n v="0"/>
    <n v="1"/>
    <n v="1"/>
    <n v="0"/>
    <n v="0"/>
    <n v="0"/>
    <n v="0"/>
    <n v="0"/>
    <n v="1"/>
    <n v="1"/>
    <n v="0"/>
    <n v="0"/>
    <n v="0"/>
    <n v="0"/>
    <n v="0"/>
    <n v="0"/>
    <n v="0"/>
    <n v="0"/>
    <n v="0"/>
    <n v="0"/>
    <n v="0"/>
    <n v="0"/>
    <n v="0"/>
    <n v="0"/>
    <n v="0"/>
    <n v="0"/>
    <n v="0"/>
    <n v="0"/>
    <x v="0"/>
    <x v="0"/>
    <x v="0"/>
    <x v="0"/>
    <x v="0"/>
    <m/>
    <x v="0"/>
    <x v="0"/>
    <n v="16"/>
    <m/>
    <m/>
    <n v="2"/>
    <m/>
    <m/>
    <m/>
    <m/>
    <m/>
    <m/>
    <m/>
    <m/>
    <m/>
    <m/>
    <m/>
    <m/>
    <m/>
    <m/>
    <m/>
    <m/>
    <m/>
    <m/>
    <n v="2"/>
    <n v="2"/>
  </r>
  <r>
    <n v="967"/>
    <x v="2"/>
    <s v="2018/3390"/>
    <s v="29 Wimbledon Park Road"/>
    <s v="Upper Ground"/>
    <n v="525095"/>
    <n v="174084"/>
    <x v="14"/>
    <m/>
    <m/>
    <n v="0"/>
    <n v="2"/>
    <n v="2"/>
    <n v="8"/>
    <n v="4"/>
    <x v="0"/>
    <s v="Alterations including; replacement of garage door with windows on front elevation; altered lightwell and new fenestration at lower ground floor level on front elevation; new windows to ground and first floor levels of rear elevation; formation of first floor level rear balcony; erection of first floor level side east extension; removal of window on south-west facing side elevation; erection of refuse and cycle storage in front/side garden. All works in connection with conversion from four flats to 2 x 1-bedroom, 4 x 2-bedroom, 2 x 3 bedroom flats."/>
    <s v="PF"/>
    <d v="2018-07-10T00:00:00"/>
    <d v="2018-11-22T00:00:00"/>
    <x v="0"/>
    <s v="Nil"/>
    <m/>
    <s v="BF"/>
    <s v="CON"/>
    <x v="0"/>
    <x v="0"/>
    <n v="1.30000002682209E-2"/>
    <m/>
    <x v="0"/>
    <m/>
    <x v="0"/>
    <s v="M"/>
    <m/>
    <m/>
    <n v="0"/>
    <n v="0"/>
    <n v="0"/>
    <n v="0"/>
    <n v="0"/>
    <n v="1"/>
    <n v="1"/>
    <n v="0"/>
    <n v="0"/>
    <n v="0"/>
    <n v="0"/>
    <n v="0"/>
    <n v="1"/>
    <n v="1"/>
    <n v="0"/>
    <n v="0"/>
    <n v="0"/>
    <n v="0"/>
    <n v="0"/>
    <n v="0"/>
    <n v="0"/>
    <n v="0"/>
    <n v="0"/>
    <n v="0"/>
    <n v="0"/>
    <n v="0"/>
    <n v="0"/>
    <n v="0"/>
    <n v="0"/>
    <n v="0"/>
    <n v="0"/>
    <n v="0"/>
    <x v="0"/>
    <x v="0"/>
    <x v="0"/>
    <x v="0"/>
    <x v="0"/>
    <m/>
    <x v="0"/>
    <x v="0"/>
    <n v="16"/>
    <m/>
    <m/>
    <n v="2"/>
    <m/>
    <m/>
    <m/>
    <m/>
    <m/>
    <m/>
    <m/>
    <m/>
    <m/>
    <m/>
    <m/>
    <m/>
    <m/>
    <m/>
    <m/>
    <m/>
    <m/>
    <m/>
    <n v="2"/>
    <n v="2"/>
  </r>
  <r>
    <n v="1090"/>
    <x v="2"/>
    <s v="2016/7335"/>
    <s v="Upper floors, 256-258 Upper Tooting Road"/>
    <m/>
    <n v="527564"/>
    <n v="171696"/>
    <x v="1"/>
    <m/>
    <m/>
    <n v="0"/>
    <n v="1"/>
    <n v="1"/>
    <n v="2"/>
    <n v="1"/>
    <x v="0"/>
    <s v="Alterations including erection of first floor extension, and second floor rear extension to provide 1 x 1-bedroom flat."/>
    <s v="RP"/>
    <d v="2016-12-20T00:00:00"/>
    <d v="2017-05-15T00:00:00"/>
    <x v="0"/>
    <s v="APG"/>
    <d v="2017-10-16T00:00:00"/>
    <s v="BF"/>
    <s v="EXT"/>
    <x v="0"/>
    <x v="3"/>
    <n v="7.0000002160668399E-3"/>
    <m/>
    <x v="0"/>
    <m/>
    <x v="0"/>
    <s v="M"/>
    <m/>
    <m/>
    <n v="0"/>
    <n v="0"/>
    <n v="0"/>
    <n v="0"/>
    <n v="0"/>
    <n v="1"/>
    <n v="0"/>
    <n v="0"/>
    <n v="0"/>
    <n v="0"/>
    <n v="0"/>
    <n v="0"/>
    <n v="1"/>
    <n v="0"/>
    <n v="0"/>
    <n v="0"/>
    <n v="0"/>
    <n v="0"/>
    <n v="0"/>
    <n v="0"/>
    <n v="0"/>
    <n v="0"/>
    <n v="0"/>
    <n v="0"/>
    <n v="0"/>
    <n v="0"/>
    <n v="0"/>
    <n v="0"/>
    <n v="0"/>
    <n v="0"/>
    <n v="0"/>
    <n v="0"/>
    <x v="4"/>
    <x v="0"/>
    <x v="0"/>
    <x v="0"/>
    <x v="0"/>
    <m/>
    <x v="0"/>
    <x v="0"/>
    <n v="15"/>
    <m/>
    <n v="0.33333333333333331"/>
    <n v="0.33333333333333331"/>
    <n v="0.33333333333333331"/>
    <m/>
    <m/>
    <m/>
    <m/>
    <m/>
    <m/>
    <m/>
    <m/>
    <m/>
    <m/>
    <m/>
    <m/>
    <m/>
    <m/>
    <m/>
    <m/>
    <m/>
    <n v="1"/>
    <n v="1"/>
  </r>
  <r>
    <n v="1090"/>
    <x v="2"/>
    <s v="2016/7335"/>
    <s v="Upper floors, 256-258 Upper Tooting Road"/>
    <m/>
    <n v="527564"/>
    <n v="171696"/>
    <x v="1"/>
    <m/>
    <m/>
    <n v="1"/>
    <n v="1"/>
    <n v="0"/>
    <n v="2"/>
    <n v="1"/>
    <x v="0"/>
    <s v="Alterations including erection of first floor extension, and second floor rear extension to provide 1 x 1-bedroom flat."/>
    <s v="RP"/>
    <d v="2016-12-20T00:00:00"/>
    <d v="2017-05-15T00:00:00"/>
    <x v="0"/>
    <s v="APG"/>
    <d v="2017-10-16T00:00:00"/>
    <s v="BF"/>
    <s v="EXT"/>
    <x v="0"/>
    <x v="0"/>
    <n v="8.9999996125698107E-3"/>
    <m/>
    <x v="0"/>
    <m/>
    <x v="0"/>
    <s v="M"/>
    <m/>
    <m/>
    <n v="0"/>
    <n v="0"/>
    <n v="0"/>
    <n v="0"/>
    <n v="0"/>
    <n v="-1"/>
    <n v="1"/>
    <n v="0"/>
    <n v="0"/>
    <n v="0"/>
    <n v="0"/>
    <n v="0"/>
    <n v="-1"/>
    <n v="1"/>
    <n v="0"/>
    <n v="0"/>
    <n v="0"/>
    <n v="0"/>
    <n v="0"/>
    <n v="0"/>
    <n v="0"/>
    <n v="0"/>
    <n v="0"/>
    <n v="0"/>
    <n v="0"/>
    <n v="0"/>
    <n v="0"/>
    <n v="0"/>
    <n v="0"/>
    <n v="0"/>
    <n v="0"/>
    <n v="0"/>
    <x v="4"/>
    <x v="0"/>
    <x v="0"/>
    <x v="0"/>
    <x v="0"/>
    <m/>
    <x v="0"/>
    <x v="0"/>
    <n v="15"/>
    <m/>
    <n v="0"/>
    <n v="0"/>
    <n v="0"/>
    <m/>
    <m/>
    <m/>
    <m/>
    <m/>
    <m/>
    <m/>
    <m/>
    <m/>
    <m/>
    <m/>
    <m/>
    <m/>
    <m/>
    <m/>
    <m/>
    <m/>
    <n v="0"/>
    <n v="0"/>
  </r>
  <r>
    <n v="1147"/>
    <x v="2"/>
    <s v="2019/3361"/>
    <s v="Ground floor, 186 Trinity Road"/>
    <m/>
    <n v="527527"/>
    <n v="173093"/>
    <x v="3"/>
    <m/>
    <m/>
    <n v="0"/>
    <n v="1"/>
    <n v="1"/>
    <n v="1"/>
    <n v="1"/>
    <x v="0"/>
    <s v="Removal of existing shopfront, installation of 2 x windows at front elevation, replacement of windows at rear elevation and erection of 1m high metal railings to front boundary, in connection with change of use of shop (Class A1) to 1 x 1 bedroom flat (Class C3)."/>
    <s v="PF"/>
    <d v="2019-09-17T00:00:00"/>
    <d v="2019-11-15T00:00:00"/>
    <x v="1"/>
    <s v="Nil"/>
    <m/>
    <s v="BF"/>
    <s v="COU"/>
    <x v="0"/>
    <x v="4"/>
    <n v="4.9999998882412902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1164"/>
    <x v="2"/>
    <s v="2019/2633"/>
    <s v="165-167 Lavender Hill"/>
    <m/>
    <n v="527684"/>
    <n v="175583"/>
    <x v="9"/>
    <m/>
    <m/>
    <n v="0"/>
    <n v="1"/>
    <n v="1"/>
    <n v="1"/>
    <n v="1"/>
    <x v="0"/>
    <s v="Alterations in connection with change of use of rear ground floor from retail (Class A1) to 1 x 1-bedroom flat (Class C3)."/>
    <s v="PF"/>
    <d v="2019-07-10T00:00:00"/>
    <d v="2019-08-14T00:00:00"/>
    <x v="1"/>
    <s v="Nil"/>
    <m/>
    <s v="BF"/>
    <s v="COU"/>
    <x v="0"/>
    <x v="4"/>
    <n v="6.0000000521540598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1188"/>
    <x v="2"/>
    <s v="2019/0014"/>
    <s v="113 St Johns Hill"/>
    <m/>
    <n v="526940"/>
    <n v="175148"/>
    <x v="2"/>
    <m/>
    <m/>
    <n v="0"/>
    <n v="3"/>
    <n v="3"/>
    <n v="3"/>
    <n v="3"/>
    <x v="0"/>
    <s v="Erection of four-storey (including accommodation within the roofspace) plus basement level building to provide flexible commercial use for retail (Class A1), professional services (Class A2) or business (Class B1) in the front part of both ground floor level and basement; with 2 x 2-bedroom and 1 x1 bedroom flats in the remainder of the building. [The main changes are a reduction of rearmost element from two-storeys to single storey; omssion of roof terraces and juliette balconies; alterations to some proposed windows, including reduction in size of dormer within rear roofslope, and amendments to proposed shopfront; reduction of flat A from a 2 bedroom to a one bedroom unit]."/>
    <s v="PF"/>
    <d v="2019-01-03T00:00:00"/>
    <d v="2019-06-28T00:00:00"/>
    <x v="1"/>
    <s v="Nil"/>
    <m/>
    <s v="BF"/>
    <s v="MIX"/>
    <x v="0"/>
    <x v="5"/>
    <n v="7.0000002160668399E-3"/>
    <m/>
    <x v="0"/>
    <m/>
    <x v="0"/>
    <s v="M"/>
    <m/>
    <m/>
    <n v="0"/>
    <n v="0"/>
    <n v="0"/>
    <n v="0"/>
    <n v="0"/>
    <n v="0"/>
    <n v="3"/>
    <n v="0"/>
    <n v="0"/>
    <n v="0"/>
    <n v="0"/>
    <n v="0"/>
    <n v="0"/>
    <n v="3"/>
    <n v="0"/>
    <n v="0"/>
    <n v="0"/>
    <n v="0"/>
    <n v="0"/>
    <n v="0"/>
    <n v="0"/>
    <n v="0"/>
    <n v="0"/>
    <n v="0"/>
    <n v="0"/>
    <n v="0"/>
    <n v="0"/>
    <n v="0"/>
    <n v="0"/>
    <n v="0"/>
    <n v="0"/>
    <n v="0"/>
    <x v="0"/>
    <x v="0"/>
    <x v="0"/>
    <x v="0"/>
    <x v="0"/>
    <m/>
    <x v="0"/>
    <x v="0"/>
    <n v="15"/>
    <m/>
    <n v="1"/>
    <n v="1"/>
    <n v="1"/>
    <m/>
    <m/>
    <m/>
    <m/>
    <m/>
    <m/>
    <m/>
    <m/>
    <m/>
    <m/>
    <m/>
    <m/>
    <m/>
    <m/>
    <m/>
    <m/>
    <m/>
    <n v="3"/>
    <n v="3"/>
  </r>
  <r>
    <n v="1426"/>
    <x v="2"/>
    <s v="2017/0811"/>
    <s v="65 Tooting High Street"/>
    <m/>
    <n v="527486"/>
    <n v="171495"/>
    <x v="10"/>
    <m/>
    <m/>
    <n v="2"/>
    <n v="5"/>
    <n v="3"/>
    <n v="5"/>
    <n v="3"/>
    <x v="0"/>
    <s v="Alterations including erection of roof extension including three dormer windows to front roof slope and balcony and safety railings to the rear in conjunction with the erection of a three-storey rear extension at first, second and third floor levels. Works in conjunction with the conversion of upper floors into 4 x 1-bedroom and 1 x 3-bedroom flats."/>
    <s v="PF"/>
    <d v="2017-07-19T00:00:00"/>
    <d v="2017-12-08T00:00:00"/>
    <x v="0"/>
    <s v="Nil"/>
    <m/>
    <s v="BF"/>
    <s v="MIX"/>
    <x v="0"/>
    <x v="0"/>
    <n v="8.0000003799796104E-3"/>
    <m/>
    <x v="0"/>
    <m/>
    <x v="0"/>
    <s v="M"/>
    <s v="5.2"/>
    <m/>
    <n v="0"/>
    <n v="0"/>
    <n v="0"/>
    <n v="0"/>
    <n v="0"/>
    <n v="4"/>
    <n v="-2"/>
    <n v="1"/>
    <n v="0"/>
    <n v="0"/>
    <n v="0"/>
    <n v="0"/>
    <n v="4"/>
    <n v="-2"/>
    <n v="1"/>
    <n v="0"/>
    <n v="0"/>
    <n v="0"/>
    <n v="0"/>
    <n v="0"/>
    <n v="0"/>
    <n v="0"/>
    <n v="0"/>
    <n v="0"/>
    <n v="0"/>
    <n v="0"/>
    <n v="0"/>
    <n v="0"/>
    <n v="0"/>
    <n v="0"/>
    <n v="0"/>
    <n v="0"/>
    <x v="4"/>
    <x v="0"/>
    <x v="0"/>
    <x v="0"/>
    <x v="0"/>
    <m/>
    <x v="0"/>
    <x v="0"/>
    <n v="15"/>
    <m/>
    <n v="1"/>
    <n v="1"/>
    <n v="1"/>
    <m/>
    <m/>
    <m/>
    <m/>
    <m/>
    <m/>
    <m/>
    <m/>
    <m/>
    <m/>
    <m/>
    <m/>
    <m/>
    <m/>
    <m/>
    <m/>
    <m/>
    <n v="3"/>
    <n v="3"/>
  </r>
  <r>
    <n v="1433"/>
    <x v="2"/>
    <s v="2018/0080"/>
    <s v="Ford House, 126-128 Wandsworth High Street"/>
    <m/>
    <n v="525363"/>
    <n v="174695"/>
    <x v="2"/>
    <m/>
    <m/>
    <n v="0"/>
    <n v="2"/>
    <n v="2"/>
    <n v="2"/>
    <n v="2"/>
    <x v="0"/>
    <s v="Alterations, including erection of two-storey extension on top of the existing four-storey building, in connection with the provision of 2 additional two-bedroom flats, including roof terraces."/>
    <s v="PF"/>
    <d v="2018-01-08T00:00:00"/>
    <d v="2018-03-05T00:00:00"/>
    <x v="0"/>
    <s v="Nil"/>
    <m/>
    <s v="BF"/>
    <s v="EXT"/>
    <x v="0"/>
    <x v="3"/>
    <n v="4.9999998882412902E-3"/>
    <m/>
    <x v="0"/>
    <m/>
    <x v="0"/>
    <s v="M"/>
    <m/>
    <m/>
    <n v="0"/>
    <n v="0"/>
    <n v="0"/>
    <n v="0"/>
    <n v="0"/>
    <n v="0"/>
    <n v="2"/>
    <n v="0"/>
    <n v="0"/>
    <n v="0"/>
    <n v="0"/>
    <n v="0"/>
    <n v="0"/>
    <n v="2"/>
    <n v="0"/>
    <n v="0"/>
    <n v="0"/>
    <n v="0"/>
    <n v="0"/>
    <n v="0"/>
    <n v="0"/>
    <n v="0"/>
    <n v="0"/>
    <n v="0"/>
    <n v="0"/>
    <n v="0"/>
    <n v="0"/>
    <n v="0"/>
    <n v="0"/>
    <n v="0"/>
    <n v="0"/>
    <n v="0"/>
    <x v="3"/>
    <x v="0"/>
    <x v="1"/>
    <x v="0"/>
    <x v="0"/>
    <m/>
    <x v="0"/>
    <x v="0"/>
    <n v="15"/>
    <m/>
    <n v="0.66666666666666663"/>
    <n v="0.66666666666666663"/>
    <n v="0.66666666666666663"/>
    <m/>
    <m/>
    <m/>
    <m/>
    <m/>
    <m/>
    <m/>
    <m/>
    <m/>
    <m/>
    <m/>
    <m/>
    <m/>
    <m/>
    <m/>
    <m/>
    <m/>
    <n v="2"/>
    <n v="2"/>
  </r>
  <r>
    <n v="1563"/>
    <x v="2"/>
    <s v="2018/2123"/>
    <s v="28 Totterdown Street"/>
    <s v="conversion"/>
    <n v="527638"/>
    <n v="171599"/>
    <x v="10"/>
    <m/>
    <m/>
    <n v="3"/>
    <n v="3"/>
    <n v="0"/>
    <n v="4"/>
    <n v="1"/>
    <x v="0"/>
    <s v="Erection of front and rear extensions and an additional storey to form a four-storey building comprising of Class A2 on the ground floor with Class C3 residential (4 no. self contained flats : 2 x 1-bedroom, and 2 x 2-bedroom) on three upper floors with roof terraces and associated cycle and refuse storage."/>
    <s v="PF"/>
    <d v="2018-05-24T00:00:00"/>
    <d v="2018-07-13T00:00:00"/>
    <x v="0"/>
    <s v="Nil"/>
    <m/>
    <s v="BF"/>
    <s v="MIX"/>
    <x v="0"/>
    <x v="0"/>
    <n v="4.9999998882412902E-3"/>
    <m/>
    <x v="0"/>
    <m/>
    <x v="0"/>
    <s v="M"/>
    <s v="5.2"/>
    <m/>
    <n v="0"/>
    <n v="0"/>
    <n v="0"/>
    <n v="0"/>
    <n v="0"/>
    <n v="1"/>
    <n v="-1"/>
    <n v="0"/>
    <n v="0"/>
    <n v="0"/>
    <n v="0"/>
    <n v="0"/>
    <n v="1"/>
    <n v="-1"/>
    <n v="0"/>
    <n v="0"/>
    <n v="0"/>
    <n v="0"/>
    <n v="0"/>
    <n v="0"/>
    <n v="0"/>
    <n v="0"/>
    <n v="0"/>
    <n v="0"/>
    <n v="0"/>
    <n v="0"/>
    <n v="0"/>
    <n v="0"/>
    <n v="0"/>
    <n v="0"/>
    <n v="0"/>
    <n v="0"/>
    <x v="4"/>
    <x v="0"/>
    <x v="0"/>
    <x v="0"/>
    <x v="0"/>
    <m/>
    <x v="0"/>
    <x v="0"/>
    <n v="15"/>
    <m/>
    <n v="0"/>
    <n v="0"/>
    <n v="0"/>
    <m/>
    <m/>
    <m/>
    <m/>
    <m/>
    <m/>
    <m/>
    <m/>
    <m/>
    <m/>
    <m/>
    <m/>
    <m/>
    <m/>
    <m/>
    <m/>
    <m/>
    <n v="0"/>
    <n v="0"/>
  </r>
  <r>
    <n v="1563"/>
    <x v="2"/>
    <s v="2018/2123"/>
    <s v="28 Totterdown Street"/>
    <s v="extension to existing"/>
    <n v="527638"/>
    <n v="171599"/>
    <x v="10"/>
    <m/>
    <m/>
    <n v="0"/>
    <n v="1"/>
    <n v="1"/>
    <n v="4"/>
    <n v="1"/>
    <x v="0"/>
    <s v="Erection of front and rear extensions and an additional storey to form a four-storey building comprising of Class A2 on the ground floor with Class C3 residential (4 no. self contained flats : 2 x 1-bedroom, and 2 x 2-bedroom) on three upper floors with roof terraces and associated cycle and refuse storage."/>
    <s v="PF"/>
    <d v="2018-05-24T00:00:00"/>
    <d v="2018-07-13T00:00:00"/>
    <x v="0"/>
    <s v="Nil"/>
    <m/>
    <s v="BF"/>
    <s v="MIX"/>
    <x v="0"/>
    <x v="3"/>
    <n v="2.0000000949949E-3"/>
    <m/>
    <x v="0"/>
    <m/>
    <x v="0"/>
    <s v="M"/>
    <s v="5.2"/>
    <m/>
    <n v="0"/>
    <n v="0"/>
    <n v="0"/>
    <n v="0"/>
    <n v="0"/>
    <n v="0"/>
    <n v="1"/>
    <n v="0"/>
    <n v="0"/>
    <n v="0"/>
    <n v="0"/>
    <n v="0"/>
    <n v="0"/>
    <n v="1"/>
    <n v="0"/>
    <n v="0"/>
    <n v="0"/>
    <n v="0"/>
    <n v="0"/>
    <n v="0"/>
    <n v="0"/>
    <n v="0"/>
    <n v="0"/>
    <n v="0"/>
    <n v="0"/>
    <n v="0"/>
    <n v="0"/>
    <n v="0"/>
    <n v="0"/>
    <n v="0"/>
    <n v="0"/>
    <n v="0"/>
    <x v="4"/>
    <x v="0"/>
    <x v="0"/>
    <x v="0"/>
    <x v="0"/>
    <m/>
    <x v="0"/>
    <x v="0"/>
    <n v="15"/>
    <m/>
    <n v="0.33333333333333331"/>
    <n v="0.33333333333333331"/>
    <n v="0.33333333333333331"/>
    <m/>
    <m/>
    <m/>
    <m/>
    <m/>
    <m/>
    <m/>
    <m/>
    <m/>
    <m/>
    <m/>
    <m/>
    <m/>
    <m/>
    <m/>
    <m/>
    <m/>
    <n v="1"/>
    <n v="1"/>
  </r>
  <r>
    <n v="1587"/>
    <x v="2"/>
    <s v="2017/5079"/>
    <s v="Ground floor, 280 Earlsfield Road"/>
    <m/>
    <n v="526103"/>
    <n v="173307"/>
    <x v="8"/>
    <m/>
    <m/>
    <n v="0"/>
    <n v="1"/>
    <n v="1"/>
    <n v="1"/>
    <n v="1"/>
    <x v="0"/>
    <s v="Alterations and extensions, including excavation to enlarge the existing basement including excavation of a frontlightwell, alterations to the existing single-storey rear extension in connection with change of use of offices (Class B1a) to residential (Class C3) to create 1 x 1-bedroom flat."/>
    <s v="PF"/>
    <d v="2018-03-09T00:00:00"/>
    <d v="2018-05-18T00:00:00"/>
    <x v="0"/>
    <s v="Nil"/>
    <m/>
    <s v="BF"/>
    <s v="MIX"/>
    <x v="0"/>
    <x v="6"/>
    <n v="8.0000003799796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1623"/>
    <x v="2"/>
    <s v="2016/7332"/>
    <s v="30 Putney Hill (30b &amp; 30c)"/>
    <m/>
    <n v="523905"/>
    <n v="174935"/>
    <x v="5"/>
    <m/>
    <m/>
    <n v="1"/>
    <n v="2"/>
    <n v="1"/>
    <n v="2"/>
    <n v="1"/>
    <x v="0"/>
    <s v="Alterations including demolition of existing single-storey rear extension, erection of part single, part two-storey rear extension in connection with the retention of dental surgery at basement level and provision of 2 x 1-bedroom flats; erection of replacement front boundary treatment. Internal re-arrangement and reduction in size of two existing flats (one x 1-bedroom and one x 2-bedroom)."/>
    <s v="RP"/>
    <d v="2017-01-24T00:00:00"/>
    <d v="2017-03-21T00:00:00"/>
    <x v="0"/>
    <s v="APG"/>
    <d v="2017-08-15T00:00:00"/>
    <s v="BF"/>
    <s v="NB"/>
    <x v="0"/>
    <x v="5"/>
    <n v="9.9999997764825804E-3"/>
    <m/>
    <x v="0"/>
    <m/>
    <x v="0"/>
    <s v="M"/>
    <m/>
    <m/>
    <n v="0"/>
    <n v="0"/>
    <n v="1"/>
    <n v="0"/>
    <n v="-1"/>
    <n v="2"/>
    <n v="0"/>
    <n v="0"/>
    <n v="0"/>
    <n v="0"/>
    <n v="0"/>
    <n v="-1"/>
    <n v="2"/>
    <n v="0"/>
    <n v="0"/>
    <n v="0"/>
    <n v="0"/>
    <n v="0"/>
    <n v="0"/>
    <n v="0"/>
    <n v="0"/>
    <n v="0"/>
    <n v="0"/>
    <n v="0"/>
    <n v="0"/>
    <n v="0"/>
    <n v="0"/>
    <n v="0"/>
    <n v="0"/>
    <n v="0"/>
    <n v="0"/>
    <n v="0"/>
    <x v="0"/>
    <x v="0"/>
    <x v="0"/>
    <x v="0"/>
    <x v="0"/>
    <m/>
    <x v="0"/>
    <x v="0"/>
    <n v="6"/>
    <m/>
    <m/>
    <n v="0.25"/>
    <n v="0.25"/>
    <n v="0.25"/>
    <n v="0.25"/>
    <m/>
    <m/>
    <m/>
    <m/>
    <m/>
    <m/>
    <m/>
    <m/>
    <m/>
    <m/>
    <m/>
    <m/>
    <m/>
    <m/>
    <m/>
    <n v="1"/>
    <n v="1"/>
  </r>
  <r>
    <n v="1627"/>
    <x v="2"/>
    <s v="2019/0517"/>
    <s v="57 Gilbey Road"/>
    <m/>
    <n v="527243"/>
    <n v="171511"/>
    <x v="1"/>
    <m/>
    <m/>
    <n v="2"/>
    <n v="1"/>
    <n v="-1"/>
    <n v="1"/>
    <n v="-1"/>
    <x v="0"/>
    <s v="Alterations in connection with conversion of two flats into a single dwellinghouse."/>
    <s v="PF"/>
    <d v="2019-02-05T00:00:00"/>
    <d v="2019-04-02T00:00:00"/>
    <x v="1"/>
    <s v="Nil"/>
    <m/>
    <s v="BF"/>
    <s v="CON"/>
    <x v="0"/>
    <x v="8"/>
    <n v="1.09999999403954E-2"/>
    <m/>
    <x v="0"/>
    <m/>
    <x v="0"/>
    <s v="M"/>
    <m/>
    <m/>
    <n v="0"/>
    <n v="0"/>
    <n v="0"/>
    <n v="0"/>
    <n v="0"/>
    <n v="0"/>
    <n v="-1"/>
    <n v="-1"/>
    <n v="0"/>
    <n v="1"/>
    <n v="0"/>
    <n v="0"/>
    <n v="0"/>
    <n v="-1"/>
    <n v="-1"/>
    <n v="0"/>
    <n v="0"/>
    <n v="0"/>
    <n v="0"/>
    <n v="0"/>
    <n v="0"/>
    <n v="0"/>
    <n v="0"/>
    <n v="1"/>
    <n v="0"/>
    <n v="0"/>
    <n v="0"/>
    <n v="0"/>
    <n v="0"/>
    <n v="0"/>
    <n v="0"/>
    <n v="0"/>
    <x v="0"/>
    <x v="0"/>
    <x v="0"/>
    <x v="0"/>
    <x v="0"/>
    <m/>
    <x v="0"/>
    <x v="0"/>
    <n v="15"/>
    <m/>
    <n v="-0.33333333333333331"/>
    <n v="-0.33333333333333331"/>
    <n v="-0.33333333333333331"/>
    <m/>
    <m/>
    <m/>
    <m/>
    <m/>
    <m/>
    <m/>
    <m/>
    <m/>
    <m/>
    <m/>
    <m/>
    <m/>
    <m/>
    <m/>
    <m/>
    <m/>
    <n v="-1"/>
    <n v="-1"/>
  </r>
  <r>
    <n v="1765"/>
    <x v="2"/>
    <s v="2018/3590"/>
    <s v="Broadway Centre, 10 Gatton Road (Broadwater Lofts)"/>
    <m/>
    <n v="527401"/>
    <n v="171784"/>
    <x v="1"/>
    <m/>
    <m/>
    <n v="0"/>
    <n v="1"/>
    <n v="1"/>
    <n v="1"/>
    <n v="1"/>
    <x v="0"/>
    <s v="Alterations including formation of a front lightwell with railing surround in connection with conversion of part basement into 1 x studio flat."/>
    <s v="PF"/>
    <d v="2018-07-23T00:00:00"/>
    <d v="2018-09-17T00:00:00"/>
    <x v="0"/>
    <s v="Nil"/>
    <m/>
    <s v="BF"/>
    <s v="CON"/>
    <x v="0"/>
    <x v="3"/>
    <n v="6.0000000521540598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1886"/>
    <x v="2"/>
    <s v="2016/4593"/>
    <s v="303-307 Balham High Road"/>
    <m/>
    <n v="528075"/>
    <n v="172371"/>
    <x v="19"/>
    <m/>
    <m/>
    <n v="0"/>
    <n v="2"/>
    <n v="2"/>
    <n v="2"/>
    <n v="2"/>
    <x v="0"/>
    <s v="Erection of front and rear second floor extensions and addition of roof extension to create third floor, addition of balconies with safety railings and side privacy screens and internal alterations to create 2 additional flats (total of 6 flats, 4 x 1-bed and 2 x 2-bed flats)."/>
    <s v="PF"/>
    <d v="2016-08-31T00:00:00"/>
    <d v="2016-11-25T00:00:00"/>
    <x v="0"/>
    <s v="Nil"/>
    <m/>
    <s v="BF"/>
    <s v="EXT"/>
    <x v="0"/>
    <x v="3"/>
    <n v="8.9999996125698107E-3"/>
    <m/>
    <x v="0"/>
    <m/>
    <x v="0"/>
    <s v="M"/>
    <m/>
    <m/>
    <n v="0"/>
    <n v="0"/>
    <n v="0"/>
    <n v="0"/>
    <n v="0"/>
    <n v="2"/>
    <n v="0"/>
    <n v="0"/>
    <n v="0"/>
    <n v="0"/>
    <n v="0"/>
    <n v="0"/>
    <n v="2"/>
    <n v="0"/>
    <n v="0"/>
    <n v="0"/>
    <n v="0"/>
    <n v="0"/>
    <n v="0"/>
    <n v="0"/>
    <n v="0"/>
    <n v="0"/>
    <n v="0"/>
    <n v="0"/>
    <n v="0"/>
    <n v="0"/>
    <n v="0"/>
    <n v="0"/>
    <n v="0"/>
    <n v="0"/>
    <n v="0"/>
    <n v="0"/>
    <x v="0"/>
    <x v="0"/>
    <x v="0"/>
    <x v="0"/>
    <x v="0"/>
    <m/>
    <x v="0"/>
    <x v="0"/>
    <n v="15"/>
    <m/>
    <n v="0.66666666666666663"/>
    <n v="0.66666666666666663"/>
    <n v="0.66666666666666663"/>
    <m/>
    <m/>
    <m/>
    <m/>
    <m/>
    <m/>
    <m/>
    <m/>
    <m/>
    <m/>
    <m/>
    <m/>
    <m/>
    <m/>
    <m/>
    <m/>
    <m/>
    <n v="2"/>
    <n v="2"/>
  </r>
  <r>
    <n v="1962"/>
    <x v="2"/>
    <s v="2019/2135"/>
    <s v="65a Bramfield Road (145a Northcote Road)"/>
    <m/>
    <n v="527618"/>
    <n v="174574"/>
    <x v="4"/>
    <m/>
    <m/>
    <n v="0"/>
    <n v="1"/>
    <n v="1"/>
    <n v="1"/>
    <n v="1"/>
    <x v="0"/>
    <s v="Demolition of single storey building and erection of two-storey 1-bedroom house."/>
    <s v="PF"/>
    <d v="2019-05-16T00:00:00"/>
    <d v="2019-09-23T00:00:00"/>
    <x v="1"/>
    <s v="Nil"/>
    <m/>
    <s v="BF"/>
    <s v="NB"/>
    <x v="0"/>
    <x v="6"/>
    <n v="8.0000003799796104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1998"/>
    <x v="2"/>
    <s v="2017/6201"/>
    <s v="Land rear of 6-8a, Fontenoy Road"/>
    <m/>
    <n v="529036"/>
    <n v="172599"/>
    <x v="19"/>
    <m/>
    <m/>
    <n v="0"/>
    <n v="1"/>
    <n v="1"/>
    <n v="1"/>
    <n v="1"/>
    <x v="0"/>
    <s v="Demolition of existing garages and construction of new two-storey (ground and basement) 4-bedroom house with single storey nanny annex, and associated parking and landscaping."/>
    <s v="PF"/>
    <d v="2017-11-09T00:00:00"/>
    <d v="2018-06-04T00:00:00"/>
    <x v="0"/>
    <s v="Nil"/>
    <m/>
    <s v="BF"/>
    <s v="NB"/>
    <x v="0"/>
    <x v="5"/>
    <n v="7.9000003635883304E-2"/>
    <m/>
    <x v="0"/>
    <m/>
    <x v="0"/>
    <s v="M"/>
    <m/>
    <m/>
    <n v="0"/>
    <n v="0"/>
    <n v="0"/>
    <n v="0"/>
    <n v="0"/>
    <n v="0"/>
    <n v="0"/>
    <n v="0"/>
    <n v="1"/>
    <n v="0"/>
    <n v="0"/>
    <n v="0"/>
    <n v="0"/>
    <n v="0"/>
    <n v="0"/>
    <n v="0"/>
    <n v="0"/>
    <n v="0"/>
    <n v="0"/>
    <n v="0"/>
    <n v="0"/>
    <n v="0"/>
    <n v="1"/>
    <n v="0"/>
    <n v="0"/>
    <n v="0"/>
    <n v="0"/>
    <n v="0"/>
    <n v="0"/>
    <n v="0"/>
    <n v="0"/>
    <n v="0"/>
    <x v="0"/>
    <x v="0"/>
    <x v="0"/>
    <x v="0"/>
    <x v="0"/>
    <m/>
    <x v="0"/>
    <x v="0"/>
    <n v="6"/>
    <m/>
    <m/>
    <n v="0.25"/>
    <n v="0.25"/>
    <n v="0.25"/>
    <n v="0.25"/>
    <m/>
    <m/>
    <m/>
    <m/>
    <m/>
    <m/>
    <m/>
    <m/>
    <m/>
    <m/>
    <m/>
    <m/>
    <m/>
    <m/>
    <m/>
    <n v="1"/>
    <n v="1"/>
  </r>
  <r>
    <n v="2032"/>
    <x v="2"/>
    <s v="2018/1714"/>
    <s v="297-301 Balham High Road (1-9 Belgravia House, 301)"/>
    <m/>
    <n v="528095"/>
    <n v="172380"/>
    <x v="19"/>
    <m/>
    <m/>
    <n v="0"/>
    <n v="1"/>
    <n v="1"/>
    <n v="1"/>
    <n v="1"/>
    <x v="0"/>
    <s v="Alterations including erection of rear roof extension to main rear roof (with bi-fold doors and safety railings) including raising the ridge by 400mm; formation of a roof terrace to the rear with 1.7m high screen to side in connection with the creation of 1 x two-bedroom flat."/>
    <s v="PF"/>
    <d v="2018-04-17T00:00:00"/>
    <d v="2018-05-31T00:00:00"/>
    <x v="0"/>
    <s v="Nil"/>
    <m/>
    <s v="BF"/>
    <s v="EXT"/>
    <x v="0"/>
    <x v="3"/>
    <n v="1.4999999664723899E-2"/>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2034"/>
    <x v="2"/>
    <s v="2016/1648"/>
    <s v="Howard Building, 368 Queenstown Road"/>
    <m/>
    <n v="528686"/>
    <n v="177627"/>
    <x v="12"/>
    <m/>
    <m/>
    <n v="2"/>
    <n v="1"/>
    <n v="-1"/>
    <n v="1"/>
    <n v="-1"/>
    <x v="0"/>
    <s v="Conversion of 2 apartments to form one self contained dwelling."/>
    <s v="PF"/>
    <d v="2016-05-12T00:00:00"/>
    <d v="2016-06-07T00:00:00"/>
    <x v="0"/>
    <s v="Nil"/>
    <m/>
    <s v="BF"/>
    <s v="CON"/>
    <x v="0"/>
    <x v="10"/>
    <n v="1.60000007599592E-2"/>
    <m/>
    <x v="0"/>
    <m/>
    <x v="0"/>
    <s v="M"/>
    <m/>
    <m/>
    <n v="0"/>
    <n v="0"/>
    <n v="0"/>
    <n v="0"/>
    <n v="0"/>
    <n v="-1"/>
    <n v="-1"/>
    <n v="1"/>
    <n v="0"/>
    <n v="0"/>
    <n v="0"/>
    <n v="0"/>
    <n v="-1"/>
    <n v="-1"/>
    <n v="1"/>
    <n v="0"/>
    <n v="0"/>
    <n v="0"/>
    <n v="0"/>
    <n v="0"/>
    <n v="0"/>
    <n v="0"/>
    <n v="0"/>
    <n v="0"/>
    <n v="0"/>
    <n v="0"/>
    <n v="0"/>
    <n v="0"/>
    <n v="0"/>
    <n v="0"/>
    <n v="0"/>
    <n v="0"/>
    <x v="0"/>
    <x v="1"/>
    <x v="0"/>
    <x v="0"/>
    <x v="0"/>
    <m/>
    <x v="0"/>
    <x v="0"/>
    <n v="15"/>
    <m/>
    <n v="-0.33333333333333331"/>
    <n v="-0.33333333333333331"/>
    <n v="-0.33333333333333331"/>
    <m/>
    <m/>
    <m/>
    <m/>
    <m/>
    <m/>
    <m/>
    <m/>
    <m/>
    <m/>
    <m/>
    <m/>
    <m/>
    <m/>
    <m/>
    <m/>
    <m/>
    <n v="-1"/>
    <n v="-1"/>
  </r>
  <r>
    <n v="2059"/>
    <x v="2"/>
    <s v="2017/1041"/>
    <s v="3-5 Queensmere Road"/>
    <m/>
    <n v="523779"/>
    <n v="172570"/>
    <x v="18"/>
    <m/>
    <m/>
    <n v="0"/>
    <n v="2"/>
    <n v="2"/>
    <n v="2"/>
    <n v="2"/>
    <x v="0"/>
    <s v="Demolition of garages and erection of 2 x semi-detached houses including provision of 6 car parking spaces; removal of existing vehicular crossover and provision of new crossover from Queensmere Road (Outline application for consideration of access, site layout and scale)."/>
    <s v="PO"/>
    <d v="2017-03-03T00:00:00"/>
    <d v="2017-08-24T00:00:00"/>
    <x v="0"/>
    <s v="Nil"/>
    <m/>
    <s v="Gdn"/>
    <s v="NB"/>
    <x v="0"/>
    <x v="5"/>
    <n v="0.119999997317791"/>
    <m/>
    <x v="0"/>
    <m/>
    <x v="0"/>
    <s v="M"/>
    <m/>
    <m/>
    <n v="2"/>
    <n v="0"/>
    <n v="0"/>
    <n v="0"/>
    <n v="0"/>
    <n v="0"/>
    <n v="0"/>
    <n v="0"/>
    <n v="2"/>
    <n v="0"/>
    <n v="0"/>
    <n v="0"/>
    <n v="0"/>
    <n v="0"/>
    <n v="0"/>
    <n v="0"/>
    <n v="0"/>
    <n v="0"/>
    <n v="0"/>
    <n v="0"/>
    <n v="0"/>
    <n v="0"/>
    <n v="2"/>
    <n v="0"/>
    <n v="0"/>
    <n v="0"/>
    <n v="0"/>
    <n v="0"/>
    <n v="0"/>
    <n v="0"/>
    <n v="0"/>
    <n v="0"/>
    <x v="0"/>
    <x v="0"/>
    <x v="0"/>
    <x v="0"/>
    <x v="0"/>
    <m/>
    <x v="0"/>
    <x v="0"/>
    <n v="6"/>
    <m/>
    <m/>
    <n v="0.5"/>
    <n v="0.5"/>
    <n v="0.5"/>
    <n v="0.5"/>
    <m/>
    <m/>
    <m/>
    <m/>
    <m/>
    <m/>
    <m/>
    <m/>
    <m/>
    <m/>
    <m/>
    <m/>
    <m/>
    <m/>
    <m/>
    <n v="2"/>
    <n v="2"/>
  </r>
  <r>
    <n v="2202"/>
    <x v="2"/>
    <s v="2018/1370"/>
    <s v="Land adjoining 23, Boundaries Road"/>
    <m/>
    <n v="528351"/>
    <n v="173235"/>
    <x v="3"/>
    <m/>
    <m/>
    <n v="0"/>
    <n v="2"/>
    <n v="2"/>
    <n v="2"/>
    <n v="2"/>
    <x v="0"/>
    <s v="Erection of a three-storey plus basement detached building to provide 2 x 1-bedroom dwellings with associated landscaping, outdoor amenity space, roof garden, cycle parking and refuse storage. (Amended drawings)"/>
    <s v="PF"/>
    <d v="2018-03-29T00:00:00"/>
    <d v="2018-07-20T00:00:00"/>
    <x v="0"/>
    <s v="Nil"/>
    <m/>
    <s v="BF"/>
    <s v="NB"/>
    <x v="0"/>
    <x v="5"/>
    <n v="8.0000003799796104E-3"/>
    <m/>
    <x v="0"/>
    <m/>
    <x v="0"/>
    <s v="M"/>
    <m/>
    <m/>
    <n v="0"/>
    <n v="0"/>
    <n v="0"/>
    <n v="0"/>
    <n v="0"/>
    <n v="2"/>
    <n v="0"/>
    <n v="0"/>
    <n v="0"/>
    <n v="0"/>
    <n v="0"/>
    <n v="0"/>
    <n v="2"/>
    <n v="0"/>
    <n v="0"/>
    <n v="0"/>
    <n v="0"/>
    <n v="0"/>
    <n v="0"/>
    <n v="0"/>
    <n v="0"/>
    <n v="0"/>
    <n v="0"/>
    <n v="0"/>
    <n v="0"/>
    <n v="0"/>
    <n v="0"/>
    <n v="0"/>
    <n v="0"/>
    <n v="0"/>
    <n v="0"/>
    <n v="0"/>
    <x v="0"/>
    <x v="0"/>
    <x v="0"/>
    <x v="0"/>
    <x v="0"/>
    <m/>
    <x v="0"/>
    <x v="0"/>
    <n v="6"/>
    <m/>
    <m/>
    <n v="0.5"/>
    <n v="0.5"/>
    <n v="0.5"/>
    <n v="0.5"/>
    <m/>
    <m/>
    <m/>
    <m/>
    <m/>
    <m/>
    <m/>
    <m/>
    <m/>
    <m/>
    <m/>
    <m/>
    <m/>
    <m/>
    <m/>
    <n v="2"/>
    <n v="2"/>
  </r>
  <r>
    <n v="2274"/>
    <x v="2"/>
    <s v="2019/2196"/>
    <s v="Land adj. 206, 206 Franciscan Road (204)"/>
    <m/>
    <n v="527891"/>
    <n v="171427"/>
    <x v="10"/>
    <m/>
    <m/>
    <n v="0"/>
    <n v="1"/>
    <n v="1"/>
    <n v="1"/>
    <n v="1"/>
    <x v="0"/>
    <s v="Erection of two-storey dwellinghouse with roof level accommodation."/>
    <s v="PF"/>
    <d v="2019-05-21T00:00:00"/>
    <d v="2019-07-16T00:00:00"/>
    <x v="1"/>
    <s v="Nil"/>
    <m/>
    <s v="BF"/>
    <s v="NB"/>
    <x v="0"/>
    <x v="5"/>
    <n v="1.7999999225139601E-2"/>
    <m/>
    <x v="0"/>
    <m/>
    <x v="0"/>
    <s v="M"/>
    <m/>
    <m/>
    <n v="0"/>
    <n v="0"/>
    <n v="0"/>
    <n v="0"/>
    <n v="0"/>
    <n v="0"/>
    <n v="0"/>
    <n v="1"/>
    <n v="0"/>
    <n v="0"/>
    <n v="0"/>
    <n v="0"/>
    <n v="0"/>
    <n v="0"/>
    <n v="0"/>
    <n v="0"/>
    <n v="0"/>
    <n v="0"/>
    <n v="0"/>
    <n v="0"/>
    <n v="0"/>
    <n v="1"/>
    <n v="0"/>
    <n v="0"/>
    <n v="0"/>
    <n v="0"/>
    <n v="0"/>
    <n v="0"/>
    <n v="0"/>
    <n v="0"/>
    <n v="0"/>
    <n v="0"/>
    <x v="0"/>
    <x v="0"/>
    <x v="0"/>
    <x v="0"/>
    <x v="0"/>
    <m/>
    <x v="0"/>
    <x v="0"/>
    <n v="6"/>
    <m/>
    <m/>
    <n v="0.25"/>
    <n v="0.25"/>
    <n v="0.25"/>
    <n v="0.25"/>
    <m/>
    <m/>
    <m/>
    <m/>
    <m/>
    <m/>
    <m/>
    <m/>
    <m/>
    <m/>
    <m/>
    <m/>
    <m/>
    <m/>
    <m/>
    <n v="1"/>
    <n v="1"/>
  </r>
  <r>
    <n v="2318"/>
    <x v="2"/>
    <s v="2018/5212"/>
    <s v="South Lodge, Putney Park Lane"/>
    <m/>
    <n v="522870"/>
    <n v="174041"/>
    <x v="15"/>
    <m/>
    <m/>
    <n v="1"/>
    <n v="1"/>
    <n v="0"/>
    <n v="1"/>
    <n v="0"/>
    <x v="0"/>
    <s v="Erection of replacement two-storey 3-bedroom dwelling with associated boundary treatment."/>
    <s v="PF"/>
    <d v="2018-11-05T00:00:00"/>
    <d v="2019-02-28T00:00:00"/>
    <x v="0"/>
    <s v="Nil"/>
    <m/>
    <s v="BF"/>
    <s v="NB"/>
    <x v="0"/>
    <x v="5"/>
    <n v="1.7999999225139601E-2"/>
    <m/>
    <x v="0"/>
    <m/>
    <x v="0"/>
    <s v="M"/>
    <m/>
    <m/>
    <n v="0"/>
    <n v="0"/>
    <n v="0"/>
    <n v="0"/>
    <n v="0"/>
    <n v="0"/>
    <n v="0"/>
    <n v="0"/>
    <n v="0"/>
    <n v="0"/>
    <n v="0"/>
    <n v="0"/>
    <n v="0"/>
    <n v="0"/>
    <n v="0"/>
    <n v="0"/>
    <n v="0"/>
    <n v="0"/>
    <n v="0"/>
    <n v="0"/>
    <n v="0"/>
    <n v="0"/>
    <n v="0"/>
    <n v="0"/>
    <n v="0"/>
    <n v="0"/>
    <n v="0"/>
    <n v="0"/>
    <n v="0"/>
    <n v="0"/>
    <n v="0"/>
    <n v="0"/>
    <x v="0"/>
    <x v="0"/>
    <x v="0"/>
    <x v="0"/>
    <x v="0"/>
    <m/>
    <x v="0"/>
    <x v="0"/>
    <n v="6"/>
    <m/>
    <m/>
    <n v="0"/>
    <n v="0"/>
    <n v="0"/>
    <n v="0"/>
    <m/>
    <m/>
    <m/>
    <m/>
    <m/>
    <m/>
    <m/>
    <m/>
    <m/>
    <m/>
    <m/>
    <m/>
    <m/>
    <m/>
    <m/>
    <n v="0"/>
    <n v="0"/>
  </r>
  <r>
    <n v="2320"/>
    <x v="2"/>
    <s v="2014/3837"/>
    <s v="Former Domus Tiles site, 31-33 Parkgate Road/Elcho Street (27-33 Parkgate Road &amp; 2-42 Elcho Street)"/>
    <m/>
    <n v="527260"/>
    <n v="177215"/>
    <x v="11"/>
    <d v="2018-03-31T00:00:00"/>
    <m/>
    <n v="0"/>
    <n v="94"/>
    <n v="94"/>
    <n v="118"/>
    <n v="118"/>
    <x v="1"/>
    <s v="Demolition of existing buildings and redevelopment of the site to provide new buildings ranging from 3 to 10 storeys in height comprising 118 residential units including affordable housing (Use Class C3), and 2,282m2 of flexible commercial floorspace (Use Classes A1-A4/B1/D1/D2), together with associated car parking, open space, landscaping and infrastructure works."/>
    <s v="PFLA"/>
    <d v="2014-08-04T00:00:00"/>
    <d v="2015-06-30T00:00:00"/>
    <x v="0"/>
    <s v="Nil"/>
    <m/>
    <s v="BF"/>
    <s v="NB"/>
    <x v="1"/>
    <x v="7"/>
    <n v="0.24699999392032601"/>
    <m/>
    <x v="0"/>
    <m/>
    <x v="0"/>
    <s v="M"/>
    <s v="10.1.1"/>
    <m/>
    <n v="94"/>
    <n v="0"/>
    <n v="94"/>
    <n v="0"/>
    <n v="0"/>
    <n v="21"/>
    <n v="47"/>
    <n v="23"/>
    <n v="3"/>
    <n v="0"/>
    <n v="0"/>
    <n v="0"/>
    <n v="21"/>
    <n v="47"/>
    <n v="23"/>
    <n v="3"/>
    <n v="0"/>
    <n v="0"/>
    <n v="0"/>
    <n v="0"/>
    <n v="0"/>
    <n v="0"/>
    <n v="0"/>
    <n v="0"/>
    <n v="0"/>
    <n v="0"/>
    <n v="0"/>
    <n v="0"/>
    <n v="0"/>
    <n v="0"/>
    <n v="0"/>
    <n v="0"/>
    <x v="0"/>
    <x v="0"/>
    <x v="0"/>
    <x v="0"/>
    <x v="0"/>
    <m/>
    <x v="1"/>
    <x v="0"/>
    <n v="9"/>
    <m/>
    <m/>
    <m/>
    <m/>
    <n v="31.333333333333332"/>
    <n v="31.333333333333332"/>
    <n v="31.333333333333332"/>
    <m/>
    <m/>
    <m/>
    <m/>
    <m/>
    <m/>
    <m/>
    <m/>
    <m/>
    <m/>
    <m/>
    <m/>
    <m/>
    <m/>
    <n v="62.666666666666664"/>
    <n v="94"/>
  </r>
  <r>
    <n v="2320"/>
    <x v="2"/>
    <s v="2014/3837"/>
    <s v="Former Domus Tiles site, 31-33 Parkgate Road/Elcho Street (27-33 Parkgate Road &amp; 2-42 Elcho Street)"/>
    <m/>
    <n v="527260"/>
    <n v="177215"/>
    <x v="11"/>
    <d v="2018-03-31T00:00:00"/>
    <m/>
    <n v="0"/>
    <n v="14"/>
    <n v="14"/>
    <n v="118"/>
    <n v="118"/>
    <x v="1"/>
    <s v="Demolition of existing buildings and redevelopment of the site to provide new buildings ranging from 3 to 10 storeys in height comprising 118 residential units including affordable housing (Use Class C3), and 2,282m2 of flexible commercial floorspace (Use Classes A1-A4/B1/D1/D2), together with associated car parking, open space, landscaping and infrastructure works."/>
    <s v="PFLA"/>
    <d v="2014-08-04T00:00:00"/>
    <d v="2015-06-30T00:00:00"/>
    <x v="0"/>
    <s v="Nil"/>
    <m/>
    <s v="BF"/>
    <s v="NB"/>
    <x v="1"/>
    <x v="7"/>
    <n v="3.70000004768372E-2"/>
    <m/>
    <x v="0"/>
    <m/>
    <x v="2"/>
    <s v="AS"/>
    <s v="10.1.1"/>
    <m/>
    <n v="14"/>
    <n v="0"/>
    <n v="14"/>
    <n v="0"/>
    <n v="0"/>
    <n v="1"/>
    <n v="0"/>
    <n v="13"/>
    <n v="0"/>
    <n v="0"/>
    <n v="0"/>
    <n v="0"/>
    <n v="1"/>
    <n v="0"/>
    <n v="13"/>
    <n v="0"/>
    <n v="0"/>
    <n v="0"/>
    <n v="0"/>
    <n v="0"/>
    <n v="0"/>
    <n v="0"/>
    <n v="0"/>
    <n v="0"/>
    <n v="0"/>
    <n v="0"/>
    <n v="0"/>
    <n v="0"/>
    <n v="0"/>
    <n v="0"/>
    <n v="0"/>
    <n v="0"/>
    <x v="0"/>
    <x v="0"/>
    <x v="0"/>
    <x v="0"/>
    <x v="0"/>
    <m/>
    <x v="1"/>
    <x v="0"/>
    <n v="9"/>
    <m/>
    <m/>
    <m/>
    <m/>
    <n v="4.666666666666667"/>
    <n v="4.666666666666667"/>
    <n v="4.666666666666667"/>
    <m/>
    <m/>
    <m/>
    <m/>
    <m/>
    <m/>
    <m/>
    <m/>
    <m/>
    <m/>
    <m/>
    <m/>
    <m/>
    <m/>
    <n v="9.3333333333333339"/>
    <n v="14"/>
  </r>
  <r>
    <n v="2320"/>
    <x v="2"/>
    <s v="2014/3837"/>
    <s v="Former Domus Tiles site, 31-33 Parkgate Road/Elcho Street (27-33 Parkgate Road &amp; 2-42 Elcho Street)"/>
    <m/>
    <n v="527260"/>
    <n v="177215"/>
    <x v="11"/>
    <d v="2018-03-31T00:00:00"/>
    <m/>
    <n v="0"/>
    <n v="10"/>
    <n v="10"/>
    <n v="118"/>
    <n v="118"/>
    <x v="1"/>
    <s v="Demolition of existing buildings and redevelopment of the site to provide new buildings ranging from 3 to 10 storeys in height comprising 118 residential units including affordable housing (Use Class C3), and 2,282m2 of flexible commercial floorspace (Use Classes A1-A4/B1/D1/D2), together with associated car parking, open space, landscaping and infrastructure works."/>
    <s v="PFLA"/>
    <d v="2014-08-04T00:00:00"/>
    <d v="2015-06-30T00:00:00"/>
    <x v="0"/>
    <s v="Nil"/>
    <m/>
    <s v="BF"/>
    <s v="NB"/>
    <x v="1"/>
    <x v="7"/>
    <n v="2.60000005364418E-2"/>
    <m/>
    <x v="0"/>
    <m/>
    <x v="1"/>
    <s v="ISO"/>
    <s v="10.1.1"/>
    <m/>
    <n v="10"/>
    <n v="0"/>
    <n v="10"/>
    <n v="0"/>
    <n v="0"/>
    <n v="6"/>
    <n v="2"/>
    <n v="2"/>
    <n v="0"/>
    <n v="0"/>
    <n v="0"/>
    <n v="0"/>
    <n v="6"/>
    <n v="2"/>
    <n v="2"/>
    <n v="0"/>
    <n v="0"/>
    <n v="0"/>
    <n v="0"/>
    <n v="0"/>
    <n v="0"/>
    <n v="0"/>
    <n v="0"/>
    <n v="0"/>
    <n v="0"/>
    <n v="0"/>
    <n v="0"/>
    <n v="0"/>
    <n v="0"/>
    <n v="0"/>
    <n v="0"/>
    <n v="0"/>
    <x v="0"/>
    <x v="0"/>
    <x v="0"/>
    <x v="0"/>
    <x v="0"/>
    <m/>
    <x v="1"/>
    <x v="0"/>
    <n v="9"/>
    <m/>
    <m/>
    <m/>
    <m/>
    <n v="3.3333333333333335"/>
    <n v="3.3333333333333335"/>
    <n v="3.3333333333333335"/>
    <m/>
    <m/>
    <m/>
    <m/>
    <m/>
    <m/>
    <m/>
    <m/>
    <m/>
    <m/>
    <m/>
    <m/>
    <m/>
    <m/>
    <n v="6.666666666666667"/>
    <n v="10"/>
  </r>
  <r>
    <n v="2356"/>
    <x v="2"/>
    <s v="2018/6117"/>
    <s v="The Forester, 114 Allfarthing Lane"/>
    <m/>
    <n v="525955"/>
    <n v="174077"/>
    <x v="2"/>
    <m/>
    <m/>
    <n v="0"/>
    <n v="4"/>
    <n v="4"/>
    <n v="4"/>
    <n v="4"/>
    <x v="0"/>
    <s v="Change of use of property from day centre (Class D1) to 3 x 2 bedroom and 1 x 1 bedroom residential units (Class C3); formation of side lightwells and alterations to fenestration to all elevations. (Resubmission of approved planning permission ref. 2016/0954)"/>
    <s v="PF"/>
    <d v="2018-12-24T00:00:00"/>
    <d v="2019-02-21T00:00:00"/>
    <x v="0"/>
    <s v="Nil"/>
    <m/>
    <s v="BF"/>
    <s v="COU"/>
    <x v="0"/>
    <x v="1"/>
    <n v="2.19999998807907E-2"/>
    <m/>
    <x v="0"/>
    <m/>
    <x v="0"/>
    <s v="M"/>
    <m/>
    <m/>
    <n v="0"/>
    <n v="0"/>
    <n v="0"/>
    <n v="0"/>
    <n v="0"/>
    <n v="1"/>
    <n v="3"/>
    <n v="0"/>
    <n v="0"/>
    <n v="0"/>
    <n v="0"/>
    <n v="0"/>
    <n v="1"/>
    <n v="3"/>
    <n v="0"/>
    <n v="0"/>
    <n v="0"/>
    <n v="0"/>
    <n v="0"/>
    <n v="0"/>
    <n v="0"/>
    <n v="0"/>
    <n v="0"/>
    <n v="0"/>
    <n v="0"/>
    <n v="0"/>
    <n v="0"/>
    <n v="0"/>
    <n v="0"/>
    <n v="0"/>
    <n v="0"/>
    <n v="0"/>
    <x v="0"/>
    <x v="0"/>
    <x v="0"/>
    <x v="0"/>
    <x v="0"/>
    <m/>
    <x v="0"/>
    <x v="0"/>
    <n v="15"/>
    <m/>
    <n v="1.3333333333333333"/>
    <n v="1.3333333333333333"/>
    <n v="1.3333333333333333"/>
    <m/>
    <m/>
    <m/>
    <m/>
    <m/>
    <m/>
    <m/>
    <m/>
    <m/>
    <m/>
    <m/>
    <m/>
    <m/>
    <m/>
    <m/>
    <m/>
    <m/>
    <n v="4"/>
    <n v="4"/>
  </r>
  <r>
    <n v="2390"/>
    <x v="2"/>
    <s v="2017/6507"/>
    <s v="Land between 1 and 3, 1a Wimbledon Park Road"/>
    <m/>
    <n v="525245"/>
    <n v="174192"/>
    <x v="14"/>
    <m/>
    <m/>
    <n v="0"/>
    <n v="1"/>
    <n v="1"/>
    <n v="1"/>
    <n v="1"/>
    <x v="0"/>
    <s v="Erection of a two-storey (basement and ground floor), 4-bedroom house including sunken courtyard, off-street parking, associated landscaping and alterations to boundary treatment included raised front boundary wall and trellis."/>
    <s v="PF"/>
    <d v="2017-11-24T00:00:00"/>
    <d v="2018-04-19T00:00:00"/>
    <x v="0"/>
    <s v="Nil"/>
    <m/>
    <s v="Gdn"/>
    <s v="NB"/>
    <x v="0"/>
    <x v="5"/>
    <n v="1.7000000923872001E-2"/>
    <m/>
    <x v="0"/>
    <m/>
    <x v="0"/>
    <s v="M"/>
    <m/>
    <m/>
    <n v="0"/>
    <n v="0"/>
    <n v="0"/>
    <n v="0"/>
    <n v="0"/>
    <n v="0"/>
    <n v="0"/>
    <n v="0"/>
    <n v="1"/>
    <n v="0"/>
    <n v="0"/>
    <n v="0"/>
    <n v="0"/>
    <n v="0"/>
    <n v="0"/>
    <n v="0"/>
    <n v="0"/>
    <n v="0"/>
    <n v="0"/>
    <n v="0"/>
    <n v="0"/>
    <n v="0"/>
    <n v="1"/>
    <n v="0"/>
    <n v="0"/>
    <n v="0"/>
    <n v="0"/>
    <n v="0"/>
    <n v="0"/>
    <n v="0"/>
    <n v="0"/>
    <n v="0"/>
    <x v="0"/>
    <x v="0"/>
    <x v="0"/>
    <x v="0"/>
    <x v="0"/>
    <m/>
    <x v="0"/>
    <x v="0"/>
    <n v="6"/>
    <m/>
    <m/>
    <n v="0.25"/>
    <n v="0.25"/>
    <n v="0.25"/>
    <n v="0.25"/>
    <m/>
    <m/>
    <m/>
    <m/>
    <m/>
    <m/>
    <m/>
    <m/>
    <m/>
    <m/>
    <m/>
    <m/>
    <m/>
    <m/>
    <m/>
    <n v="1"/>
    <n v="1"/>
  </r>
  <r>
    <n v="2410"/>
    <x v="2"/>
    <s v="2017/3534"/>
    <s v="Coach House adjoining 83, Mallinson Road"/>
    <m/>
    <n v="527525"/>
    <n v="174930"/>
    <x v="4"/>
    <m/>
    <m/>
    <n v="0"/>
    <n v="1"/>
    <n v="1"/>
    <n v="1"/>
    <n v="1"/>
    <x v="0"/>
    <s v="Erection of a three-storey (plus basement) 4-bedroom detached house."/>
    <s v="PF"/>
    <d v="2017-06-28T00:00:00"/>
    <d v="2017-11-01T00:00:00"/>
    <x v="0"/>
    <s v="Nil"/>
    <m/>
    <s v="BF"/>
    <s v="NB"/>
    <x v="0"/>
    <x v="5"/>
    <n v="9.9999997764825804E-3"/>
    <m/>
    <x v="0"/>
    <m/>
    <x v="0"/>
    <s v="M"/>
    <m/>
    <m/>
    <n v="0"/>
    <n v="0"/>
    <n v="0"/>
    <n v="0"/>
    <n v="0"/>
    <n v="0"/>
    <n v="0"/>
    <n v="0"/>
    <n v="1"/>
    <n v="0"/>
    <n v="0"/>
    <n v="0"/>
    <n v="0"/>
    <n v="0"/>
    <n v="0"/>
    <n v="0"/>
    <n v="0"/>
    <n v="0"/>
    <n v="0"/>
    <n v="0"/>
    <n v="0"/>
    <n v="0"/>
    <n v="1"/>
    <n v="0"/>
    <n v="0"/>
    <n v="0"/>
    <n v="0"/>
    <n v="0"/>
    <n v="0"/>
    <n v="0"/>
    <n v="0"/>
    <n v="0"/>
    <x v="1"/>
    <x v="0"/>
    <x v="0"/>
    <x v="0"/>
    <x v="0"/>
    <m/>
    <x v="0"/>
    <x v="0"/>
    <n v="6"/>
    <m/>
    <m/>
    <n v="0.25"/>
    <n v="0.25"/>
    <n v="0.25"/>
    <n v="0.25"/>
    <m/>
    <m/>
    <m/>
    <m/>
    <m/>
    <m/>
    <m/>
    <m/>
    <m/>
    <m/>
    <m/>
    <m/>
    <m/>
    <m/>
    <m/>
    <n v="1"/>
    <n v="1"/>
  </r>
  <r>
    <n v="2411"/>
    <x v="2"/>
    <s v="2016/1119"/>
    <s v="South Lambeth Goods Depot, Cringle St./Battersea Park Rd., Kirtling Street (Battersea Power Station)"/>
    <s v="Phase 4 (RS-5)"/>
    <n v="528934"/>
    <n v="177496"/>
    <x v="12"/>
    <d v="2013-11-21T00:00:00"/>
    <m/>
    <n v="0"/>
    <n v="664"/>
    <n v="664"/>
    <n v="2735"/>
    <n v="2735"/>
    <x v="1"/>
    <s v="Application for Amendments to the outline planning permission dated 5th December 2014 (ref; 2014/2837) for the for the restoration, extension, alterations and conversion of the Power Station building to provide retail, residential flats, business, cultural, hotel and conference facilities, event space and incidental accommodation; the demolition of other buildings and development of the land surrounding the Power Station and adjacent/nearby sites to provide retail, restaurants bars and cafes, offices, hotel, residential, community and cultural space, assembly and leisure space, student housing, serviced apartments, an energy centre and basement plant; parking for cars, coaches, motorcycles and bicycles; new access and internal road system and servicing; 'off-site' highway works; works to the jetty and riverwall to facilitate river transport and fuel delivery; provision of open space and landscaping. (The Amendments include changes to the residential mix to create additional residential units, the change of use of hotel and serviced apartments in Development Zone RS5 to residential, along with changes to the massing and distribution of land uses in Development Zone RS2 and other consequential changes to facilitate the redevelopment of the adjoining Cringle Dock site (previously sought by application ref: 2015/6359)). An Environmental Statement Addendum has been submitted with the application under the Town and Country Planning (Environmental Impact Assessment) (Amendment) Regulations 2015."/>
    <s v="S73"/>
    <d v="2016-03-02T00:00:00"/>
    <d v="2016-11-08T00:00:00"/>
    <x v="0"/>
    <s v="Nil"/>
    <m/>
    <s v="BF"/>
    <s v="NB"/>
    <x v="1"/>
    <x v="7"/>
    <n v="0.83799999952316295"/>
    <m/>
    <x v="0"/>
    <m/>
    <x v="0"/>
    <s v="M"/>
    <s v="2.1.1"/>
    <m/>
    <n v="664"/>
    <n v="0"/>
    <n v="66"/>
    <n v="0"/>
    <n v="0"/>
    <n v="275"/>
    <n v="267"/>
    <n v="95"/>
    <n v="8"/>
    <n v="19"/>
    <n v="0"/>
    <n v="0"/>
    <n v="275"/>
    <n v="267"/>
    <n v="95"/>
    <n v="8"/>
    <n v="19"/>
    <n v="0"/>
    <n v="0"/>
    <n v="0"/>
    <n v="0"/>
    <n v="0"/>
    <n v="0"/>
    <n v="0"/>
    <n v="0"/>
    <n v="0"/>
    <n v="0"/>
    <n v="0"/>
    <n v="0"/>
    <n v="0"/>
    <n v="0"/>
    <n v="0"/>
    <x v="0"/>
    <x v="1"/>
    <x v="0"/>
    <x v="0"/>
    <x v="0"/>
    <m/>
    <x v="0"/>
    <x v="0"/>
    <n v="21"/>
    <m/>
    <m/>
    <m/>
    <n v="664"/>
    <m/>
    <m/>
    <m/>
    <m/>
    <m/>
    <m/>
    <m/>
    <m/>
    <m/>
    <m/>
    <m/>
    <m/>
    <m/>
    <m/>
    <m/>
    <m/>
    <m/>
    <n v="664"/>
    <n v="664"/>
  </r>
  <r>
    <n v="2411"/>
    <x v="2"/>
    <s v="2016/1119"/>
    <s v="South Lambeth Goods Depot, Cringle St./Battersea Park Rd., Kirtling Street (Battersea Power Station)"/>
    <s v="Phase 7 (RS-WF)"/>
    <n v="528934"/>
    <n v="177496"/>
    <x v="12"/>
    <d v="2013-11-21T00:00:00"/>
    <m/>
    <n v="0"/>
    <n v="152"/>
    <n v="152"/>
    <n v="2735"/>
    <n v="2735"/>
    <x v="1"/>
    <s v="Application for Amendments to the outline planning permission dated 5th December 2014 (ref; 2014/2837) for the for the restoration, extension, alterations and conversion of the Power Station building to provide retail, residential flats, business, cultural, hotel and conference facilities, event space and incidental accommodation; the demolition of other buildings and development of the land surrounding the Power Station and adjacent/nearby sites to provide retail, restaurants bars and cafes, offices, hotel, residential, community and cultural space, assembly and leisure space, student housing, serviced apartments, an energy centre and basement plant; parking for cars, coaches, motorcycles and bicycles; new access and internal road system and servicing; 'off-site' highway works; works to the jetty and riverwall to facilitate river transport and fuel delivery; provision of open space and landscaping. (The Amendments include changes to the residential mix to create additional residential units, the change of use of hotel and serviced apartments in Development Zone RS5 to residential, along with changes to the massing and distribution of land uses in Development Zone RS2 and other consequential changes to facilitate the redevelopment of the adjoining Cringle Dock site (previously sought by application ref: 2015/6359)). An Environmental Statement Addendum has been submitted with the application under the Town and Country Planning (Environmental Impact Assessment) (Amendment) Regulations 2015."/>
    <s v="S73"/>
    <d v="2016-03-02T00:00:00"/>
    <d v="2016-11-08T00:00:00"/>
    <x v="0"/>
    <s v="Nil"/>
    <m/>
    <s v="BF"/>
    <s v="NB"/>
    <x v="1"/>
    <x v="7"/>
    <n v="0.20999999344348899"/>
    <m/>
    <x v="0"/>
    <m/>
    <x v="0"/>
    <s v="M"/>
    <s v="2.1.1"/>
    <m/>
    <n v="152"/>
    <n v="0"/>
    <n v="15"/>
    <n v="0"/>
    <n v="26"/>
    <n v="1"/>
    <n v="31"/>
    <n v="55"/>
    <n v="14"/>
    <n v="25"/>
    <n v="0"/>
    <n v="26"/>
    <n v="1"/>
    <n v="31"/>
    <n v="55"/>
    <n v="14"/>
    <n v="25"/>
    <n v="0"/>
    <n v="0"/>
    <n v="0"/>
    <n v="0"/>
    <n v="0"/>
    <n v="0"/>
    <n v="0"/>
    <n v="0"/>
    <n v="0"/>
    <n v="0"/>
    <n v="0"/>
    <n v="0"/>
    <n v="0"/>
    <n v="0"/>
    <n v="0"/>
    <x v="0"/>
    <x v="1"/>
    <x v="0"/>
    <x v="0"/>
    <x v="0"/>
    <m/>
    <x v="0"/>
    <x v="0"/>
    <n v="21"/>
    <m/>
    <m/>
    <m/>
    <m/>
    <m/>
    <m/>
    <n v="152"/>
    <m/>
    <m/>
    <m/>
    <m/>
    <m/>
    <m/>
    <m/>
    <m/>
    <m/>
    <m/>
    <m/>
    <m/>
    <m/>
    <m/>
    <n v="0"/>
    <n v="152"/>
  </r>
  <r>
    <n v="2411"/>
    <x v="2"/>
    <s v="2017/1680"/>
    <s v="South Lambeth Goods Depot, Cringle St./Battersea Park Rd., Kirtling Street (Battersea Power Station)"/>
    <s v="Phase 5 (RS-6)"/>
    <n v="528934"/>
    <n v="177496"/>
    <x v="12"/>
    <d v="2016-05-16T00:00:00"/>
    <m/>
    <n v="0"/>
    <n v="147"/>
    <n v="147"/>
    <n v="1192"/>
    <n v="1192"/>
    <x v="1"/>
    <s v="Variation of Section 106 Agreement dated 21 November 2016 of planning permission ref. 2016/3778 (for the restoration and alteration of Battersea Power Station and the surrounding land to provide a mixed use development) to relocate 103 affordable homes from Phase 3b to a later phase(s) alongside the 147 units currently located in Phase 5; introduce an up and down end-of-scheme review in relation to the 250 affordable housing units on the main site targeting 15% affordable housing provision; and amend the delivery triggers in respect of Phase 4a so that the affordable housing in that phase will be delivered earlier than is currently required."/>
    <s v="S106"/>
    <d v="2017-03-15T00:00:00"/>
    <d v="2017-11-10T00:00:00"/>
    <x v="0"/>
    <s v="Nil"/>
    <m/>
    <s v="BF"/>
    <s v="NB"/>
    <x v="1"/>
    <x v="7"/>
    <n v="0.18600000441074399"/>
    <m/>
    <x v="0"/>
    <m/>
    <x v="1"/>
    <s v="IU"/>
    <s v="2.1.1"/>
    <m/>
    <n v="147"/>
    <n v="0"/>
    <n v="15"/>
    <n v="0"/>
    <n v="0"/>
    <n v="21"/>
    <n v="71"/>
    <n v="47"/>
    <n v="8"/>
    <n v="0"/>
    <n v="0"/>
    <n v="0"/>
    <n v="21"/>
    <n v="71"/>
    <n v="47"/>
    <n v="8"/>
    <n v="0"/>
    <n v="0"/>
    <n v="0"/>
    <n v="0"/>
    <n v="0"/>
    <n v="0"/>
    <n v="0"/>
    <n v="0"/>
    <n v="0"/>
    <n v="0"/>
    <n v="0"/>
    <n v="0"/>
    <n v="0"/>
    <n v="0"/>
    <n v="0"/>
    <n v="0"/>
    <x v="0"/>
    <x v="1"/>
    <x v="0"/>
    <x v="0"/>
    <x v="0"/>
    <m/>
    <x v="0"/>
    <x v="0"/>
    <n v="21"/>
    <m/>
    <m/>
    <m/>
    <m/>
    <m/>
    <m/>
    <m/>
    <n v="147"/>
    <m/>
    <m/>
    <m/>
    <m/>
    <m/>
    <m/>
    <m/>
    <m/>
    <m/>
    <m/>
    <m/>
    <m/>
    <m/>
    <n v="0"/>
    <n v="147"/>
  </r>
  <r>
    <n v="2411"/>
    <x v="2"/>
    <s v="2017/1680"/>
    <s v="South Lambeth Goods Depot, Cringle St./Battersea Park Rd., Kirtling Street (Battersea Power Station)"/>
    <s v="Phase 5 (RS-6)"/>
    <n v="528934"/>
    <n v="177496"/>
    <x v="12"/>
    <d v="2016-05-16T00:00:00"/>
    <m/>
    <n v="0"/>
    <n v="11"/>
    <n v="11"/>
    <n v="1192"/>
    <n v="1192"/>
    <x v="1"/>
    <s v="Variation of Section 106 Agreement dated 21 November 2016 of planning permission ref. 2016/3778 (for the restoration and alteration of Battersea Power Station and the surrounding land to provide a mixed use development) to relocate 103 affordable homes from Phase 3b to a later phase(s) alongside the 147 units currently located in Phase 5; introduce an up and down end-of-scheme review in relation to the 250 affordable housing units on the main site targeting 15% affordable housing provision; and amend the delivery triggers in respect of Phase 4a so that the affordable housing in that phase will be delivered earlier than is currently required."/>
    <s v="S106"/>
    <d v="2017-03-15T00:00:00"/>
    <d v="2017-11-10T00:00:00"/>
    <x v="0"/>
    <s v="Nil"/>
    <m/>
    <s v="BF"/>
    <s v="NB"/>
    <x v="1"/>
    <x v="7"/>
    <n v="1.4000000432133701E-2"/>
    <m/>
    <x v="0"/>
    <m/>
    <x v="1"/>
    <s v="IR"/>
    <s v="2.1.1"/>
    <m/>
    <n v="11"/>
    <n v="0"/>
    <n v="1"/>
    <n v="0"/>
    <n v="0"/>
    <n v="11"/>
    <n v="0"/>
    <n v="0"/>
    <n v="0"/>
    <n v="0"/>
    <n v="0"/>
    <n v="0"/>
    <n v="11"/>
    <n v="0"/>
    <n v="0"/>
    <n v="0"/>
    <n v="0"/>
    <n v="0"/>
    <n v="0"/>
    <n v="0"/>
    <n v="0"/>
    <n v="0"/>
    <n v="0"/>
    <n v="0"/>
    <n v="0"/>
    <n v="0"/>
    <n v="0"/>
    <n v="0"/>
    <n v="0"/>
    <n v="0"/>
    <n v="0"/>
    <n v="0"/>
    <x v="0"/>
    <x v="1"/>
    <x v="0"/>
    <x v="0"/>
    <x v="0"/>
    <m/>
    <x v="0"/>
    <x v="0"/>
    <n v="21"/>
    <m/>
    <m/>
    <m/>
    <m/>
    <m/>
    <m/>
    <m/>
    <n v="11"/>
    <m/>
    <m/>
    <m/>
    <m/>
    <m/>
    <m/>
    <m/>
    <m/>
    <m/>
    <m/>
    <m/>
    <m/>
    <m/>
    <n v="0"/>
    <n v="11"/>
  </r>
  <r>
    <n v="2411"/>
    <x v="2"/>
    <s v="2017/1680"/>
    <s v="South Lambeth Goods Depot, Cringle St./Battersea Park Rd., Kirtling Street (Battersea Power Station)"/>
    <s v="Phase 6 (RS-2)"/>
    <n v="528934"/>
    <n v="177496"/>
    <x v="12"/>
    <d v="2016-05-16T00:00:00"/>
    <m/>
    <n v="0"/>
    <n v="306"/>
    <n v="306"/>
    <n v="1192"/>
    <n v="1192"/>
    <x v="1"/>
    <s v="Variation of Section 106 Agreement dated 21 November 2016 of planning permission ref. 2016/3778 (for the restoration and alteration of Battersea Power Station and the surrounding land to provide a mixed use development) to relocate 103 affordable homes from Phase 3b to a later phase(s) alongside the 147 units currently located in Phase 5; introduce an up and down end-of-scheme review in relation to the 250 affordable housing units on the main site targeting 15% affordable housing provision; and amend the delivery triggers in respect of Phase 4a so that the affordable housing in that phase will be delivered earlier than is currently required."/>
    <s v="S106"/>
    <d v="2017-03-15T00:00:00"/>
    <d v="2017-11-10T00:00:00"/>
    <x v="0"/>
    <s v="Nil"/>
    <m/>
    <s v="BF"/>
    <s v="NB"/>
    <x v="1"/>
    <x v="7"/>
    <n v="0.38600000739097601"/>
    <m/>
    <x v="0"/>
    <m/>
    <x v="0"/>
    <s v="M"/>
    <s v="2.1.1"/>
    <m/>
    <n v="306"/>
    <n v="0"/>
    <n v="31"/>
    <n v="0"/>
    <n v="29"/>
    <n v="0"/>
    <n v="36"/>
    <n v="140"/>
    <n v="35"/>
    <n v="66"/>
    <n v="0"/>
    <n v="29"/>
    <n v="0"/>
    <n v="36"/>
    <n v="140"/>
    <n v="35"/>
    <n v="66"/>
    <n v="0"/>
    <n v="0"/>
    <n v="0"/>
    <n v="0"/>
    <n v="0"/>
    <n v="0"/>
    <n v="0"/>
    <n v="0"/>
    <n v="0"/>
    <n v="0"/>
    <n v="0"/>
    <n v="0"/>
    <n v="0"/>
    <n v="0"/>
    <n v="0"/>
    <x v="0"/>
    <x v="1"/>
    <x v="0"/>
    <x v="0"/>
    <x v="0"/>
    <m/>
    <x v="0"/>
    <x v="0"/>
    <n v="21"/>
    <m/>
    <m/>
    <m/>
    <m/>
    <m/>
    <n v="306"/>
    <m/>
    <m/>
    <m/>
    <m/>
    <m/>
    <m/>
    <m/>
    <m/>
    <m/>
    <m/>
    <m/>
    <m/>
    <m/>
    <m/>
    <m/>
    <n v="306"/>
    <n v="306"/>
  </r>
  <r>
    <n v="2411"/>
    <x v="2"/>
    <s v="2017/1680"/>
    <s v="South Lambeth Goods Depot, Cringle St./Battersea Park Rd., Kirtling Street (Battersea Power Station)"/>
    <s v="Phase 6 (RS-2)"/>
    <n v="528934"/>
    <n v="177496"/>
    <x v="12"/>
    <d v="2016-05-16T00:00:00"/>
    <m/>
    <n v="0"/>
    <n v="92"/>
    <n v="92"/>
    <n v="1192"/>
    <n v="1192"/>
    <x v="1"/>
    <s v="Variation of Section 106 Agreement dated 21 November 2016 of planning permission ref. 2016/3778 (for the restoration and alteration of Battersea Power Station and the surrounding land to provide a mixed use development) to relocate 103 affordable homes from Phase 3b to a later phase(s) alongside the 147 units currently located in Phase 5; introduce an up and down end-of-scheme review in relation to the 250 affordable housing units on the main site targeting 15% affordable housing provision; and amend the delivery triggers in respect of Phase 4a so that the affordable housing in that phase will be delivered earlier than is currently required."/>
    <s v="S106"/>
    <d v="2017-03-15T00:00:00"/>
    <d v="2017-11-10T00:00:00"/>
    <x v="0"/>
    <s v="Nil"/>
    <m/>
    <s v="BF"/>
    <s v="NB"/>
    <x v="1"/>
    <x v="7"/>
    <n v="0.11599999666214"/>
    <m/>
    <x v="0"/>
    <m/>
    <x v="1"/>
    <s v="IR"/>
    <s v="2.1.1"/>
    <m/>
    <n v="92"/>
    <n v="0"/>
    <n v="9"/>
    <n v="0"/>
    <n v="0"/>
    <n v="41"/>
    <n v="48"/>
    <n v="3"/>
    <n v="0"/>
    <n v="0"/>
    <n v="0"/>
    <n v="0"/>
    <n v="41"/>
    <n v="48"/>
    <n v="3"/>
    <n v="0"/>
    <n v="0"/>
    <n v="0"/>
    <n v="0"/>
    <n v="0"/>
    <n v="0"/>
    <n v="0"/>
    <n v="0"/>
    <n v="0"/>
    <n v="0"/>
    <n v="0"/>
    <n v="0"/>
    <n v="0"/>
    <n v="0"/>
    <n v="0"/>
    <n v="0"/>
    <n v="0"/>
    <x v="0"/>
    <x v="1"/>
    <x v="0"/>
    <x v="0"/>
    <x v="0"/>
    <m/>
    <x v="0"/>
    <x v="0"/>
    <n v="21"/>
    <m/>
    <m/>
    <m/>
    <m/>
    <m/>
    <n v="92"/>
    <m/>
    <m/>
    <m/>
    <m/>
    <m/>
    <m/>
    <m/>
    <m/>
    <m/>
    <m/>
    <m/>
    <m/>
    <m/>
    <m/>
    <m/>
    <n v="92"/>
    <n v="92"/>
  </r>
  <r>
    <n v="2492"/>
    <x v="2"/>
    <s v="2018/5245"/>
    <s v="Flats 7-10 and land rear of, 126 Bedford Hill (Elmfield Road)"/>
    <s v="extension to ex"/>
    <n v="528761"/>
    <n v="172884"/>
    <x v="19"/>
    <m/>
    <m/>
    <n v="0"/>
    <n v="2"/>
    <n v="2"/>
    <n v="3"/>
    <n v="3"/>
    <x v="0"/>
    <s v="Demolition of existing ground floor conservatory, alterations including the erection of a three-to-four storey side/rear extension (plus basement with front and rear lightwells), a single storey front extension, raising of the existing roof and the inclusion of 'winter gardens' to the front elevation; allowing for an increase in floor area to existing flats plus the creation of 2 x 2 bedroom and 1 x 4 bedroom flats; associated boundary treatment, bin and cycle storage."/>
    <s v="PF"/>
    <d v="2018-11-06T00:00:00"/>
    <d v="2019-01-28T00:00:00"/>
    <x v="0"/>
    <s v="Nil"/>
    <m/>
    <s v="BF"/>
    <s v="MIX"/>
    <x v="0"/>
    <x v="3"/>
    <n v="1.09999999403954E-2"/>
    <m/>
    <x v="0"/>
    <m/>
    <x v="0"/>
    <s v="M"/>
    <m/>
    <m/>
    <n v="0"/>
    <n v="0"/>
    <n v="0"/>
    <n v="0"/>
    <n v="0"/>
    <n v="0"/>
    <n v="2"/>
    <n v="0"/>
    <n v="0"/>
    <n v="0"/>
    <n v="0"/>
    <n v="0"/>
    <n v="0"/>
    <n v="2"/>
    <n v="0"/>
    <n v="0"/>
    <n v="0"/>
    <n v="0"/>
    <n v="0"/>
    <n v="0"/>
    <n v="0"/>
    <n v="0"/>
    <n v="0"/>
    <n v="0"/>
    <n v="0"/>
    <n v="0"/>
    <n v="0"/>
    <n v="0"/>
    <n v="0"/>
    <n v="0"/>
    <n v="0"/>
    <n v="0"/>
    <x v="0"/>
    <x v="0"/>
    <x v="0"/>
    <x v="0"/>
    <x v="0"/>
    <m/>
    <x v="0"/>
    <x v="0"/>
    <n v="15"/>
    <m/>
    <n v="0.66666666666666663"/>
    <n v="0.66666666666666663"/>
    <n v="0.66666666666666663"/>
    <m/>
    <m/>
    <m/>
    <m/>
    <m/>
    <m/>
    <m/>
    <m/>
    <m/>
    <m/>
    <m/>
    <m/>
    <m/>
    <m/>
    <m/>
    <m/>
    <m/>
    <n v="2"/>
    <n v="2"/>
  </r>
  <r>
    <n v="2492"/>
    <x v="2"/>
    <s v="2018/5245"/>
    <s v="Flats 7-10 and land rear of, 126 Bedford Hill (Elmfield Road)"/>
    <s v="New Build"/>
    <n v="528761"/>
    <n v="172884"/>
    <x v="19"/>
    <m/>
    <m/>
    <n v="0"/>
    <n v="1"/>
    <n v="1"/>
    <n v="3"/>
    <n v="3"/>
    <x v="0"/>
    <s v="Demolition of existing ground floor conservatory, alterations including the erection of a three-to-four storey side/rear extension (plus basement with front and rear lightwells), a single storey front extension, raising of the existing roof and the inclusion of 'winter gardens' to the front elevation; allowing for an increase in floor area to existing flats plus the creation of 2 x 2 bedroom and 1 x 4 bedroom flats; associated boundary treatment, bin and cycle storage."/>
    <s v="PF"/>
    <d v="2018-11-06T00:00:00"/>
    <d v="2019-01-28T00:00:00"/>
    <x v="0"/>
    <s v="Nil"/>
    <m/>
    <s v="BF"/>
    <s v="MIX"/>
    <x v="0"/>
    <x v="5"/>
    <n v="1.4999999664723899E-2"/>
    <m/>
    <x v="0"/>
    <m/>
    <x v="0"/>
    <s v="M"/>
    <m/>
    <m/>
    <n v="0"/>
    <n v="0"/>
    <n v="0"/>
    <n v="1"/>
    <n v="0"/>
    <n v="0"/>
    <n v="0"/>
    <n v="0"/>
    <n v="1"/>
    <n v="0"/>
    <n v="0"/>
    <n v="0"/>
    <n v="0"/>
    <n v="0"/>
    <n v="0"/>
    <n v="1"/>
    <n v="0"/>
    <n v="0"/>
    <n v="0"/>
    <n v="0"/>
    <n v="0"/>
    <n v="0"/>
    <n v="0"/>
    <n v="0"/>
    <n v="0"/>
    <n v="0"/>
    <n v="0"/>
    <n v="0"/>
    <n v="0"/>
    <n v="0"/>
    <n v="0"/>
    <n v="0"/>
    <x v="0"/>
    <x v="0"/>
    <x v="0"/>
    <x v="0"/>
    <x v="0"/>
    <m/>
    <x v="0"/>
    <x v="0"/>
    <n v="15"/>
    <m/>
    <n v="0.33333333333333331"/>
    <n v="0.33333333333333331"/>
    <n v="0.33333333333333331"/>
    <m/>
    <m/>
    <m/>
    <m/>
    <m/>
    <m/>
    <m/>
    <m/>
    <m/>
    <m/>
    <m/>
    <m/>
    <m/>
    <m/>
    <m/>
    <m/>
    <m/>
    <n v="1"/>
    <n v="1"/>
  </r>
  <r>
    <n v="2502"/>
    <x v="2"/>
    <s v="2010/3703"/>
    <s v="Springfield Hospital site, 61 Glenburnie Road"/>
    <s v="Extra Care"/>
    <n v="527221"/>
    <n v="172443"/>
    <x v="17"/>
    <d v="2015-08-28T00:00:00"/>
    <m/>
    <n v="0"/>
    <n v="46"/>
    <n v="46"/>
    <n v="839"/>
    <n v="839"/>
    <x v="1"/>
    <s v="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
    <s v="RP"/>
    <d v="2010-09-10T00:00:00"/>
    <d v="2011-02-13T00:00:00"/>
    <x v="0"/>
    <s v="APG"/>
    <d v="2012-06-22T00:00:00"/>
    <s v="BF"/>
    <s v="MIX"/>
    <x v="1"/>
    <x v="7"/>
    <n v="0.64399999380111705"/>
    <m/>
    <x v="0"/>
    <m/>
    <x v="2"/>
    <s v="AS"/>
    <s v="9.1"/>
    <m/>
    <n v="46"/>
    <n v="0"/>
    <n v="4"/>
    <n v="0"/>
    <n v="0"/>
    <n v="40"/>
    <n v="6"/>
    <n v="0"/>
    <n v="0"/>
    <n v="0"/>
    <n v="0"/>
    <n v="0"/>
    <n v="40"/>
    <n v="6"/>
    <n v="0"/>
    <n v="0"/>
    <n v="0"/>
    <n v="0"/>
    <n v="0"/>
    <n v="0"/>
    <n v="0"/>
    <n v="0"/>
    <n v="0"/>
    <n v="0"/>
    <n v="0"/>
    <n v="0"/>
    <n v="0"/>
    <n v="0"/>
    <n v="0"/>
    <n v="0"/>
    <n v="0"/>
    <n v="0"/>
    <x v="0"/>
    <x v="0"/>
    <x v="0"/>
    <x v="0"/>
    <x v="0"/>
    <m/>
    <x v="0"/>
    <x v="0"/>
    <n v="7"/>
    <m/>
    <m/>
    <n v="11.802313354363832"/>
    <n v="11.802313354363832"/>
    <n v="11.802313354363832"/>
    <m/>
    <n v="10.593059936908503"/>
    <m/>
    <m/>
    <m/>
    <m/>
    <m/>
    <m/>
    <m/>
    <m/>
    <m/>
    <m/>
    <m/>
    <m/>
    <m/>
    <m/>
    <n v="35.406940063091497"/>
    <n v="46"/>
  </r>
  <r>
    <n v="2502"/>
    <x v="2"/>
    <s v="2010/3703"/>
    <s v="Springfield Hospital site, 61 Glenburnie Road"/>
    <s v="For People with Disabilities"/>
    <n v="527221"/>
    <n v="172443"/>
    <x v="17"/>
    <d v="2015-08-28T00:00:00"/>
    <m/>
    <n v="0"/>
    <n v="10"/>
    <n v="10"/>
    <n v="839"/>
    <n v="839"/>
    <x v="1"/>
    <s v="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
    <s v="RP"/>
    <d v="2010-09-10T00:00:00"/>
    <d v="2011-02-13T00:00:00"/>
    <x v="0"/>
    <s v="APG"/>
    <d v="2012-06-22T00:00:00"/>
    <s v="BF"/>
    <s v="MIX"/>
    <x v="1"/>
    <x v="7"/>
    <n v="1.4000000432133701E-2"/>
    <m/>
    <x v="0"/>
    <m/>
    <x v="2"/>
    <s v="AA"/>
    <s v="9.1"/>
    <m/>
    <n v="10"/>
    <n v="0"/>
    <n v="1"/>
    <n v="0"/>
    <n v="0"/>
    <n v="10"/>
    <n v="0"/>
    <n v="0"/>
    <n v="0"/>
    <n v="0"/>
    <n v="0"/>
    <n v="0"/>
    <n v="10"/>
    <n v="0"/>
    <n v="0"/>
    <n v="0"/>
    <n v="0"/>
    <n v="0"/>
    <n v="0"/>
    <n v="0"/>
    <n v="0"/>
    <n v="0"/>
    <n v="0"/>
    <n v="0"/>
    <n v="0"/>
    <n v="0"/>
    <n v="0"/>
    <n v="0"/>
    <n v="0"/>
    <n v="0"/>
    <n v="0"/>
    <n v="0"/>
    <x v="0"/>
    <x v="0"/>
    <x v="0"/>
    <x v="0"/>
    <x v="0"/>
    <m/>
    <x v="0"/>
    <x v="0"/>
    <n v="7"/>
    <m/>
    <m/>
    <n v="2.5657202944269204"/>
    <n v="2.5657202944269204"/>
    <n v="2.5657202944269204"/>
    <m/>
    <n v="2.3028391167192401"/>
    <m/>
    <m/>
    <m/>
    <m/>
    <m/>
    <m/>
    <m/>
    <m/>
    <m/>
    <m/>
    <m/>
    <m/>
    <m/>
    <m/>
    <n v="7.6971608832807608"/>
    <n v="10"/>
  </r>
  <r>
    <n v="2502"/>
    <x v="2"/>
    <s v="2010/3703"/>
    <s v="Springfield Hospital site, 61 Glenburnie Road"/>
    <m/>
    <n v="527221"/>
    <n v="172443"/>
    <x v="17"/>
    <d v="2015-08-28T00:00:00"/>
    <m/>
    <n v="0"/>
    <n v="383"/>
    <n v="383"/>
    <n v="839"/>
    <n v="839"/>
    <x v="1"/>
    <s v="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
    <s v="RP"/>
    <d v="2010-09-10T00:00:00"/>
    <d v="2011-02-13T00:00:00"/>
    <x v="0"/>
    <s v="APG"/>
    <d v="2012-06-22T00:00:00"/>
    <s v="BF"/>
    <s v="MIX"/>
    <x v="1"/>
    <x v="7"/>
    <n v="5.72300004959106"/>
    <m/>
    <x v="0"/>
    <m/>
    <x v="0"/>
    <s v="M"/>
    <s v="9.1"/>
    <m/>
    <n v="409"/>
    <n v="0"/>
    <n v="40"/>
    <n v="0"/>
    <n v="0"/>
    <n v="87"/>
    <n v="105"/>
    <n v="107"/>
    <n v="24"/>
    <n v="60"/>
    <n v="0"/>
    <n v="0"/>
    <n v="87"/>
    <n v="67"/>
    <n v="36"/>
    <n v="0"/>
    <n v="0"/>
    <n v="0"/>
    <n v="0"/>
    <n v="0"/>
    <n v="38"/>
    <n v="71"/>
    <n v="24"/>
    <n v="60"/>
    <n v="0"/>
    <n v="0"/>
    <n v="0"/>
    <n v="0"/>
    <n v="0"/>
    <n v="0"/>
    <n v="0"/>
    <n v="0"/>
    <x v="0"/>
    <x v="0"/>
    <x v="0"/>
    <x v="0"/>
    <x v="0"/>
    <m/>
    <x v="0"/>
    <x v="0"/>
    <n v="7"/>
    <m/>
    <m/>
    <n v="38.333333333333336"/>
    <n v="38.333333333333336"/>
    <n v="38.333333333333336"/>
    <m/>
    <n v="268"/>
    <m/>
    <m/>
    <m/>
    <m/>
    <m/>
    <m/>
    <m/>
    <m/>
    <m/>
    <m/>
    <m/>
    <m/>
    <m/>
    <m/>
    <n v="115"/>
    <n v="383"/>
  </r>
  <r>
    <n v="2502"/>
    <x v="2"/>
    <s v="2010/3703"/>
    <s v="Springfield Hospital site, 61 Glenburnie Road"/>
    <m/>
    <n v="527221"/>
    <n v="172443"/>
    <x v="17"/>
    <d v="2015-08-28T00:00:00"/>
    <m/>
    <n v="0"/>
    <n v="262"/>
    <n v="262"/>
    <n v="839"/>
    <n v="839"/>
    <x v="1"/>
    <s v="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
    <s v="RP"/>
    <d v="2010-09-10T00:00:00"/>
    <d v="2011-02-13T00:00:00"/>
    <x v="0"/>
    <s v="APG"/>
    <d v="2012-06-22T00:00:00"/>
    <s v="BF"/>
    <s v="MIX"/>
    <x v="5"/>
    <x v="7"/>
    <n v="3.6659998893737802"/>
    <m/>
    <x v="0"/>
    <m/>
    <x v="0"/>
    <s v="M"/>
    <s v="9.1"/>
    <m/>
    <n v="262"/>
    <n v="0"/>
    <n v="26"/>
    <n v="0"/>
    <n v="0"/>
    <n v="41"/>
    <n v="150"/>
    <n v="71"/>
    <n v="0"/>
    <n v="0"/>
    <n v="0"/>
    <n v="0"/>
    <n v="41"/>
    <n v="150"/>
    <n v="70"/>
    <n v="0"/>
    <n v="0"/>
    <n v="0"/>
    <n v="0"/>
    <n v="0"/>
    <n v="0"/>
    <n v="1"/>
    <n v="0"/>
    <n v="0"/>
    <n v="0"/>
    <n v="0"/>
    <n v="0"/>
    <n v="0"/>
    <n v="0"/>
    <n v="0"/>
    <n v="0"/>
    <n v="0"/>
    <x v="0"/>
    <x v="0"/>
    <x v="0"/>
    <x v="0"/>
    <x v="0"/>
    <m/>
    <x v="0"/>
    <x v="0"/>
    <n v="16"/>
    <m/>
    <m/>
    <m/>
    <m/>
    <m/>
    <m/>
    <n v="262"/>
    <m/>
    <m/>
    <m/>
    <m/>
    <m/>
    <m/>
    <m/>
    <m/>
    <m/>
    <m/>
    <m/>
    <m/>
    <m/>
    <m/>
    <n v="0"/>
    <n v="262"/>
  </r>
  <r>
    <n v="2502"/>
    <x v="2"/>
    <s v="2010/3703"/>
    <s v="Springfield Hospital site, 61 Glenburnie Road"/>
    <m/>
    <n v="527221"/>
    <n v="172443"/>
    <x v="17"/>
    <d v="2015-08-28T00:00:00"/>
    <m/>
    <n v="0"/>
    <n v="69"/>
    <n v="69"/>
    <n v="839"/>
    <n v="839"/>
    <x v="1"/>
    <s v="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
    <s v="RP"/>
    <d v="2010-09-10T00:00:00"/>
    <d v="2011-02-13T00:00:00"/>
    <x v="0"/>
    <s v="APG"/>
    <d v="2012-06-22T00:00:00"/>
    <s v="BF"/>
    <s v="MIX"/>
    <x v="1"/>
    <x v="7"/>
    <n v="0.96600002050399802"/>
    <m/>
    <x v="0"/>
    <m/>
    <x v="2"/>
    <s v="AA"/>
    <s v="9.1"/>
    <m/>
    <n v="69"/>
    <n v="0"/>
    <n v="6"/>
    <n v="0"/>
    <n v="0"/>
    <n v="0"/>
    <n v="10"/>
    <n v="52"/>
    <n v="7"/>
    <n v="0"/>
    <n v="0"/>
    <n v="0"/>
    <n v="0"/>
    <n v="0"/>
    <n v="0"/>
    <n v="0"/>
    <n v="0"/>
    <n v="0"/>
    <n v="0"/>
    <n v="0"/>
    <n v="10"/>
    <n v="52"/>
    <n v="7"/>
    <n v="0"/>
    <n v="0"/>
    <n v="0"/>
    <n v="0"/>
    <n v="0"/>
    <n v="0"/>
    <n v="0"/>
    <n v="0"/>
    <n v="0"/>
    <x v="0"/>
    <x v="0"/>
    <x v="0"/>
    <x v="0"/>
    <x v="0"/>
    <m/>
    <x v="0"/>
    <x v="0"/>
    <n v="7"/>
    <m/>
    <m/>
    <n v="17.703470031545748"/>
    <n v="17.703470031545748"/>
    <n v="17.703470031545748"/>
    <m/>
    <n v="15.889589905362756"/>
    <m/>
    <m/>
    <m/>
    <m/>
    <m/>
    <m/>
    <m/>
    <m/>
    <m/>
    <m/>
    <m/>
    <m/>
    <m/>
    <m/>
    <n v="53.110410094637245"/>
    <n v="69"/>
  </r>
  <r>
    <n v="2502"/>
    <x v="2"/>
    <s v="2010/3703"/>
    <s v="Springfield Hospital site, 61 Glenburnie Road"/>
    <m/>
    <n v="527221"/>
    <n v="172443"/>
    <x v="17"/>
    <d v="2015-08-28T00:00:00"/>
    <m/>
    <n v="0"/>
    <n v="43"/>
    <n v="43"/>
    <n v="839"/>
    <n v="839"/>
    <x v="1"/>
    <s v="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
    <s v="RP"/>
    <d v="2010-09-10T00:00:00"/>
    <d v="2011-02-13T00:00:00"/>
    <x v="0"/>
    <s v="APG"/>
    <d v="2012-06-22T00:00:00"/>
    <s v="BF"/>
    <s v="MIX"/>
    <x v="1"/>
    <x v="7"/>
    <n v="0.60199999809265103"/>
    <m/>
    <x v="0"/>
    <m/>
    <x v="1"/>
    <s v="ISO"/>
    <s v="9.1"/>
    <m/>
    <n v="43"/>
    <n v="0"/>
    <n v="4"/>
    <n v="0"/>
    <n v="0"/>
    <n v="15"/>
    <n v="18"/>
    <n v="10"/>
    <n v="0"/>
    <n v="0"/>
    <n v="0"/>
    <n v="0"/>
    <n v="15"/>
    <n v="11"/>
    <n v="10"/>
    <n v="0"/>
    <n v="0"/>
    <n v="0"/>
    <n v="0"/>
    <n v="0"/>
    <n v="7"/>
    <n v="0"/>
    <n v="0"/>
    <n v="0"/>
    <n v="0"/>
    <n v="0"/>
    <n v="0"/>
    <n v="0"/>
    <n v="0"/>
    <n v="0"/>
    <n v="0"/>
    <n v="0"/>
    <x v="0"/>
    <x v="0"/>
    <x v="0"/>
    <x v="0"/>
    <x v="0"/>
    <m/>
    <x v="0"/>
    <x v="0"/>
    <n v="7"/>
    <m/>
    <m/>
    <n v="11.032597266035756"/>
    <n v="11.032597266035756"/>
    <n v="11.032597266035756"/>
    <m/>
    <n v="9.9022082018927318"/>
    <m/>
    <m/>
    <m/>
    <m/>
    <m/>
    <m/>
    <m/>
    <m/>
    <m/>
    <m/>
    <m/>
    <m/>
    <m/>
    <m/>
    <n v="33.097791798107266"/>
    <n v="43"/>
  </r>
  <r>
    <n v="2504"/>
    <x v="2"/>
    <s v="2017/6683"/>
    <s v="Garages rear of 60, Granville Road (Land adjoining playing field Viewfield Road)"/>
    <m/>
    <n v="524835"/>
    <n v="173907"/>
    <x v="5"/>
    <m/>
    <m/>
    <n v="0"/>
    <n v="1"/>
    <n v="1"/>
    <n v="1"/>
    <n v="1"/>
    <x v="0"/>
    <s v="Demoliton of existing double garages and erection of single-storey plus basement level one-bedroom house."/>
    <s v="PF"/>
    <d v="2019-07-24T00:00:00"/>
    <d v="2019-08-23T00:00:00"/>
    <x v="1"/>
    <s v="Nil"/>
    <m/>
    <s v="BF"/>
    <s v="NB"/>
    <x v="0"/>
    <x v="5"/>
    <n v="4.9999998882412902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2517"/>
    <x v="2"/>
    <s v="2018/3232"/>
    <s v="Land rear of 144, Wandsworth High Street"/>
    <m/>
    <n v="525267"/>
    <n v="174685"/>
    <x v="2"/>
    <m/>
    <m/>
    <n v="0"/>
    <n v="1"/>
    <n v="1"/>
    <n v="1"/>
    <n v="1"/>
    <x v="0"/>
    <s v="Erection of a two-storey (plus basement) 3-bedroom house with associated refuse and cycle storage."/>
    <s v="PF"/>
    <d v="2018-07-10T00:00:00"/>
    <d v="2018-10-19T00:00:00"/>
    <x v="0"/>
    <s v="Nil"/>
    <m/>
    <s v="BF"/>
    <s v="NB"/>
    <x v="0"/>
    <x v="5"/>
    <n v="8.0000003799796104E-3"/>
    <m/>
    <x v="0"/>
    <m/>
    <x v="0"/>
    <s v="M"/>
    <m/>
    <m/>
    <n v="0"/>
    <n v="0"/>
    <n v="0"/>
    <n v="0"/>
    <n v="0"/>
    <n v="0"/>
    <n v="0"/>
    <n v="1"/>
    <n v="0"/>
    <n v="0"/>
    <n v="0"/>
    <n v="0"/>
    <n v="0"/>
    <n v="0"/>
    <n v="0"/>
    <n v="0"/>
    <n v="0"/>
    <n v="0"/>
    <n v="0"/>
    <n v="0"/>
    <n v="0"/>
    <n v="1"/>
    <n v="0"/>
    <n v="0"/>
    <n v="0"/>
    <n v="0"/>
    <n v="0"/>
    <n v="0"/>
    <n v="0"/>
    <n v="0"/>
    <n v="0"/>
    <n v="0"/>
    <x v="0"/>
    <x v="0"/>
    <x v="0"/>
    <x v="0"/>
    <x v="0"/>
    <m/>
    <x v="0"/>
    <x v="0"/>
    <n v="6"/>
    <m/>
    <m/>
    <n v="0.25"/>
    <n v="0.25"/>
    <n v="0.25"/>
    <n v="0.25"/>
    <m/>
    <m/>
    <m/>
    <m/>
    <m/>
    <m/>
    <m/>
    <m/>
    <m/>
    <m/>
    <m/>
    <m/>
    <m/>
    <m/>
    <m/>
    <n v="1"/>
    <n v="1"/>
  </r>
  <r>
    <n v="2530"/>
    <x v="2"/>
    <s v="2019/2924"/>
    <s v="193-197 Upper Tooting Road"/>
    <s v="193"/>
    <n v="527684"/>
    <n v="171814"/>
    <x v="1"/>
    <m/>
    <m/>
    <n v="1"/>
    <n v="2"/>
    <n v="1"/>
    <n v="6"/>
    <n v="3"/>
    <x v="0"/>
    <s v="Alterations including erection of roof extension to create an additional storey with accommodation in the roof above; part 1/2/3 storey rear extensions; rear external staircase to provide access to upper floors of nos. 193 and 195; in connection with creation of 5 x 2-bedroom and 1 x 1 bedroom flats on upper floors."/>
    <s v="PF"/>
    <d v="2019-08-02T00:00:00"/>
    <d v="2020-02-24T00:00:00"/>
    <x v="1"/>
    <s v="Nil"/>
    <m/>
    <s v="BF"/>
    <s v="MIX"/>
    <x v="0"/>
    <x v="3"/>
    <n v="8.0000003799796104E-3"/>
    <m/>
    <x v="0"/>
    <m/>
    <x v="0"/>
    <s v="M"/>
    <m/>
    <m/>
    <n v="0"/>
    <n v="0"/>
    <n v="0"/>
    <n v="0"/>
    <n v="0"/>
    <n v="2"/>
    <n v="-1"/>
    <n v="0"/>
    <n v="0"/>
    <n v="0"/>
    <n v="0"/>
    <n v="0"/>
    <n v="2"/>
    <n v="-1"/>
    <n v="0"/>
    <n v="0"/>
    <n v="0"/>
    <n v="0"/>
    <n v="0"/>
    <n v="0"/>
    <n v="0"/>
    <n v="0"/>
    <n v="0"/>
    <n v="0"/>
    <n v="0"/>
    <n v="0"/>
    <n v="0"/>
    <n v="0"/>
    <n v="0"/>
    <n v="0"/>
    <n v="0"/>
    <n v="0"/>
    <x v="4"/>
    <x v="0"/>
    <x v="0"/>
    <x v="0"/>
    <x v="0"/>
    <m/>
    <x v="0"/>
    <x v="0"/>
    <n v="18"/>
    <m/>
    <m/>
    <n v="0.25"/>
    <n v="0.25"/>
    <n v="0.25"/>
    <n v="0.25"/>
    <m/>
    <m/>
    <m/>
    <m/>
    <m/>
    <m/>
    <m/>
    <m/>
    <m/>
    <m/>
    <m/>
    <m/>
    <m/>
    <m/>
    <m/>
    <n v="1"/>
    <n v="1"/>
  </r>
  <r>
    <n v="2530"/>
    <x v="2"/>
    <s v="2019/2924"/>
    <s v="193-197 Upper Tooting Road"/>
    <s v="195"/>
    <n v="527684"/>
    <n v="171814"/>
    <x v="1"/>
    <m/>
    <m/>
    <n v="1"/>
    <n v="2"/>
    <n v="1"/>
    <n v="6"/>
    <n v="3"/>
    <x v="0"/>
    <s v="Alterations including erection of roof extension to create an additional storey with accommodation in the roof above; part 1/2/3 storey rear extensions; rear external staircase to provide access to upper floors of nos. 193 and 195; in connection with creation of 5 x 2-bedroom and 1 x 1 bedroom flats on upper floors."/>
    <s v="PF"/>
    <d v="2019-08-02T00:00:00"/>
    <d v="2020-02-24T00:00:00"/>
    <x v="1"/>
    <s v="Nil"/>
    <m/>
    <s v="BF"/>
    <s v="MIX"/>
    <x v="0"/>
    <x v="3"/>
    <n v="8.0000003799796104E-3"/>
    <m/>
    <x v="0"/>
    <m/>
    <x v="0"/>
    <s v="M"/>
    <m/>
    <m/>
    <n v="0"/>
    <n v="0"/>
    <n v="0"/>
    <n v="0"/>
    <n v="0"/>
    <n v="0"/>
    <n v="1"/>
    <n v="0"/>
    <n v="0"/>
    <n v="0"/>
    <n v="0"/>
    <n v="0"/>
    <n v="0"/>
    <n v="1"/>
    <n v="0"/>
    <n v="0"/>
    <n v="0"/>
    <n v="0"/>
    <n v="0"/>
    <n v="0"/>
    <n v="0"/>
    <n v="0"/>
    <n v="0"/>
    <n v="0"/>
    <n v="0"/>
    <n v="0"/>
    <n v="0"/>
    <n v="0"/>
    <n v="0"/>
    <n v="0"/>
    <n v="0"/>
    <n v="0"/>
    <x v="4"/>
    <x v="0"/>
    <x v="0"/>
    <x v="0"/>
    <x v="0"/>
    <m/>
    <x v="0"/>
    <x v="0"/>
    <n v="18"/>
    <m/>
    <m/>
    <n v="0.25"/>
    <n v="0.25"/>
    <n v="0.25"/>
    <n v="0.25"/>
    <m/>
    <m/>
    <m/>
    <m/>
    <m/>
    <m/>
    <m/>
    <m/>
    <m/>
    <m/>
    <m/>
    <m/>
    <m/>
    <m/>
    <m/>
    <n v="1"/>
    <n v="1"/>
  </r>
  <r>
    <n v="2530"/>
    <x v="2"/>
    <s v="2019/2924"/>
    <s v="193-197 Upper Tooting Road"/>
    <s v="197"/>
    <n v="527684"/>
    <n v="171814"/>
    <x v="1"/>
    <m/>
    <m/>
    <n v="1"/>
    <n v="2"/>
    <n v="1"/>
    <n v="6"/>
    <n v="3"/>
    <x v="0"/>
    <s v="Alterations including erection of roof extension to create an additional storey with accommodation in the roof above; part 1/2/3 storey rear extensions; rear external staircase to provide access to upper floors of nos. 193 and 195; in connection with creation of 5 x 2-bedroom and 1 x 1 bedroom flats on upper floors."/>
    <s v="PF"/>
    <d v="2019-08-02T00:00:00"/>
    <d v="2020-02-24T00:00:00"/>
    <x v="1"/>
    <s v="Nil"/>
    <m/>
    <s v="BF"/>
    <s v="MIX"/>
    <x v="0"/>
    <x v="3"/>
    <n v="7.0000002160668399E-3"/>
    <m/>
    <x v="0"/>
    <m/>
    <x v="0"/>
    <s v="M"/>
    <m/>
    <m/>
    <n v="0"/>
    <n v="0"/>
    <n v="0"/>
    <n v="0"/>
    <n v="0"/>
    <n v="1"/>
    <n v="0"/>
    <n v="0"/>
    <n v="0"/>
    <n v="0"/>
    <n v="0"/>
    <n v="0"/>
    <n v="1"/>
    <n v="0"/>
    <n v="0"/>
    <n v="0"/>
    <n v="0"/>
    <n v="0"/>
    <n v="0"/>
    <n v="0"/>
    <n v="0"/>
    <n v="0"/>
    <n v="0"/>
    <n v="0"/>
    <n v="0"/>
    <n v="0"/>
    <n v="0"/>
    <n v="0"/>
    <n v="0"/>
    <n v="0"/>
    <n v="0"/>
    <n v="0"/>
    <x v="4"/>
    <x v="0"/>
    <x v="0"/>
    <x v="0"/>
    <x v="0"/>
    <m/>
    <x v="0"/>
    <x v="0"/>
    <n v="18"/>
    <m/>
    <m/>
    <n v="0.25"/>
    <n v="0.25"/>
    <n v="0.25"/>
    <n v="0.25"/>
    <m/>
    <m/>
    <m/>
    <m/>
    <m/>
    <m/>
    <m/>
    <m/>
    <m/>
    <m/>
    <m/>
    <m/>
    <m/>
    <m/>
    <m/>
    <n v="1"/>
    <n v="1"/>
  </r>
  <r>
    <n v="2589"/>
    <x v="2"/>
    <s v="2018/0153"/>
    <s v="24 Southolm Street"/>
    <m/>
    <n v="528730"/>
    <n v="176714"/>
    <x v="12"/>
    <m/>
    <m/>
    <n v="0"/>
    <n v="1"/>
    <n v="1"/>
    <n v="1"/>
    <n v="1"/>
    <x v="0"/>
    <s v="Alterations including the erection of a part two, part three storey rear extension in connection with the conversion of the property from HMO (Use Class C4) to a single dwellinghouse (Use Class C3)."/>
    <s v="PF"/>
    <d v="2018-01-23T00:00:00"/>
    <d v="2018-05-16T00:00:00"/>
    <x v="0"/>
    <s v="Nil"/>
    <m/>
    <s v="BF"/>
    <s v="MIX"/>
    <x v="0"/>
    <x v="8"/>
    <n v="8.0000003799796104E-3"/>
    <m/>
    <x v="0"/>
    <m/>
    <x v="0"/>
    <s v="M"/>
    <m/>
    <m/>
    <n v="0"/>
    <n v="0"/>
    <n v="0"/>
    <n v="0"/>
    <n v="0"/>
    <n v="0"/>
    <n v="0"/>
    <n v="0"/>
    <n v="1"/>
    <n v="0"/>
    <n v="0"/>
    <n v="0"/>
    <n v="0"/>
    <n v="0"/>
    <n v="0"/>
    <n v="0"/>
    <n v="0"/>
    <n v="0"/>
    <n v="0"/>
    <n v="0"/>
    <n v="0"/>
    <n v="0"/>
    <n v="1"/>
    <n v="0"/>
    <n v="0"/>
    <n v="0"/>
    <n v="0"/>
    <n v="0"/>
    <n v="0"/>
    <n v="0"/>
    <n v="0"/>
    <n v="0"/>
    <x v="0"/>
    <x v="0"/>
    <x v="0"/>
    <x v="0"/>
    <x v="0"/>
    <m/>
    <x v="0"/>
    <x v="0"/>
    <n v="15"/>
    <m/>
    <n v="0.33333333333333331"/>
    <n v="0.33333333333333331"/>
    <n v="0.33333333333333331"/>
    <m/>
    <m/>
    <m/>
    <m/>
    <m/>
    <m/>
    <m/>
    <m/>
    <m/>
    <m/>
    <m/>
    <m/>
    <m/>
    <m/>
    <m/>
    <m/>
    <m/>
    <n v="1"/>
    <n v="1"/>
  </r>
  <r>
    <n v="2634"/>
    <x v="2"/>
    <s v="2018/0079"/>
    <s v="130-132 Wandsworth High Street"/>
    <m/>
    <n v="525348"/>
    <n v="174690"/>
    <x v="2"/>
    <m/>
    <m/>
    <n v="2"/>
    <n v="8"/>
    <n v="6"/>
    <n v="8"/>
    <n v="6"/>
    <x v="0"/>
    <s v="Demolition of existing two-storey building and erection of a six-storey building to provide a commercial unit (for either A1-A5 or D2 use) on the ground floor, and one studio, 6 x 1-bedroom flats; 1 x 2-bedroom flat, with associated roof terraces, on the upper floors."/>
    <s v="PF"/>
    <d v="2018-01-08T00:00:00"/>
    <d v="2018-03-23T00:00:00"/>
    <x v="0"/>
    <s v="Nil"/>
    <m/>
    <s v="BF"/>
    <s v="NB"/>
    <x v="0"/>
    <x v="5"/>
    <n v="1.4000000432133701E-2"/>
    <m/>
    <x v="0"/>
    <m/>
    <x v="0"/>
    <s v="M"/>
    <m/>
    <m/>
    <n v="0"/>
    <n v="7"/>
    <n v="0"/>
    <n v="1"/>
    <n v="1"/>
    <n v="4"/>
    <n v="1"/>
    <n v="0"/>
    <n v="0"/>
    <n v="0"/>
    <n v="0"/>
    <n v="1"/>
    <n v="4"/>
    <n v="1"/>
    <n v="0"/>
    <n v="0"/>
    <n v="0"/>
    <n v="0"/>
    <n v="0"/>
    <n v="0"/>
    <n v="0"/>
    <n v="0"/>
    <n v="0"/>
    <n v="0"/>
    <n v="0"/>
    <n v="0"/>
    <n v="0"/>
    <n v="0"/>
    <n v="0"/>
    <n v="0"/>
    <n v="0"/>
    <n v="0"/>
    <x v="3"/>
    <x v="0"/>
    <x v="1"/>
    <x v="0"/>
    <x v="0"/>
    <m/>
    <x v="0"/>
    <x v="0"/>
    <n v="9"/>
    <m/>
    <m/>
    <m/>
    <m/>
    <n v="2"/>
    <n v="2"/>
    <n v="2"/>
    <m/>
    <m/>
    <m/>
    <m/>
    <m/>
    <m/>
    <m/>
    <m/>
    <m/>
    <m/>
    <m/>
    <m/>
    <m/>
    <m/>
    <n v="4"/>
    <n v="6"/>
  </r>
  <r>
    <n v="2641"/>
    <x v="2"/>
    <s v="2012/3960"/>
    <s v="Garages between 77 &amp; 85, Ravenslea Road"/>
    <m/>
    <n v="527902"/>
    <n v="173411"/>
    <x v="3"/>
    <d v="2015-11-24T00:00:00"/>
    <m/>
    <n v="0"/>
    <n v="5"/>
    <n v="5"/>
    <n v="5"/>
    <n v="5"/>
    <x v="0"/>
    <s v="Demolition of existing single-storey garages and erection of a three-storey building to provide 5 flats, with associated amenity space including balconies and roof terraces, with cycle store to rear and relocation of entrance to existing allotments at rear."/>
    <s v="PF"/>
    <d v="2012-09-14T00:00:00"/>
    <d v="2012-12-19T00:00:00"/>
    <x v="0"/>
    <s v="Nil"/>
    <m/>
    <s v="BF"/>
    <s v="NB"/>
    <x v="0"/>
    <x v="5"/>
    <n v="4.1999999433755902E-2"/>
    <m/>
    <x v="0"/>
    <m/>
    <x v="0"/>
    <s v="M"/>
    <m/>
    <m/>
    <n v="5"/>
    <n v="0"/>
    <n v="0"/>
    <n v="0"/>
    <n v="0"/>
    <n v="0"/>
    <n v="4"/>
    <n v="1"/>
    <n v="0"/>
    <n v="0"/>
    <n v="0"/>
    <n v="0"/>
    <n v="0"/>
    <n v="4"/>
    <n v="1"/>
    <n v="0"/>
    <n v="0"/>
    <n v="0"/>
    <n v="0"/>
    <n v="0"/>
    <n v="0"/>
    <n v="0"/>
    <n v="0"/>
    <n v="0"/>
    <n v="0"/>
    <n v="0"/>
    <n v="0"/>
    <n v="0"/>
    <n v="0"/>
    <n v="0"/>
    <n v="0"/>
    <n v="0"/>
    <x v="0"/>
    <x v="0"/>
    <x v="0"/>
    <x v="0"/>
    <x v="0"/>
    <m/>
    <x v="0"/>
    <x v="0"/>
    <n v="6"/>
    <m/>
    <m/>
    <n v="1.25"/>
    <n v="1.25"/>
    <n v="1.25"/>
    <n v="1.25"/>
    <m/>
    <m/>
    <m/>
    <m/>
    <m/>
    <m/>
    <m/>
    <m/>
    <m/>
    <m/>
    <m/>
    <m/>
    <m/>
    <m/>
    <m/>
    <n v="5"/>
    <n v="5"/>
  </r>
  <r>
    <n v="2707"/>
    <x v="2"/>
    <s v="2016/5007"/>
    <s v="Garages rear of 168, Bedford Hill"/>
    <m/>
    <n v="528836"/>
    <n v="172626"/>
    <x v="19"/>
    <m/>
    <m/>
    <n v="0"/>
    <n v="1"/>
    <n v="1"/>
    <n v="1"/>
    <n v="1"/>
    <x v="0"/>
    <s v="Demolition of existing garage and erection of a single-storey (plus basement) 1-bedroom house. Replacement of existing boundary wall fronting Ritherdon Road."/>
    <s v="PF"/>
    <d v="2016-08-22T00:00:00"/>
    <d v="2016-10-17T00:00:00"/>
    <x v="0"/>
    <s v="Nil"/>
    <m/>
    <s v="BF"/>
    <s v="NB"/>
    <x v="0"/>
    <x v="5"/>
    <n v="4.9999998882412902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2708"/>
    <x v="2"/>
    <s v="2018/0283"/>
    <s v="Garages rear of 194, Bedford Hill"/>
    <m/>
    <n v="528946"/>
    <n v="172480"/>
    <x v="19"/>
    <m/>
    <m/>
    <n v="0"/>
    <n v="1"/>
    <n v="1"/>
    <n v="1"/>
    <n v="1"/>
    <x v="0"/>
    <s v="Demolition of existing garage and erection of a single-storey (plus basement) 1-bedroom detached house including alterations to the front boundary wall."/>
    <s v="PF"/>
    <d v="2018-02-16T00:00:00"/>
    <d v="2018-06-11T00:00:00"/>
    <x v="0"/>
    <s v="Nil"/>
    <m/>
    <s v="BF"/>
    <s v="NB"/>
    <x v="0"/>
    <x v="5"/>
    <n v="8.9999996125698107E-3"/>
    <m/>
    <x v="0"/>
    <m/>
    <x v="0"/>
    <s v="M"/>
    <m/>
    <m/>
    <n v="0"/>
    <n v="1"/>
    <n v="0"/>
    <n v="0"/>
    <n v="0"/>
    <n v="1"/>
    <n v="0"/>
    <n v="0"/>
    <n v="0"/>
    <n v="0"/>
    <n v="0"/>
    <n v="0"/>
    <n v="0"/>
    <n v="0"/>
    <n v="0"/>
    <n v="0"/>
    <n v="0"/>
    <n v="0"/>
    <n v="0"/>
    <n v="1"/>
    <n v="0"/>
    <n v="0"/>
    <n v="0"/>
    <n v="0"/>
    <n v="0"/>
    <n v="0"/>
    <n v="0"/>
    <n v="0"/>
    <n v="0"/>
    <n v="0"/>
    <n v="0"/>
    <n v="0"/>
    <x v="0"/>
    <x v="0"/>
    <x v="0"/>
    <x v="0"/>
    <x v="0"/>
    <m/>
    <x v="0"/>
    <x v="0"/>
    <n v="6"/>
    <m/>
    <m/>
    <n v="0.25"/>
    <n v="0.25"/>
    <n v="0.25"/>
    <n v="0.25"/>
    <m/>
    <m/>
    <m/>
    <m/>
    <m/>
    <m/>
    <m/>
    <m/>
    <m/>
    <m/>
    <m/>
    <m/>
    <m/>
    <m/>
    <m/>
    <n v="1"/>
    <n v="1"/>
  </r>
  <r>
    <n v="2776"/>
    <x v="2"/>
    <s v="2019/5025"/>
    <s v="30 Roehampton Gate"/>
    <m/>
    <n v="521212"/>
    <n v="174400"/>
    <x v="13"/>
    <m/>
    <m/>
    <n v="1"/>
    <n v="1"/>
    <n v="0"/>
    <n v="1"/>
    <n v="0"/>
    <x v="0"/>
    <s v="Demolition of existing dwelling and erection of a three-storey plus basement 4-bedroom house."/>
    <s v="PF"/>
    <d v="2019-12-10T00:00:00"/>
    <d v="2020-01-17T00:00:00"/>
    <x v="1"/>
    <s v="Nil"/>
    <m/>
    <s v="BF"/>
    <s v="NB"/>
    <x v="0"/>
    <x v="5"/>
    <n v="6.5999999642372104E-2"/>
    <m/>
    <x v="0"/>
    <m/>
    <x v="0"/>
    <s v="M"/>
    <m/>
    <m/>
    <n v="0"/>
    <n v="0"/>
    <n v="0"/>
    <n v="0"/>
    <n v="0"/>
    <n v="0"/>
    <n v="0"/>
    <n v="0"/>
    <n v="1"/>
    <n v="-1"/>
    <n v="0"/>
    <n v="0"/>
    <n v="0"/>
    <n v="0"/>
    <n v="0"/>
    <n v="0"/>
    <n v="0"/>
    <n v="0"/>
    <n v="0"/>
    <n v="0"/>
    <n v="0"/>
    <n v="0"/>
    <n v="1"/>
    <n v="-1"/>
    <n v="0"/>
    <n v="0"/>
    <n v="0"/>
    <n v="0"/>
    <n v="0"/>
    <n v="0"/>
    <n v="0"/>
    <n v="0"/>
    <x v="0"/>
    <x v="0"/>
    <x v="0"/>
    <x v="0"/>
    <x v="0"/>
    <m/>
    <x v="0"/>
    <x v="0"/>
    <n v="6"/>
    <m/>
    <m/>
    <n v="0"/>
    <n v="0"/>
    <n v="0"/>
    <n v="0"/>
    <m/>
    <m/>
    <m/>
    <m/>
    <m/>
    <m/>
    <m/>
    <m/>
    <m/>
    <m/>
    <m/>
    <m/>
    <m/>
    <m/>
    <m/>
    <n v="0"/>
    <n v="0"/>
  </r>
  <r>
    <n v="2793"/>
    <x v="2"/>
    <s v="2016/3337"/>
    <s v="241 Wimbledon Park Road"/>
    <m/>
    <n v="524772"/>
    <n v="173313"/>
    <x v="14"/>
    <m/>
    <m/>
    <n v="0"/>
    <n v="1"/>
    <n v="1"/>
    <n v="1"/>
    <n v="1"/>
    <x v="0"/>
    <s v="Determination as to whether prior approval is required for change of use from financial and professional services (Class A2) to residential (Class C3) to provide 1x studio flat at basement level."/>
    <s v="PAG"/>
    <d v="2016-06-14T00:00:00"/>
    <d v="2016-08-04T00:00:00"/>
    <x v="0"/>
    <s v="Nil"/>
    <m/>
    <s v="BF"/>
    <s v="COU"/>
    <x v="0"/>
    <x v="6"/>
    <n v="3.0000000260770299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2933"/>
    <x v="2"/>
    <s v="2019/1498"/>
    <s v="26 Upper Richmond Road"/>
    <m/>
    <n v="524876"/>
    <n v="174632"/>
    <x v="5"/>
    <m/>
    <m/>
    <n v="0"/>
    <n v="1"/>
    <n v="1"/>
    <n v="1"/>
    <n v="1"/>
    <x v="0"/>
    <s v="Change of use from Restaurants and Cafes/ Drinking Establishments (A3/A4) to residential (Class C3) to provide 1 x 1-bedroom flat."/>
    <s v="PF"/>
    <d v="2019-04-04T00:00:00"/>
    <d v="2019-05-30T00:00:00"/>
    <x v="1"/>
    <s v="Nil"/>
    <m/>
    <s v="BF"/>
    <s v="COU"/>
    <x v="0"/>
    <x v="1"/>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3066"/>
    <x v="2"/>
    <s v="2019/2193"/>
    <s v="336 Upper Richmond Road"/>
    <m/>
    <n v="523512"/>
    <n v="175269"/>
    <x v="0"/>
    <m/>
    <m/>
    <n v="2"/>
    <n v="1"/>
    <n v="-1"/>
    <n v="1"/>
    <n v="-1"/>
    <x v="0"/>
    <s v="Change of use from Dentist Surgery (Class D1) and 2 x 2-bed flats (Class C3) to 1 x 5-bed dwelling with associated landscaping and cycle storage to front garden."/>
    <s v="PF"/>
    <d v="2019-06-04T00:00:00"/>
    <d v="2019-07-30T00:00:00"/>
    <x v="1"/>
    <s v="Nil"/>
    <m/>
    <s v="BF"/>
    <s v="MIX"/>
    <x v="0"/>
    <x v="8"/>
    <n v="6.5999999642372104E-2"/>
    <m/>
    <x v="0"/>
    <m/>
    <x v="0"/>
    <s v="M"/>
    <m/>
    <m/>
    <n v="0"/>
    <n v="0"/>
    <n v="0"/>
    <n v="0"/>
    <n v="0"/>
    <n v="0"/>
    <n v="-2"/>
    <n v="0"/>
    <n v="0"/>
    <n v="1"/>
    <n v="0"/>
    <n v="0"/>
    <n v="0"/>
    <n v="-2"/>
    <n v="0"/>
    <n v="0"/>
    <n v="0"/>
    <n v="0"/>
    <n v="0"/>
    <n v="0"/>
    <n v="0"/>
    <n v="0"/>
    <n v="0"/>
    <n v="1"/>
    <n v="0"/>
    <n v="0"/>
    <n v="0"/>
    <n v="0"/>
    <n v="0"/>
    <n v="0"/>
    <n v="0"/>
    <n v="0"/>
    <x v="0"/>
    <x v="0"/>
    <x v="0"/>
    <x v="0"/>
    <x v="0"/>
    <m/>
    <x v="0"/>
    <x v="0"/>
    <n v="15"/>
    <m/>
    <n v="-0.33333333333333331"/>
    <n v="-0.33333333333333331"/>
    <n v="-0.33333333333333331"/>
    <m/>
    <m/>
    <m/>
    <m/>
    <m/>
    <m/>
    <m/>
    <m/>
    <m/>
    <m/>
    <m/>
    <m/>
    <m/>
    <m/>
    <m/>
    <m/>
    <m/>
    <n v="-1"/>
    <n v="-1"/>
  </r>
  <r>
    <n v="3112"/>
    <x v="2"/>
    <s v="2019/2319"/>
    <s v="261 Putney Bridge Road"/>
    <m/>
    <n v="524381"/>
    <n v="175300"/>
    <x v="0"/>
    <m/>
    <m/>
    <n v="3"/>
    <n v="3"/>
    <n v="0"/>
    <n v="5"/>
    <n v="2"/>
    <x v="0"/>
    <s v="Alterations including erection of replacement mansard roof extension, raising the ridge by 0.7 metres and with front terrace, erection of two storey extension at second and third floor level in connection with creation of 3 x 1-bedroom and 2 x 2-bedroom flats with associated refuse and cycle storage."/>
    <s v="PF"/>
    <d v="2019-07-02T00:00:00"/>
    <d v="2019-08-12T00:00:00"/>
    <x v="1"/>
    <s v="Nil"/>
    <m/>
    <s v="BF"/>
    <s v="MIX"/>
    <x v="0"/>
    <x v="0"/>
    <n v="6.0000000521540598E-3"/>
    <m/>
    <x v="0"/>
    <m/>
    <x v="0"/>
    <s v="M"/>
    <m/>
    <m/>
    <n v="0"/>
    <n v="0"/>
    <n v="0"/>
    <n v="0"/>
    <n v="0"/>
    <n v="2"/>
    <n v="-1"/>
    <n v="-1"/>
    <n v="0"/>
    <n v="0"/>
    <n v="0"/>
    <n v="0"/>
    <n v="2"/>
    <n v="-1"/>
    <n v="-1"/>
    <n v="0"/>
    <n v="0"/>
    <n v="0"/>
    <n v="0"/>
    <n v="0"/>
    <n v="0"/>
    <n v="0"/>
    <n v="0"/>
    <n v="0"/>
    <n v="0"/>
    <n v="0"/>
    <n v="0"/>
    <n v="0"/>
    <n v="0"/>
    <n v="0"/>
    <n v="0"/>
    <n v="0"/>
    <x v="0"/>
    <x v="0"/>
    <x v="0"/>
    <x v="0"/>
    <x v="0"/>
    <m/>
    <x v="0"/>
    <x v="0"/>
    <n v="15"/>
    <m/>
    <n v="0"/>
    <n v="0"/>
    <n v="0"/>
    <m/>
    <m/>
    <m/>
    <m/>
    <m/>
    <m/>
    <m/>
    <m/>
    <m/>
    <m/>
    <m/>
    <m/>
    <m/>
    <m/>
    <m/>
    <m/>
    <m/>
    <n v="0"/>
    <n v="0"/>
  </r>
  <r>
    <n v="3112"/>
    <x v="2"/>
    <s v="2019/2319"/>
    <s v="261 Putney Bridge Road"/>
    <m/>
    <n v="524381"/>
    <n v="175300"/>
    <x v="0"/>
    <m/>
    <m/>
    <n v="0"/>
    <n v="2"/>
    <n v="2"/>
    <n v="5"/>
    <n v="2"/>
    <x v="0"/>
    <s v="Alterations including erection of replacement mansard roof extension, raising the ridge by 0.7 metres and with front terrace, erection of two storey extension at second and third floor level in connection with creation of 3 x 1-bedroom and 2 x 2-bedroom flats with associated refuse and cycle storage."/>
    <s v="PF"/>
    <d v="2019-07-02T00:00:00"/>
    <d v="2019-08-12T00:00:00"/>
    <x v="1"/>
    <s v="Nil"/>
    <m/>
    <s v="BF"/>
    <s v="MIX"/>
    <x v="0"/>
    <x v="3"/>
    <n v="4.0000001899898104E-3"/>
    <m/>
    <x v="0"/>
    <m/>
    <x v="0"/>
    <s v="M"/>
    <m/>
    <m/>
    <n v="0"/>
    <n v="0"/>
    <n v="0"/>
    <n v="0"/>
    <n v="0"/>
    <n v="0"/>
    <n v="2"/>
    <n v="0"/>
    <n v="0"/>
    <n v="0"/>
    <n v="0"/>
    <n v="0"/>
    <n v="0"/>
    <n v="2"/>
    <n v="0"/>
    <n v="0"/>
    <n v="0"/>
    <n v="0"/>
    <n v="0"/>
    <n v="0"/>
    <n v="0"/>
    <n v="0"/>
    <n v="0"/>
    <n v="0"/>
    <n v="0"/>
    <n v="0"/>
    <n v="0"/>
    <n v="0"/>
    <n v="0"/>
    <n v="0"/>
    <n v="0"/>
    <n v="0"/>
    <x v="0"/>
    <x v="0"/>
    <x v="0"/>
    <x v="0"/>
    <x v="0"/>
    <m/>
    <x v="0"/>
    <x v="0"/>
    <n v="15"/>
    <m/>
    <n v="0.66666666666666663"/>
    <n v="0.66666666666666663"/>
    <n v="0.66666666666666663"/>
    <m/>
    <m/>
    <m/>
    <m/>
    <m/>
    <m/>
    <m/>
    <m/>
    <m/>
    <m/>
    <m/>
    <m/>
    <m/>
    <m/>
    <m/>
    <m/>
    <m/>
    <n v="2"/>
    <n v="2"/>
  </r>
  <r>
    <n v="3268"/>
    <x v="2"/>
    <s v="2019/5429"/>
    <s v="Land adjoining 37, Gracedale Road"/>
    <m/>
    <n v="528819"/>
    <n v="171232"/>
    <x v="7"/>
    <m/>
    <m/>
    <n v="0"/>
    <n v="1"/>
    <n v="1"/>
    <n v="1"/>
    <n v="1"/>
    <x v="0"/>
    <s v="Erection of a single-storey 2-bedroom dwelling house with basement."/>
    <s v="PF"/>
    <d v="2020-01-15T00:00:00"/>
    <d v="2020-02-10T00:00:00"/>
    <x v="1"/>
    <s v="Nil"/>
    <m/>
    <s v="BF"/>
    <s v="NB"/>
    <x v="0"/>
    <x v="5"/>
    <n v="8.0000003799796104E-3"/>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3344"/>
    <x v="2"/>
    <s v="2018/1323"/>
    <s v="62a Mitcham Road"/>
    <m/>
    <n v="527574"/>
    <n v="171313"/>
    <x v="10"/>
    <m/>
    <m/>
    <n v="1"/>
    <n v="4"/>
    <n v="3"/>
    <n v="4"/>
    <n v="3"/>
    <x v="0"/>
    <s v="Alterations including erection of a dormer roof extension to main rear roof and above part of the three storey back addition, side windows, front rooflights and conversion of property to 4 x 1-bedroom flats."/>
    <s v="PF"/>
    <d v="2018-03-27T00:00:00"/>
    <d v="2018-05-15T00:00:00"/>
    <x v="0"/>
    <s v="Nil"/>
    <m/>
    <s v="BF"/>
    <s v="MIX"/>
    <x v="0"/>
    <x v="0"/>
    <n v="9.9999997764825804E-3"/>
    <m/>
    <x v="0"/>
    <m/>
    <x v="0"/>
    <s v="M"/>
    <m/>
    <m/>
    <n v="0"/>
    <n v="0"/>
    <n v="0"/>
    <n v="0"/>
    <n v="0"/>
    <n v="4"/>
    <n v="0"/>
    <n v="0"/>
    <n v="-1"/>
    <n v="0"/>
    <n v="0"/>
    <n v="0"/>
    <n v="4"/>
    <n v="0"/>
    <n v="0"/>
    <n v="-1"/>
    <n v="0"/>
    <n v="0"/>
    <n v="0"/>
    <n v="0"/>
    <n v="0"/>
    <n v="0"/>
    <n v="0"/>
    <n v="0"/>
    <n v="0"/>
    <n v="0"/>
    <n v="0"/>
    <n v="0"/>
    <n v="0"/>
    <n v="0"/>
    <n v="0"/>
    <n v="0"/>
    <x v="4"/>
    <x v="0"/>
    <x v="0"/>
    <x v="0"/>
    <x v="0"/>
    <m/>
    <x v="0"/>
    <x v="0"/>
    <n v="15"/>
    <m/>
    <n v="1"/>
    <n v="1"/>
    <n v="1"/>
    <m/>
    <m/>
    <m/>
    <m/>
    <m/>
    <m/>
    <m/>
    <m/>
    <m/>
    <m/>
    <m/>
    <m/>
    <m/>
    <m/>
    <m/>
    <m/>
    <m/>
    <n v="3"/>
    <n v="3"/>
  </r>
  <r>
    <n v="3352"/>
    <x v="2"/>
    <s v="2019/1948"/>
    <s v="7 Putney Hill"/>
    <m/>
    <n v="523964"/>
    <n v="174987"/>
    <x v="5"/>
    <m/>
    <m/>
    <n v="0"/>
    <n v="2"/>
    <n v="2"/>
    <n v="2"/>
    <n v="2"/>
    <x v="0"/>
    <s v="Alterations in connection with change of use of rear parts of lower ground and ground floors from dry cleaner (Class A1) to residential (Class C3) to provide 2 x 1-bedroom flats, including two-storey side extension to two storey back addition."/>
    <s v="PF"/>
    <d v="2019-05-03T00:00:00"/>
    <d v="2019-09-26T00:00:00"/>
    <x v="1"/>
    <s v="Nil"/>
    <m/>
    <s v="BF"/>
    <s v="MIX"/>
    <x v="0"/>
    <x v="4"/>
    <n v="4.0000001899898104E-3"/>
    <m/>
    <x v="0"/>
    <m/>
    <x v="0"/>
    <s v="M"/>
    <m/>
    <m/>
    <n v="0"/>
    <n v="0"/>
    <n v="0"/>
    <n v="0"/>
    <n v="0"/>
    <n v="2"/>
    <n v="0"/>
    <n v="0"/>
    <n v="0"/>
    <n v="0"/>
    <n v="0"/>
    <n v="0"/>
    <n v="2"/>
    <n v="0"/>
    <n v="0"/>
    <n v="0"/>
    <n v="0"/>
    <n v="0"/>
    <n v="0"/>
    <n v="0"/>
    <n v="0"/>
    <n v="0"/>
    <n v="0"/>
    <n v="0"/>
    <n v="0"/>
    <n v="0"/>
    <n v="0"/>
    <n v="0"/>
    <n v="0"/>
    <n v="0"/>
    <n v="0"/>
    <n v="0"/>
    <x v="2"/>
    <x v="0"/>
    <x v="0"/>
    <x v="0"/>
    <x v="1"/>
    <m/>
    <x v="0"/>
    <x v="0"/>
    <n v="15"/>
    <m/>
    <n v="0.66666666666666663"/>
    <n v="0.66666666666666663"/>
    <n v="0.66666666666666663"/>
    <m/>
    <m/>
    <m/>
    <m/>
    <m/>
    <m/>
    <m/>
    <m/>
    <m/>
    <m/>
    <m/>
    <m/>
    <m/>
    <m/>
    <m/>
    <m/>
    <m/>
    <n v="2"/>
    <n v="2"/>
  </r>
  <r>
    <n v="3511"/>
    <x v="2"/>
    <s v="2014/2810"/>
    <s v="New Covent Garden Market, Nine Elms Lane (Combined Main Market, Entrance site and Thessaly College site)"/>
    <s v="Apex Site - A1"/>
    <n v="529369"/>
    <n v="177317"/>
    <x v="12"/>
    <d v="2017-03-31T00:00:00"/>
    <m/>
    <n v="0"/>
    <n v="207"/>
    <n v="207"/>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1.2489999532699601"/>
    <m/>
    <x v="0"/>
    <m/>
    <x v="0"/>
    <s v="M"/>
    <s v="2.1.27"/>
    <m/>
    <n v="0"/>
    <n v="0"/>
    <n v="0"/>
    <n v="0"/>
    <n v="26"/>
    <n v="41"/>
    <n v="124"/>
    <n v="16"/>
    <n v="0"/>
    <n v="0"/>
    <n v="0"/>
    <n v="26"/>
    <n v="41"/>
    <n v="124"/>
    <n v="16"/>
    <n v="0"/>
    <n v="0"/>
    <n v="0"/>
    <n v="0"/>
    <n v="0"/>
    <n v="0"/>
    <n v="0"/>
    <n v="0"/>
    <n v="0"/>
    <n v="0"/>
    <n v="0"/>
    <n v="0"/>
    <n v="0"/>
    <n v="0"/>
    <n v="0"/>
    <n v="0"/>
    <n v="0"/>
    <x v="0"/>
    <x v="1"/>
    <x v="0"/>
    <x v="0"/>
    <x v="0"/>
    <m/>
    <x v="0"/>
    <x v="0"/>
    <n v="21"/>
    <m/>
    <m/>
    <m/>
    <m/>
    <m/>
    <m/>
    <m/>
    <m/>
    <n v="207"/>
    <m/>
    <m/>
    <m/>
    <m/>
    <m/>
    <m/>
    <m/>
    <m/>
    <m/>
    <m/>
    <m/>
    <m/>
    <n v="0"/>
    <n v="207"/>
  </r>
  <r>
    <n v="3511"/>
    <x v="2"/>
    <s v="2014/2810"/>
    <s v="New Covent Garden Market, Nine Elms Lane (Combined Main Market, Entrance site and Thessaly College site)"/>
    <s v="Apex Site - A2"/>
    <n v="529369"/>
    <n v="177317"/>
    <x v="12"/>
    <d v="2017-03-31T00:00:00"/>
    <m/>
    <n v="0"/>
    <n v="136"/>
    <n v="136"/>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82099997997283902"/>
    <m/>
    <x v="0"/>
    <m/>
    <x v="0"/>
    <s v="M"/>
    <s v="2.1.27"/>
    <m/>
    <n v="0"/>
    <n v="0"/>
    <n v="0"/>
    <n v="0"/>
    <n v="17"/>
    <n v="27"/>
    <n v="82"/>
    <n v="10"/>
    <n v="0"/>
    <n v="0"/>
    <n v="0"/>
    <n v="17"/>
    <n v="27"/>
    <n v="82"/>
    <n v="10"/>
    <n v="0"/>
    <n v="0"/>
    <n v="0"/>
    <n v="0"/>
    <n v="0"/>
    <n v="0"/>
    <n v="0"/>
    <n v="0"/>
    <n v="0"/>
    <n v="0"/>
    <n v="0"/>
    <n v="0"/>
    <n v="0"/>
    <n v="0"/>
    <n v="0"/>
    <n v="0"/>
    <n v="0"/>
    <x v="0"/>
    <x v="1"/>
    <x v="0"/>
    <x v="0"/>
    <x v="0"/>
    <m/>
    <x v="0"/>
    <x v="0"/>
    <n v="21"/>
    <m/>
    <m/>
    <m/>
    <m/>
    <m/>
    <m/>
    <m/>
    <m/>
    <m/>
    <n v="136"/>
    <m/>
    <m/>
    <m/>
    <m/>
    <m/>
    <m/>
    <m/>
    <m/>
    <m/>
    <m/>
    <m/>
    <n v="0"/>
    <n v="136"/>
  </r>
  <r>
    <n v="3511"/>
    <x v="2"/>
    <s v="2014/2810"/>
    <s v="New Covent Garden Market, Nine Elms Lane (Combined Main Market, Entrance site and Thessaly College site)"/>
    <s v="Apex Site - A3"/>
    <n v="529369"/>
    <n v="177317"/>
    <x v="12"/>
    <d v="2017-03-31T00:00:00"/>
    <m/>
    <n v="0"/>
    <n v="101"/>
    <n v="101"/>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61000001430511497"/>
    <m/>
    <x v="0"/>
    <m/>
    <x v="1"/>
    <s v="ISO"/>
    <s v="2.1.27"/>
    <m/>
    <n v="0"/>
    <n v="0"/>
    <n v="0"/>
    <n v="0"/>
    <n v="0"/>
    <n v="45"/>
    <n v="46"/>
    <n v="10"/>
    <n v="0"/>
    <n v="0"/>
    <n v="0"/>
    <n v="0"/>
    <n v="45"/>
    <n v="46"/>
    <n v="10"/>
    <n v="0"/>
    <n v="0"/>
    <n v="0"/>
    <n v="0"/>
    <n v="0"/>
    <n v="0"/>
    <n v="0"/>
    <n v="0"/>
    <n v="0"/>
    <n v="0"/>
    <n v="0"/>
    <n v="0"/>
    <n v="0"/>
    <n v="0"/>
    <n v="0"/>
    <n v="0"/>
    <n v="0"/>
    <x v="0"/>
    <x v="1"/>
    <x v="0"/>
    <x v="0"/>
    <x v="0"/>
    <m/>
    <x v="0"/>
    <x v="0"/>
    <n v="21"/>
    <m/>
    <m/>
    <m/>
    <m/>
    <m/>
    <m/>
    <m/>
    <m/>
    <m/>
    <n v="101"/>
    <m/>
    <m/>
    <m/>
    <m/>
    <m/>
    <m/>
    <m/>
    <m/>
    <m/>
    <m/>
    <m/>
    <n v="0"/>
    <n v="101"/>
  </r>
  <r>
    <n v="3511"/>
    <x v="2"/>
    <s v="2014/2810"/>
    <s v="New Covent Garden Market, Nine Elms Lane (Combined Main Market, Entrance site and Thessaly College site)"/>
    <s v="Apex Site - A4"/>
    <n v="529369"/>
    <n v="177317"/>
    <x v="12"/>
    <d v="2017-03-31T00:00:00"/>
    <m/>
    <n v="0"/>
    <n v="151"/>
    <n v="151"/>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91100001335143999"/>
    <m/>
    <x v="0"/>
    <m/>
    <x v="0"/>
    <s v="M"/>
    <s v="2.1.27"/>
    <m/>
    <n v="0"/>
    <n v="0"/>
    <n v="0"/>
    <n v="0"/>
    <n v="19"/>
    <n v="30"/>
    <n v="91"/>
    <n v="11"/>
    <n v="0"/>
    <n v="0"/>
    <n v="0"/>
    <n v="19"/>
    <n v="30"/>
    <n v="91"/>
    <n v="11"/>
    <n v="0"/>
    <n v="0"/>
    <n v="0"/>
    <n v="0"/>
    <n v="0"/>
    <n v="0"/>
    <n v="0"/>
    <n v="0"/>
    <n v="0"/>
    <n v="0"/>
    <n v="0"/>
    <n v="0"/>
    <n v="0"/>
    <n v="0"/>
    <n v="0"/>
    <n v="0"/>
    <n v="0"/>
    <x v="0"/>
    <x v="1"/>
    <x v="0"/>
    <x v="0"/>
    <x v="0"/>
    <m/>
    <x v="0"/>
    <x v="0"/>
    <n v="21"/>
    <m/>
    <m/>
    <m/>
    <m/>
    <m/>
    <m/>
    <m/>
    <m/>
    <m/>
    <m/>
    <n v="151"/>
    <m/>
    <m/>
    <m/>
    <m/>
    <m/>
    <m/>
    <m/>
    <m/>
    <m/>
    <m/>
    <n v="0"/>
    <n v="151"/>
  </r>
  <r>
    <n v="3511"/>
    <x v="2"/>
    <s v="2014/2810"/>
    <s v="New Covent Garden Market, Nine Elms Lane (Combined Main Market, Entrance site and Thessaly College site)"/>
    <s v="Apex Site - A6"/>
    <n v="529369"/>
    <n v="177317"/>
    <x v="12"/>
    <d v="2017-03-31T00:00:00"/>
    <m/>
    <n v="0"/>
    <n v="17"/>
    <n v="17"/>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103000000119209"/>
    <m/>
    <x v="0"/>
    <m/>
    <x v="0"/>
    <s v="M"/>
    <s v="2.1.27"/>
    <m/>
    <n v="0"/>
    <n v="0"/>
    <n v="0"/>
    <n v="0"/>
    <n v="2"/>
    <n v="3"/>
    <n v="10"/>
    <n v="2"/>
    <n v="0"/>
    <n v="0"/>
    <n v="0"/>
    <n v="2"/>
    <n v="3"/>
    <n v="10"/>
    <n v="2"/>
    <n v="0"/>
    <n v="0"/>
    <n v="0"/>
    <n v="0"/>
    <n v="0"/>
    <n v="0"/>
    <n v="0"/>
    <n v="0"/>
    <n v="0"/>
    <n v="0"/>
    <n v="0"/>
    <n v="0"/>
    <n v="0"/>
    <n v="0"/>
    <n v="0"/>
    <n v="0"/>
    <n v="0"/>
    <x v="0"/>
    <x v="1"/>
    <x v="0"/>
    <x v="0"/>
    <x v="0"/>
    <m/>
    <x v="0"/>
    <x v="0"/>
    <n v="21"/>
    <m/>
    <m/>
    <m/>
    <m/>
    <m/>
    <m/>
    <m/>
    <m/>
    <m/>
    <m/>
    <n v="17"/>
    <m/>
    <m/>
    <m/>
    <m/>
    <m/>
    <m/>
    <m/>
    <m/>
    <m/>
    <m/>
    <n v="0"/>
    <n v="17"/>
  </r>
  <r>
    <n v="3511"/>
    <x v="2"/>
    <s v="2014/2810"/>
    <s v="New Covent Garden Market, Nine Elms Lane (Combined Main Market, Entrance site and Thessaly College site)"/>
    <s v="Apex Site - A7"/>
    <n v="529369"/>
    <n v="177317"/>
    <x v="12"/>
    <d v="2017-03-31T00:00:00"/>
    <m/>
    <n v="0"/>
    <n v="11"/>
    <n v="11"/>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6.1000000685453401E-2"/>
    <m/>
    <x v="0"/>
    <m/>
    <x v="2"/>
    <s v="AS"/>
    <s v="2.1.27"/>
    <m/>
    <n v="0"/>
    <n v="0"/>
    <n v="0"/>
    <n v="0"/>
    <n v="0"/>
    <n v="2"/>
    <n v="5"/>
    <n v="3"/>
    <n v="1"/>
    <n v="0"/>
    <n v="0"/>
    <n v="0"/>
    <n v="2"/>
    <n v="5"/>
    <n v="3"/>
    <n v="0"/>
    <n v="0"/>
    <n v="0"/>
    <n v="0"/>
    <n v="0"/>
    <n v="0"/>
    <n v="0"/>
    <n v="1"/>
    <n v="0"/>
    <n v="0"/>
    <n v="0"/>
    <n v="0"/>
    <n v="0"/>
    <n v="0"/>
    <n v="0"/>
    <n v="0"/>
    <n v="0"/>
    <x v="0"/>
    <x v="1"/>
    <x v="0"/>
    <x v="0"/>
    <x v="0"/>
    <m/>
    <x v="0"/>
    <x v="0"/>
    <n v="21"/>
    <m/>
    <m/>
    <m/>
    <m/>
    <m/>
    <m/>
    <m/>
    <m/>
    <m/>
    <n v="11"/>
    <m/>
    <m/>
    <m/>
    <m/>
    <m/>
    <m/>
    <m/>
    <m/>
    <m/>
    <m/>
    <m/>
    <n v="0"/>
    <n v="11"/>
  </r>
  <r>
    <n v="3511"/>
    <x v="2"/>
    <s v="2014/2810"/>
    <s v="New Covent Garden Market, Nine Elms Lane (Combined Main Market, Entrance site and Thessaly College site)"/>
    <s v="Entrance Site - E1"/>
    <n v="529369"/>
    <n v="177317"/>
    <x v="12"/>
    <d v="2017-03-31T00:00:00"/>
    <m/>
    <n v="0"/>
    <n v="72"/>
    <n v="72"/>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43500000238418601"/>
    <m/>
    <x v="0"/>
    <m/>
    <x v="2"/>
    <s v="AS"/>
    <s v="2.1.27"/>
    <m/>
    <n v="0"/>
    <n v="0"/>
    <n v="0"/>
    <n v="0"/>
    <n v="0"/>
    <n v="11"/>
    <n v="32"/>
    <n v="22"/>
    <n v="7"/>
    <n v="0"/>
    <n v="0"/>
    <n v="0"/>
    <n v="11"/>
    <n v="32"/>
    <n v="22"/>
    <n v="7"/>
    <n v="0"/>
    <n v="0"/>
    <n v="0"/>
    <n v="0"/>
    <n v="0"/>
    <n v="0"/>
    <n v="0"/>
    <n v="0"/>
    <n v="0"/>
    <n v="0"/>
    <n v="0"/>
    <n v="0"/>
    <n v="0"/>
    <n v="0"/>
    <n v="0"/>
    <n v="0"/>
    <x v="0"/>
    <x v="1"/>
    <x v="0"/>
    <x v="0"/>
    <x v="0"/>
    <m/>
    <x v="0"/>
    <x v="0"/>
    <n v="21"/>
    <m/>
    <m/>
    <m/>
    <m/>
    <m/>
    <m/>
    <m/>
    <m/>
    <n v="72"/>
    <m/>
    <m/>
    <m/>
    <m/>
    <m/>
    <m/>
    <m/>
    <m/>
    <m/>
    <m/>
    <m/>
    <m/>
    <n v="0"/>
    <n v="72"/>
  </r>
  <r>
    <n v="3511"/>
    <x v="2"/>
    <s v="2014/2810"/>
    <s v="New Covent Garden Market, Nine Elms Lane (Combined Main Market, Entrance site and Thessaly College site)"/>
    <s v="Entrance Site - E1"/>
    <n v="529369"/>
    <n v="177317"/>
    <x v="12"/>
    <d v="2017-03-31T00:00:00"/>
    <m/>
    <n v="0"/>
    <n v="27"/>
    <n v="27"/>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164000004529953"/>
    <m/>
    <x v="0"/>
    <m/>
    <x v="2"/>
    <s v="AS"/>
    <s v="2.1.27"/>
    <m/>
    <n v="0"/>
    <n v="0"/>
    <n v="0"/>
    <n v="0"/>
    <n v="0"/>
    <n v="4"/>
    <n v="12"/>
    <n v="8"/>
    <n v="3"/>
    <n v="0"/>
    <n v="0"/>
    <n v="0"/>
    <n v="4"/>
    <n v="12"/>
    <n v="8"/>
    <n v="3"/>
    <n v="0"/>
    <n v="0"/>
    <n v="0"/>
    <n v="0"/>
    <n v="0"/>
    <n v="0"/>
    <n v="0"/>
    <n v="0"/>
    <n v="0"/>
    <n v="0"/>
    <n v="0"/>
    <n v="0"/>
    <n v="0"/>
    <n v="0"/>
    <n v="0"/>
    <n v="0"/>
    <x v="0"/>
    <x v="1"/>
    <x v="0"/>
    <x v="0"/>
    <x v="0"/>
    <m/>
    <x v="0"/>
    <x v="0"/>
    <n v="21"/>
    <m/>
    <m/>
    <m/>
    <m/>
    <m/>
    <m/>
    <m/>
    <m/>
    <n v="27"/>
    <m/>
    <m/>
    <m/>
    <m/>
    <m/>
    <m/>
    <m/>
    <m/>
    <m/>
    <m/>
    <m/>
    <m/>
    <n v="0"/>
    <n v="27"/>
  </r>
  <r>
    <n v="3511"/>
    <x v="2"/>
    <s v="2014/2810"/>
    <s v="New Covent Garden Market, Nine Elms Lane (Combined Main Market, Entrance site and Thessaly College site)"/>
    <s v="Entrance Site - E2"/>
    <n v="529369"/>
    <n v="177317"/>
    <x v="12"/>
    <d v="2017-03-31T00:00:00"/>
    <m/>
    <n v="0"/>
    <n v="36"/>
    <n v="36"/>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216999992728233"/>
    <m/>
    <x v="0"/>
    <m/>
    <x v="2"/>
    <s v="AS"/>
    <s v="2.1.27"/>
    <m/>
    <n v="0"/>
    <n v="0"/>
    <n v="0"/>
    <n v="0"/>
    <n v="0"/>
    <n v="5"/>
    <n v="16"/>
    <n v="11"/>
    <n v="4"/>
    <n v="0"/>
    <n v="0"/>
    <n v="0"/>
    <n v="5"/>
    <n v="16"/>
    <n v="11"/>
    <n v="4"/>
    <n v="0"/>
    <n v="0"/>
    <n v="0"/>
    <n v="0"/>
    <n v="0"/>
    <n v="0"/>
    <n v="0"/>
    <n v="0"/>
    <n v="0"/>
    <n v="0"/>
    <n v="0"/>
    <n v="0"/>
    <n v="0"/>
    <n v="0"/>
    <n v="0"/>
    <n v="0"/>
    <x v="0"/>
    <x v="1"/>
    <x v="0"/>
    <x v="0"/>
    <x v="0"/>
    <m/>
    <x v="0"/>
    <x v="0"/>
    <n v="21"/>
    <m/>
    <m/>
    <m/>
    <m/>
    <m/>
    <m/>
    <m/>
    <m/>
    <n v="36"/>
    <m/>
    <m/>
    <m/>
    <m/>
    <m/>
    <m/>
    <m/>
    <m/>
    <m/>
    <m/>
    <m/>
    <m/>
    <n v="0"/>
    <n v="36"/>
  </r>
  <r>
    <n v="3511"/>
    <x v="2"/>
    <s v="2014/2810"/>
    <s v="New Covent Garden Market, Nine Elms Lane (Combined Main Market, Entrance site and Thessaly College site)"/>
    <s v="Entrance Site - E3"/>
    <n v="529369"/>
    <n v="177317"/>
    <x v="12"/>
    <d v="2017-03-31T00:00:00"/>
    <m/>
    <n v="0"/>
    <n v="54"/>
    <n v="54"/>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32600000500678999"/>
    <m/>
    <x v="0"/>
    <m/>
    <x v="2"/>
    <s v="AS"/>
    <s v="2.1.27"/>
    <m/>
    <n v="0"/>
    <n v="0"/>
    <n v="0"/>
    <n v="0"/>
    <n v="0"/>
    <n v="8"/>
    <n v="25"/>
    <n v="16"/>
    <n v="5"/>
    <n v="0"/>
    <n v="0"/>
    <n v="0"/>
    <n v="8"/>
    <n v="25"/>
    <n v="16"/>
    <n v="5"/>
    <n v="0"/>
    <n v="0"/>
    <n v="0"/>
    <n v="0"/>
    <n v="0"/>
    <n v="0"/>
    <n v="0"/>
    <n v="0"/>
    <n v="0"/>
    <n v="0"/>
    <n v="0"/>
    <n v="0"/>
    <n v="0"/>
    <n v="0"/>
    <n v="0"/>
    <n v="0"/>
    <x v="0"/>
    <x v="1"/>
    <x v="0"/>
    <x v="0"/>
    <x v="0"/>
    <m/>
    <x v="0"/>
    <x v="0"/>
    <n v="21"/>
    <m/>
    <m/>
    <m/>
    <m/>
    <m/>
    <m/>
    <m/>
    <m/>
    <n v="54"/>
    <m/>
    <m/>
    <m/>
    <m/>
    <m/>
    <m/>
    <m/>
    <m/>
    <m/>
    <m/>
    <m/>
    <m/>
    <n v="0"/>
    <n v="54"/>
  </r>
  <r>
    <n v="3511"/>
    <x v="2"/>
    <s v="2014/2810"/>
    <s v="New Covent Garden Market, Nine Elms Lane (Combined Main Market, Entrance site and Thessaly College site)"/>
    <s v="Entrance Site - E4"/>
    <n v="529369"/>
    <n v="177317"/>
    <x v="12"/>
    <d v="2017-03-31T00:00:00"/>
    <m/>
    <n v="0"/>
    <n v="59"/>
    <n v="59"/>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356000006198883"/>
    <m/>
    <x v="0"/>
    <m/>
    <x v="0"/>
    <s v="M"/>
    <s v="2.1.27"/>
    <m/>
    <n v="0"/>
    <n v="0"/>
    <n v="0"/>
    <n v="0"/>
    <n v="7"/>
    <n v="12"/>
    <n v="36"/>
    <n v="4"/>
    <n v="0"/>
    <n v="0"/>
    <n v="0"/>
    <n v="7"/>
    <n v="12"/>
    <n v="36"/>
    <n v="4"/>
    <n v="0"/>
    <n v="0"/>
    <n v="0"/>
    <n v="0"/>
    <n v="0"/>
    <n v="0"/>
    <n v="0"/>
    <n v="0"/>
    <n v="0"/>
    <n v="0"/>
    <n v="0"/>
    <n v="0"/>
    <n v="0"/>
    <n v="0"/>
    <n v="0"/>
    <n v="0"/>
    <n v="0"/>
    <x v="0"/>
    <x v="1"/>
    <x v="0"/>
    <x v="0"/>
    <x v="0"/>
    <m/>
    <x v="0"/>
    <x v="0"/>
    <n v="21"/>
    <m/>
    <m/>
    <m/>
    <m/>
    <m/>
    <m/>
    <m/>
    <m/>
    <n v="59"/>
    <m/>
    <m/>
    <m/>
    <m/>
    <m/>
    <m/>
    <m/>
    <m/>
    <m/>
    <m/>
    <m/>
    <m/>
    <n v="0"/>
    <n v="59"/>
  </r>
  <r>
    <n v="3511"/>
    <x v="2"/>
    <s v="2014/2810"/>
    <s v="New Covent Garden Market, Nine Elms Lane (Combined Main Market, Entrance site and Thessaly College site)"/>
    <s v="Entrance Site - E6"/>
    <n v="529369"/>
    <n v="177317"/>
    <x v="12"/>
    <d v="2017-03-31T00:00:00"/>
    <m/>
    <n v="0"/>
    <n v="95"/>
    <n v="95"/>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57300001382827803"/>
    <m/>
    <x v="0"/>
    <m/>
    <x v="0"/>
    <s v="M"/>
    <s v="2.1.27"/>
    <m/>
    <n v="0"/>
    <n v="0"/>
    <n v="0"/>
    <n v="0"/>
    <n v="12"/>
    <n v="19"/>
    <n v="57"/>
    <n v="7"/>
    <n v="0"/>
    <n v="0"/>
    <n v="0"/>
    <n v="12"/>
    <n v="19"/>
    <n v="57"/>
    <n v="7"/>
    <n v="0"/>
    <n v="0"/>
    <n v="0"/>
    <n v="0"/>
    <n v="0"/>
    <n v="0"/>
    <n v="0"/>
    <n v="0"/>
    <n v="0"/>
    <n v="0"/>
    <n v="0"/>
    <n v="0"/>
    <n v="0"/>
    <n v="0"/>
    <n v="0"/>
    <n v="0"/>
    <n v="0"/>
    <x v="0"/>
    <x v="1"/>
    <x v="0"/>
    <x v="0"/>
    <x v="0"/>
    <m/>
    <x v="0"/>
    <x v="0"/>
    <n v="21"/>
    <m/>
    <m/>
    <m/>
    <m/>
    <m/>
    <m/>
    <m/>
    <m/>
    <n v="95"/>
    <m/>
    <m/>
    <m/>
    <m/>
    <m/>
    <m/>
    <m/>
    <m/>
    <m/>
    <m/>
    <m/>
    <m/>
    <n v="0"/>
    <n v="95"/>
  </r>
  <r>
    <n v="3511"/>
    <x v="2"/>
    <s v="2014/2810"/>
    <s v="New Covent Garden Market, Nine Elms Lane (Combined Main Market, Entrance site and Thessaly College site)"/>
    <s v="Entrance Site - E8"/>
    <n v="529369"/>
    <n v="177317"/>
    <x v="12"/>
    <d v="2017-03-31T00:00:00"/>
    <m/>
    <n v="0"/>
    <n v="87"/>
    <n v="87"/>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52399998903274503"/>
    <m/>
    <x v="0"/>
    <m/>
    <x v="0"/>
    <s v="M"/>
    <s v="2.1.27"/>
    <m/>
    <n v="0"/>
    <n v="0"/>
    <n v="0"/>
    <n v="0"/>
    <n v="0"/>
    <n v="17"/>
    <n v="30"/>
    <n v="40"/>
    <n v="0"/>
    <n v="0"/>
    <n v="0"/>
    <n v="0"/>
    <n v="17"/>
    <n v="30"/>
    <n v="40"/>
    <n v="0"/>
    <n v="0"/>
    <n v="0"/>
    <n v="0"/>
    <n v="0"/>
    <n v="0"/>
    <n v="0"/>
    <n v="0"/>
    <n v="0"/>
    <n v="0"/>
    <n v="0"/>
    <n v="0"/>
    <n v="0"/>
    <n v="0"/>
    <n v="0"/>
    <n v="0"/>
    <n v="0"/>
    <x v="0"/>
    <x v="1"/>
    <x v="0"/>
    <x v="0"/>
    <x v="0"/>
    <m/>
    <x v="0"/>
    <x v="0"/>
    <n v="21"/>
    <m/>
    <m/>
    <m/>
    <m/>
    <m/>
    <m/>
    <m/>
    <m/>
    <m/>
    <n v="87"/>
    <m/>
    <m/>
    <m/>
    <m/>
    <m/>
    <m/>
    <m/>
    <m/>
    <m/>
    <m/>
    <m/>
    <n v="0"/>
    <n v="87"/>
  </r>
  <r>
    <n v="3511"/>
    <x v="2"/>
    <s v="2014/2810"/>
    <s v="New Covent Garden Market, Nine Elms Lane (Combined Main Market, Entrance site and Thessaly College site)"/>
    <s v="Entrance Site - Existing"/>
    <n v="529369"/>
    <n v="177317"/>
    <x v="12"/>
    <d v="2017-03-31T00:00:00"/>
    <m/>
    <n v="5"/>
    <n v="0"/>
    <n v="-5"/>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
    <m/>
    <x v="0"/>
    <m/>
    <x v="0"/>
    <s v="M"/>
    <s v="2.1.27"/>
    <m/>
    <n v="0"/>
    <n v="0"/>
    <n v="0"/>
    <n v="0"/>
    <n v="0"/>
    <n v="0"/>
    <n v="0"/>
    <n v="0"/>
    <n v="0"/>
    <n v="0"/>
    <n v="-5"/>
    <n v="0"/>
    <n v="0"/>
    <n v="0"/>
    <n v="0"/>
    <n v="0"/>
    <n v="0"/>
    <n v="-5"/>
    <n v="0"/>
    <n v="0"/>
    <n v="0"/>
    <n v="0"/>
    <n v="0"/>
    <n v="0"/>
    <n v="0"/>
    <n v="0"/>
    <n v="0"/>
    <n v="0"/>
    <n v="0"/>
    <n v="0"/>
    <n v="0"/>
    <n v="0"/>
    <x v="0"/>
    <x v="1"/>
    <x v="0"/>
    <x v="0"/>
    <x v="0"/>
    <m/>
    <x v="0"/>
    <x v="0"/>
    <n v="21"/>
    <m/>
    <m/>
    <m/>
    <m/>
    <m/>
    <m/>
    <m/>
    <m/>
    <n v="-5"/>
    <m/>
    <m/>
    <m/>
    <m/>
    <m/>
    <m/>
    <m/>
    <m/>
    <m/>
    <m/>
    <m/>
    <m/>
    <n v="0"/>
    <n v="-5"/>
  </r>
  <r>
    <n v="3511"/>
    <x v="2"/>
    <s v="2014/2810"/>
    <s v="New Covent Garden Market, Nine Elms Lane (Combined Main Market, Entrance site and Thessaly College site)"/>
    <s v="Northern Site - N7"/>
    <n v="529369"/>
    <n v="177317"/>
    <x v="12"/>
    <d v="2017-03-31T00:00:00"/>
    <m/>
    <n v="0"/>
    <n v="166"/>
    <n v="166"/>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1.0010000467300399"/>
    <m/>
    <x v="0"/>
    <m/>
    <x v="0"/>
    <s v="M"/>
    <s v="2.1.27"/>
    <m/>
    <n v="0"/>
    <n v="0"/>
    <n v="0"/>
    <n v="0"/>
    <n v="0"/>
    <n v="33"/>
    <n v="58"/>
    <n v="75"/>
    <n v="0"/>
    <n v="0"/>
    <n v="0"/>
    <n v="0"/>
    <n v="33"/>
    <n v="58"/>
    <n v="75"/>
    <n v="0"/>
    <n v="0"/>
    <n v="0"/>
    <n v="0"/>
    <n v="0"/>
    <n v="0"/>
    <n v="0"/>
    <n v="0"/>
    <n v="0"/>
    <n v="0"/>
    <n v="0"/>
    <n v="0"/>
    <n v="0"/>
    <n v="0"/>
    <n v="0"/>
    <n v="0"/>
    <n v="0"/>
    <x v="0"/>
    <x v="1"/>
    <x v="0"/>
    <x v="0"/>
    <x v="0"/>
    <m/>
    <x v="0"/>
    <x v="0"/>
    <n v="21"/>
    <m/>
    <m/>
    <m/>
    <m/>
    <n v="166"/>
    <m/>
    <m/>
    <m/>
    <m/>
    <m/>
    <m/>
    <m/>
    <m/>
    <m/>
    <m/>
    <m/>
    <m/>
    <m/>
    <m/>
    <m/>
    <m/>
    <n v="166"/>
    <n v="166"/>
  </r>
  <r>
    <n v="3511"/>
    <x v="2"/>
    <s v="2014/2810"/>
    <s v="New Covent Garden Market, Nine Elms Lane (Combined Main Market, Entrance site and Thessaly College site)"/>
    <s v="Thessaly Road Site - T2"/>
    <n v="529369"/>
    <n v="177317"/>
    <x v="12"/>
    <d v="2017-03-31T00:00:00"/>
    <m/>
    <n v="0"/>
    <n v="17"/>
    <n v="17"/>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10199999809265101"/>
    <m/>
    <x v="0"/>
    <m/>
    <x v="2"/>
    <s v="AS"/>
    <s v="2.1.27"/>
    <m/>
    <n v="0"/>
    <n v="0"/>
    <n v="0"/>
    <n v="0"/>
    <n v="0"/>
    <n v="2"/>
    <n v="7"/>
    <n v="8"/>
    <n v="0"/>
    <n v="0"/>
    <n v="0"/>
    <n v="0"/>
    <n v="2"/>
    <n v="7"/>
    <n v="8"/>
    <n v="0"/>
    <n v="0"/>
    <n v="0"/>
    <n v="0"/>
    <n v="0"/>
    <n v="0"/>
    <n v="0"/>
    <n v="0"/>
    <n v="0"/>
    <n v="0"/>
    <n v="0"/>
    <n v="0"/>
    <n v="0"/>
    <n v="0"/>
    <n v="0"/>
    <n v="0"/>
    <n v="0"/>
    <x v="0"/>
    <x v="1"/>
    <x v="0"/>
    <x v="0"/>
    <x v="0"/>
    <m/>
    <x v="0"/>
    <x v="0"/>
    <n v="21"/>
    <m/>
    <m/>
    <m/>
    <m/>
    <m/>
    <m/>
    <m/>
    <n v="17"/>
    <m/>
    <m/>
    <m/>
    <m/>
    <m/>
    <m/>
    <m/>
    <m/>
    <m/>
    <m/>
    <m/>
    <m/>
    <m/>
    <n v="0"/>
    <n v="17"/>
  </r>
  <r>
    <n v="3511"/>
    <x v="2"/>
    <s v="2014/2810"/>
    <s v="New Covent Garden Market, Nine Elms Lane (Combined Main Market, Entrance site and Thessaly College site)"/>
    <s v="Thessaly Road Site - T3A"/>
    <n v="529369"/>
    <n v="177317"/>
    <x v="12"/>
    <d v="2017-03-31T00:00:00"/>
    <m/>
    <n v="0"/>
    <n v="11"/>
    <n v="11"/>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6.5999999642372104E-2"/>
    <m/>
    <x v="0"/>
    <m/>
    <x v="1"/>
    <s v="ISO"/>
    <s v="2.1.27"/>
    <m/>
    <n v="0"/>
    <n v="0"/>
    <n v="0"/>
    <n v="0"/>
    <n v="0"/>
    <n v="2"/>
    <n v="5"/>
    <n v="4"/>
    <n v="0"/>
    <n v="0"/>
    <n v="0"/>
    <n v="0"/>
    <n v="2"/>
    <n v="5"/>
    <n v="4"/>
    <n v="0"/>
    <n v="0"/>
    <n v="0"/>
    <n v="0"/>
    <n v="0"/>
    <n v="0"/>
    <n v="0"/>
    <n v="0"/>
    <n v="0"/>
    <n v="0"/>
    <n v="0"/>
    <n v="0"/>
    <n v="0"/>
    <n v="0"/>
    <n v="0"/>
    <n v="0"/>
    <n v="0"/>
    <x v="0"/>
    <x v="1"/>
    <x v="0"/>
    <x v="0"/>
    <x v="0"/>
    <m/>
    <x v="0"/>
    <x v="0"/>
    <n v="21"/>
    <m/>
    <m/>
    <m/>
    <m/>
    <m/>
    <m/>
    <m/>
    <n v="11"/>
    <m/>
    <m/>
    <m/>
    <m/>
    <m/>
    <m/>
    <m/>
    <m/>
    <m/>
    <m/>
    <m/>
    <m/>
    <m/>
    <n v="0"/>
    <n v="11"/>
  </r>
  <r>
    <n v="3511"/>
    <x v="2"/>
    <s v="2014/2810"/>
    <s v="New Covent Garden Market, Nine Elms Lane (Combined Main Market, Entrance site and Thessaly College site)"/>
    <s v="Thessaly Road Site - T3B"/>
    <n v="529369"/>
    <n v="177317"/>
    <x v="12"/>
    <d v="2017-03-31T00:00:00"/>
    <m/>
    <n v="0"/>
    <n v="6"/>
    <n v="6"/>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3.5999998450279201E-2"/>
    <m/>
    <x v="0"/>
    <m/>
    <x v="2"/>
    <s v="AS"/>
    <s v="2.1.27"/>
    <m/>
    <n v="0"/>
    <n v="0"/>
    <n v="0"/>
    <n v="0"/>
    <n v="0"/>
    <n v="0"/>
    <n v="2"/>
    <n v="4"/>
    <n v="0"/>
    <n v="0"/>
    <n v="0"/>
    <n v="0"/>
    <n v="0"/>
    <n v="2"/>
    <n v="4"/>
    <n v="0"/>
    <n v="0"/>
    <n v="0"/>
    <n v="0"/>
    <n v="0"/>
    <n v="0"/>
    <n v="0"/>
    <n v="0"/>
    <n v="0"/>
    <n v="0"/>
    <n v="0"/>
    <n v="0"/>
    <n v="0"/>
    <n v="0"/>
    <n v="0"/>
    <n v="0"/>
    <n v="0"/>
    <x v="0"/>
    <x v="1"/>
    <x v="0"/>
    <x v="0"/>
    <x v="0"/>
    <m/>
    <x v="0"/>
    <x v="0"/>
    <n v="21"/>
    <m/>
    <m/>
    <m/>
    <m/>
    <m/>
    <m/>
    <m/>
    <n v="6"/>
    <m/>
    <m/>
    <m/>
    <m/>
    <m/>
    <m/>
    <m/>
    <m/>
    <m/>
    <m/>
    <m/>
    <m/>
    <m/>
    <n v="0"/>
    <n v="6"/>
  </r>
  <r>
    <n v="3511"/>
    <x v="2"/>
    <s v="2014/2810"/>
    <s v="New Covent Garden Market, Nine Elms Lane (Combined Main Market, Entrance site and Thessaly College site)"/>
    <s v="Thessaly Road Site - T4"/>
    <n v="529369"/>
    <n v="177317"/>
    <x v="12"/>
    <d v="2017-03-31T00:00:00"/>
    <m/>
    <n v="0"/>
    <n v="17"/>
    <n v="17"/>
    <n v="2971"/>
    <n v="2966"/>
    <x v="1"/>
    <s v="Planning application for part outline and part detail planning permission for: (a) demolition of existing wholesale Fruit and Vegetable and Flower Market and ancillary buildings and structures, and residential building on Nine Elms Lane (apart from the existing multi storey car park); (b) Construction of mixed-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s v="POLA"/>
    <d v="2014-05-15T00:00:00"/>
    <d v="2015-02-11T00:00:00"/>
    <x v="0"/>
    <s v="Nil"/>
    <m/>
    <s v="BF"/>
    <s v="NB"/>
    <x v="1"/>
    <x v="7"/>
    <n v="0.10199999809265101"/>
    <m/>
    <x v="0"/>
    <m/>
    <x v="1"/>
    <s v="ISO"/>
    <s v="2.1.27"/>
    <m/>
    <n v="0"/>
    <n v="0"/>
    <n v="0"/>
    <n v="0"/>
    <n v="0"/>
    <n v="2"/>
    <n v="7"/>
    <n v="8"/>
    <n v="0"/>
    <n v="0"/>
    <n v="0"/>
    <n v="0"/>
    <n v="2"/>
    <n v="7"/>
    <n v="8"/>
    <n v="0"/>
    <n v="0"/>
    <n v="0"/>
    <n v="0"/>
    <n v="0"/>
    <n v="0"/>
    <n v="0"/>
    <n v="0"/>
    <n v="0"/>
    <n v="0"/>
    <n v="0"/>
    <n v="0"/>
    <n v="0"/>
    <n v="0"/>
    <n v="0"/>
    <n v="0"/>
    <n v="0"/>
    <x v="0"/>
    <x v="1"/>
    <x v="0"/>
    <x v="0"/>
    <x v="0"/>
    <m/>
    <x v="0"/>
    <x v="0"/>
    <n v="21"/>
    <m/>
    <m/>
    <m/>
    <m/>
    <m/>
    <m/>
    <m/>
    <n v="17"/>
    <m/>
    <m/>
    <m/>
    <m/>
    <m/>
    <m/>
    <m/>
    <m/>
    <m/>
    <m/>
    <m/>
    <m/>
    <m/>
    <n v="0"/>
    <n v="17"/>
  </r>
  <r>
    <n v="3511"/>
    <x v="2"/>
    <s v="2019/2995"/>
    <s v="New Covent Garden Market, Nine Elms Lane (Combined Main Market, Entrance site and Thessaly College site)"/>
    <s v="N1"/>
    <n v="529369"/>
    <n v="177317"/>
    <x v="12"/>
    <d v="2019-12-01T00:00:00"/>
    <m/>
    <n v="0"/>
    <n v="179"/>
    <n v="179"/>
    <n v="455"/>
    <n v="455"/>
    <x v="1"/>
    <s v="Application for approval of reserved matters (Access, Layout, Appearance, Scale and Landscaping) for the 'Phase 2' of the Northern Site Development Zone pursuant to part outline and part detailed planning permission 2014/2810, dated 11/02/15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DT"/>
    <d v="2019-07-12T00:00:00"/>
    <d v="2019-11-22T00:00:00"/>
    <x v="1"/>
    <s v="Nil"/>
    <m/>
    <s v="BF"/>
    <s v="NB"/>
    <x v="1"/>
    <x v="7"/>
    <n v="0.17900000512599901"/>
    <m/>
    <x v="0"/>
    <m/>
    <x v="0"/>
    <s v="M"/>
    <s v="2.1.27"/>
    <m/>
    <n v="179"/>
    <n v="0"/>
    <n v="0"/>
    <n v="0"/>
    <n v="68"/>
    <n v="34"/>
    <n v="71"/>
    <n v="2"/>
    <n v="4"/>
    <n v="0"/>
    <n v="0"/>
    <n v="68"/>
    <n v="34"/>
    <n v="71"/>
    <n v="2"/>
    <n v="4"/>
    <n v="0"/>
    <n v="0"/>
    <n v="0"/>
    <n v="0"/>
    <n v="0"/>
    <n v="0"/>
    <n v="0"/>
    <n v="0"/>
    <n v="0"/>
    <n v="0"/>
    <n v="0"/>
    <n v="0"/>
    <n v="0"/>
    <n v="0"/>
    <n v="0"/>
    <n v="0"/>
    <x v="0"/>
    <x v="1"/>
    <x v="0"/>
    <x v="0"/>
    <x v="0"/>
    <m/>
    <x v="0"/>
    <x v="0"/>
    <n v="21"/>
    <m/>
    <m/>
    <m/>
    <m/>
    <m/>
    <n v="179"/>
    <m/>
    <m/>
    <m/>
    <m/>
    <m/>
    <m/>
    <m/>
    <m/>
    <m/>
    <m/>
    <m/>
    <m/>
    <m/>
    <m/>
    <m/>
    <n v="179"/>
    <n v="179"/>
  </r>
  <r>
    <n v="3511"/>
    <x v="2"/>
    <s v="2019/2995"/>
    <s v="New Covent Garden Market, Nine Elms Lane (Combined Main Market, Entrance site and Thessaly College site)"/>
    <s v="N2b"/>
    <n v="529369"/>
    <n v="177317"/>
    <x v="12"/>
    <d v="2019-12-01T00:00:00"/>
    <m/>
    <n v="0"/>
    <n v="19"/>
    <n v="19"/>
    <n v="455"/>
    <n v="455"/>
    <x v="1"/>
    <s v="Application for approval of reserved matters (Access, Layout, Appearance, Scale and Landscaping) for the 'Phase 2' of the Northern Site Development Zone pursuant to part outline and part detailed planning permission 2014/2810, dated 11/02/15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DT"/>
    <d v="2019-07-12T00:00:00"/>
    <d v="2019-11-22T00:00:00"/>
    <x v="1"/>
    <s v="Nil"/>
    <m/>
    <s v="BF"/>
    <s v="NB"/>
    <x v="1"/>
    <x v="7"/>
    <n v="0.43999999761581399"/>
    <m/>
    <x v="0"/>
    <m/>
    <x v="0"/>
    <s v="M"/>
    <s v="2.1.27"/>
    <m/>
    <n v="0"/>
    <n v="13"/>
    <n v="0"/>
    <n v="6"/>
    <n v="1"/>
    <n v="1"/>
    <n v="0"/>
    <n v="17"/>
    <n v="0"/>
    <n v="0"/>
    <n v="0"/>
    <n v="1"/>
    <n v="1"/>
    <n v="0"/>
    <n v="17"/>
    <n v="0"/>
    <n v="0"/>
    <n v="0"/>
    <n v="0"/>
    <n v="0"/>
    <n v="0"/>
    <n v="0"/>
    <n v="0"/>
    <n v="0"/>
    <n v="0"/>
    <n v="0"/>
    <n v="0"/>
    <n v="0"/>
    <n v="0"/>
    <n v="0"/>
    <n v="0"/>
    <n v="0"/>
    <x v="0"/>
    <x v="1"/>
    <x v="0"/>
    <x v="0"/>
    <x v="0"/>
    <m/>
    <x v="0"/>
    <x v="0"/>
    <n v="21"/>
    <m/>
    <m/>
    <m/>
    <m/>
    <n v="19"/>
    <m/>
    <m/>
    <m/>
    <m/>
    <m/>
    <m/>
    <m/>
    <m/>
    <m/>
    <m/>
    <m/>
    <m/>
    <m/>
    <m/>
    <m/>
    <m/>
    <n v="19"/>
    <n v="19"/>
  </r>
  <r>
    <n v="3511"/>
    <x v="2"/>
    <s v="2019/2995"/>
    <s v="New Covent Garden Market, Nine Elms Lane (Combined Main Market, Entrance site and Thessaly College site)"/>
    <s v="N3"/>
    <n v="529369"/>
    <n v="177317"/>
    <x v="12"/>
    <d v="2019-12-01T00:00:00"/>
    <m/>
    <n v="0"/>
    <n v="41"/>
    <n v="41"/>
    <n v="455"/>
    <n v="455"/>
    <x v="1"/>
    <s v="Application for approval of reserved matters (Access, Layout, Appearance, Scale and Landscaping) for the 'Phase 2' of the Northern Site Development Zone pursuant to part outline and part detailed planning permission 2014/2810, dated 11/02/15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DT"/>
    <d v="2019-07-12T00:00:00"/>
    <d v="2019-11-22T00:00:00"/>
    <x v="1"/>
    <s v="Nil"/>
    <m/>
    <s v="BF"/>
    <s v="NB"/>
    <x v="1"/>
    <x v="7"/>
    <n v="0.50599998235702504"/>
    <m/>
    <x v="0"/>
    <m/>
    <x v="0"/>
    <s v="M"/>
    <s v="2.1.27"/>
    <m/>
    <n v="0"/>
    <n v="37"/>
    <n v="0"/>
    <n v="4"/>
    <n v="2"/>
    <n v="2"/>
    <n v="10"/>
    <n v="25"/>
    <n v="2"/>
    <n v="0"/>
    <n v="0"/>
    <n v="2"/>
    <n v="2"/>
    <n v="10"/>
    <n v="25"/>
    <n v="2"/>
    <n v="0"/>
    <n v="0"/>
    <n v="0"/>
    <n v="0"/>
    <n v="0"/>
    <n v="0"/>
    <n v="0"/>
    <n v="0"/>
    <n v="0"/>
    <n v="0"/>
    <n v="0"/>
    <n v="0"/>
    <n v="0"/>
    <n v="0"/>
    <n v="0"/>
    <n v="0"/>
    <x v="0"/>
    <x v="1"/>
    <x v="0"/>
    <x v="0"/>
    <x v="0"/>
    <m/>
    <x v="0"/>
    <x v="0"/>
    <n v="21"/>
    <m/>
    <m/>
    <m/>
    <m/>
    <n v="41"/>
    <m/>
    <m/>
    <m/>
    <m/>
    <m/>
    <m/>
    <m/>
    <m/>
    <m/>
    <m/>
    <m/>
    <m/>
    <m/>
    <m/>
    <m/>
    <m/>
    <n v="41"/>
    <n v="41"/>
  </r>
  <r>
    <n v="3511"/>
    <x v="2"/>
    <s v="2019/2995"/>
    <s v="New Covent Garden Market, Nine Elms Lane (Combined Main Market, Entrance site and Thessaly College site)"/>
    <s v="N4"/>
    <n v="529369"/>
    <n v="177317"/>
    <x v="12"/>
    <d v="2019-12-01T00:00:00"/>
    <m/>
    <n v="0"/>
    <n v="59"/>
    <n v="59"/>
    <n v="455"/>
    <n v="455"/>
    <x v="1"/>
    <s v="Application for approval of reserved matters (Access, Layout, Appearance, Scale and Landscaping) for the 'Phase 2' of the Northern Site Development Zone pursuant to part outline and part detailed planning permission 2014/2810, dated 11/02/15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DT"/>
    <d v="2019-07-12T00:00:00"/>
    <d v="2019-11-22T00:00:00"/>
    <x v="1"/>
    <s v="Nil"/>
    <m/>
    <s v="BF"/>
    <s v="NB"/>
    <x v="1"/>
    <x v="7"/>
    <n v="0.48800000548362699"/>
    <m/>
    <x v="0"/>
    <m/>
    <x v="0"/>
    <s v="M"/>
    <s v="2.1.27"/>
    <m/>
    <n v="0"/>
    <n v="47"/>
    <n v="0"/>
    <n v="12"/>
    <n v="0"/>
    <n v="0"/>
    <n v="33"/>
    <n v="25"/>
    <n v="1"/>
    <n v="0"/>
    <n v="0"/>
    <n v="0"/>
    <n v="0"/>
    <n v="33"/>
    <n v="25"/>
    <n v="1"/>
    <n v="0"/>
    <n v="0"/>
    <n v="0"/>
    <n v="0"/>
    <n v="0"/>
    <n v="0"/>
    <n v="0"/>
    <n v="0"/>
    <n v="0"/>
    <n v="0"/>
    <n v="0"/>
    <n v="0"/>
    <n v="0"/>
    <n v="0"/>
    <n v="0"/>
    <n v="0"/>
    <x v="0"/>
    <x v="1"/>
    <x v="0"/>
    <x v="0"/>
    <x v="0"/>
    <m/>
    <x v="0"/>
    <x v="0"/>
    <n v="21"/>
    <m/>
    <m/>
    <m/>
    <m/>
    <n v="59"/>
    <m/>
    <m/>
    <m/>
    <m/>
    <m/>
    <m/>
    <m/>
    <m/>
    <m/>
    <m/>
    <m/>
    <m/>
    <m/>
    <m/>
    <m/>
    <m/>
    <n v="59"/>
    <n v="59"/>
  </r>
  <r>
    <n v="3511"/>
    <x v="2"/>
    <s v="2019/2995"/>
    <s v="New Covent Garden Market, Nine Elms Lane (Combined Main Market, Entrance site and Thessaly College site)"/>
    <s v="N5"/>
    <n v="529369"/>
    <n v="177317"/>
    <x v="12"/>
    <d v="2019-12-01T00:00:00"/>
    <m/>
    <n v="0"/>
    <n v="60"/>
    <n v="60"/>
    <n v="455"/>
    <n v="455"/>
    <x v="1"/>
    <s v="Application for approval of reserved matters (Access, Layout, Appearance, Scale and Landscaping) for the 'Phase 2' of the Northern Site Development Zone pursuant to part outline and part detailed planning permission 2014/2810, dated 11/02/15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DT"/>
    <d v="2019-07-12T00:00:00"/>
    <d v="2019-11-22T00:00:00"/>
    <x v="1"/>
    <s v="Nil"/>
    <m/>
    <s v="BF"/>
    <s v="NB"/>
    <x v="1"/>
    <x v="7"/>
    <n v="0.69900000095367398"/>
    <m/>
    <x v="0"/>
    <m/>
    <x v="0"/>
    <s v="M"/>
    <s v="2.1.27"/>
    <m/>
    <n v="0"/>
    <n v="54"/>
    <n v="0"/>
    <n v="6"/>
    <n v="0"/>
    <n v="12"/>
    <n v="22"/>
    <n v="25"/>
    <n v="1"/>
    <n v="0"/>
    <n v="0"/>
    <n v="0"/>
    <n v="12"/>
    <n v="22"/>
    <n v="25"/>
    <n v="1"/>
    <n v="0"/>
    <n v="0"/>
    <n v="0"/>
    <n v="0"/>
    <n v="0"/>
    <n v="0"/>
    <n v="0"/>
    <n v="0"/>
    <n v="0"/>
    <n v="0"/>
    <n v="0"/>
    <n v="0"/>
    <n v="0"/>
    <n v="0"/>
    <n v="0"/>
    <n v="0"/>
    <x v="0"/>
    <x v="1"/>
    <x v="0"/>
    <x v="0"/>
    <x v="0"/>
    <m/>
    <x v="0"/>
    <x v="0"/>
    <n v="21"/>
    <m/>
    <m/>
    <m/>
    <m/>
    <n v="60"/>
    <m/>
    <m/>
    <m/>
    <m/>
    <m/>
    <m/>
    <m/>
    <m/>
    <m/>
    <m/>
    <m/>
    <m/>
    <m/>
    <m/>
    <m/>
    <m/>
    <n v="60"/>
    <n v="60"/>
  </r>
  <r>
    <n v="3511"/>
    <x v="2"/>
    <s v="2019/2995"/>
    <s v="New Covent Garden Market, Nine Elms Lane (Combined Main Market, Entrance site and Thessaly College site)"/>
    <s v="N6"/>
    <n v="529369"/>
    <n v="177317"/>
    <x v="12"/>
    <d v="2019-12-01T00:00:00"/>
    <m/>
    <n v="0"/>
    <n v="16"/>
    <n v="16"/>
    <n v="455"/>
    <n v="455"/>
    <x v="1"/>
    <s v="Application for approval of reserved matters (Access, Layout, Appearance, Scale and Landscaping) for the 'Phase 2' of the Northern Site Development Zone pursuant to part outline and part detailed planning permission 2014/2810, dated 11/02/15 for: &quot;(a) Demolition of existing wholesale Fruit and Vegetable and Flower Market and ancillary buildings and structures, and residential building on Nine Elms Lane (apart from the existing multi storey car park); (b) Construction of mixed use redevelopment comprising: a new Fruit and Vegetable Market and Flower Market and ancillary uses, including temporary and permanent façade; refurbishment and extension of existing waste collection area (including rooftop sports pitches); residential dwellings; flexible commercial uses, including retail, financial and professional services, café/restaurant, bar uses and hot food takeaways and offices; non-residential institutions; assembly and leisure uses; temporary storage and distribution buildings and associated works; associated car, cycle and motorcycle parking and servicing and new vehicle accesses, energy centres; and landscaping public realm and open space including part of the Linear Park. All matters reserved apart from access, details of all new markets and supporting buildings, and details of Building N8 and associated landscaping); (c) Site clearance and enabling works. An Environmental Statement has been submitted with the application under The Town and Country Planning (Environmental Impact Assessment) Regulations 2011.&quot;"/>
    <s v="DT"/>
    <d v="2019-07-12T00:00:00"/>
    <d v="2019-11-22T00:00:00"/>
    <x v="1"/>
    <s v="Nil"/>
    <m/>
    <s v="BF"/>
    <s v="NB"/>
    <x v="1"/>
    <x v="7"/>
    <n v="0.72299998998642001"/>
    <m/>
    <x v="0"/>
    <m/>
    <x v="0"/>
    <s v="M"/>
    <s v="2.1.27"/>
    <m/>
    <n v="0"/>
    <n v="0"/>
    <n v="0"/>
    <n v="0"/>
    <n v="0"/>
    <n v="0"/>
    <n v="0"/>
    <n v="0"/>
    <n v="16"/>
    <n v="0"/>
    <n v="0"/>
    <n v="0"/>
    <n v="0"/>
    <n v="0"/>
    <n v="0"/>
    <n v="16"/>
    <n v="0"/>
    <n v="0"/>
    <n v="0"/>
    <n v="0"/>
    <n v="0"/>
    <n v="0"/>
    <n v="0"/>
    <n v="0"/>
    <n v="0"/>
    <n v="0"/>
    <n v="0"/>
    <n v="0"/>
    <n v="0"/>
    <n v="0"/>
    <n v="0"/>
    <n v="0"/>
    <x v="0"/>
    <x v="1"/>
    <x v="0"/>
    <x v="0"/>
    <x v="0"/>
    <m/>
    <x v="0"/>
    <x v="0"/>
    <n v="21"/>
    <m/>
    <m/>
    <m/>
    <m/>
    <n v="16"/>
    <m/>
    <m/>
    <m/>
    <m/>
    <m/>
    <m/>
    <m/>
    <m/>
    <m/>
    <m/>
    <m/>
    <m/>
    <m/>
    <m/>
    <m/>
    <m/>
    <n v="16"/>
    <n v="16"/>
  </r>
  <r>
    <n v="3514"/>
    <x v="2"/>
    <s v="2016/6417"/>
    <s v="Battersea Gasholder, 101 Prince of Wales Drive"/>
    <s v="Block A"/>
    <n v="528809"/>
    <n v="177181"/>
    <x v="12"/>
    <d v="2016-10-19T00:00:00"/>
    <m/>
    <n v="0"/>
    <n v="46"/>
    <n v="46"/>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7.9000003635883304E-2"/>
    <m/>
    <x v="0"/>
    <m/>
    <x v="0"/>
    <s v="M"/>
    <s v="2.1.4"/>
    <m/>
    <n v="46"/>
    <n v="0"/>
    <n v="5"/>
    <n v="0"/>
    <n v="0"/>
    <n v="0"/>
    <n v="40"/>
    <n v="6"/>
    <n v="0"/>
    <n v="0"/>
    <n v="0"/>
    <n v="0"/>
    <n v="0"/>
    <n v="40"/>
    <n v="6"/>
    <n v="0"/>
    <n v="0"/>
    <n v="0"/>
    <n v="0"/>
    <n v="0"/>
    <n v="0"/>
    <n v="0"/>
    <n v="0"/>
    <n v="0"/>
    <n v="0"/>
    <n v="0"/>
    <n v="0"/>
    <n v="0"/>
    <n v="0"/>
    <n v="0"/>
    <n v="0"/>
    <n v="0"/>
    <x v="0"/>
    <x v="1"/>
    <x v="0"/>
    <x v="0"/>
    <x v="0"/>
    <m/>
    <x v="0"/>
    <x v="0"/>
    <n v="21"/>
    <m/>
    <m/>
    <m/>
    <m/>
    <m/>
    <n v="46"/>
    <m/>
    <m/>
    <m/>
    <m/>
    <m/>
    <m/>
    <m/>
    <m/>
    <m/>
    <m/>
    <m/>
    <m/>
    <m/>
    <m/>
    <m/>
    <n v="46"/>
    <n v="46"/>
  </r>
  <r>
    <n v="3514"/>
    <x v="2"/>
    <s v="2016/6417"/>
    <s v="Battersea Gasholder, 101 Prince of Wales Drive"/>
    <s v="Block B"/>
    <n v="528809"/>
    <n v="177181"/>
    <x v="12"/>
    <d v="2016-10-19T00:00:00"/>
    <m/>
    <n v="0"/>
    <n v="118"/>
    <n v="118"/>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0.20399999618530301"/>
    <m/>
    <x v="0"/>
    <m/>
    <x v="0"/>
    <s v="M"/>
    <s v="2.1.4"/>
    <m/>
    <n v="118"/>
    <n v="0"/>
    <n v="12"/>
    <n v="0"/>
    <n v="0"/>
    <n v="34"/>
    <n v="82"/>
    <n v="2"/>
    <n v="0"/>
    <n v="0"/>
    <n v="0"/>
    <n v="0"/>
    <n v="34"/>
    <n v="82"/>
    <n v="2"/>
    <n v="0"/>
    <n v="0"/>
    <n v="0"/>
    <n v="0"/>
    <n v="0"/>
    <n v="0"/>
    <n v="0"/>
    <n v="0"/>
    <n v="0"/>
    <n v="0"/>
    <n v="0"/>
    <n v="0"/>
    <n v="0"/>
    <n v="0"/>
    <n v="0"/>
    <n v="0"/>
    <n v="0"/>
    <x v="0"/>
    <x v="1"/>
    <x v="0"/>
    <x v="0"/>
    <x v="0"/>
    <m/>
    <x v="0"/>
    <x v="0"/>
    <n v="21"/>
    <m/>
    <m/>
    <m/>
    <m/>
    <n v="118"/>
    <m/>
    <m/>
    <m/>
    <m/>
    <m/>
    <m/>
    <m/>
    <m/>
    <m/>
    <m/>
    <m/>
    <m/>
    <m/>
    <m/>
    <m/>
    <m/>
    <n v="118"/>
    <n v="118"/>
  </r>
  <r>
    <n v="3514"/>
    <x v="2"/>
    <s v="2016/6417"/>
    <s v="Battersea Gasholder, 101 Prince of Wales Drive"/>
    <s v="Block F"/>
    <n v="528809"/>
    <n v="177181"/>
    <x v="12"/>
    <d v="2016-10-19T00:00:00"/>
    <m/>
    <n v="0"/>
    <n v="98"/>
    <n v="98"/>
    <n v="835"/>
    <n v="835"/>
    <x v="1"/>
    <s v="Minor Material Amendment pursuant to conditions 1 (approved drawings); 8 (unit number &amp; floorspace restrictions); 9 (approved unit mix); 34 (drainage strategy) and 43 (cycle parking) of planning permission 2015/0591, dated 18/09/15 as amended by 2015/5347, dated 05/02/16 and 2016/1517, dated 24/10/2016 for a mixed-use redevelopment of the site to provide 839 residential units, including affordable housing; approximately 5,700sqm of commercial floorspace including retail, financial &amp; professional services, cafe/restaurant, offices, education, community and leisure (A1/A2/A3/B1/D1/D2) uses within buildings ranging from 2 to 26 storeys high; with landscaped private amenity space and public realm, new publicly accessible routes through the site and basement car and cycle parking. _x000d__x000a__x000d__x000a_(The amendments comprise increasing the number of residential units by 116, 28 of which would be affordable, resulting in a site total of 955 units; alterations to the residential mix to increase the number of one and three-bed units and decrease the number of two-bed units; two-storey increase in height to Blocks K &amp; L to accommodate additional affordable units; alterations to the elevations, including to windows and balconies of all blocks (except Blocks J &amp; E); alterations to the light wells serving the basement of Blocks G &amp; H; increasing the retail (A1), nursery (D1) and café (A3) floorspace and reducing the flexible education/office (B1/D1) floorspace; minor alterations to the drainage strategy; and associated increase in cycle parking. An addendum to the Environmental Statement was submitted under The Town and Country Planning (Environmental Impact Assessment) Regulations 2011 (as amended 2015))."/>
    <s v="S73"/>
    <d v="2016-11-01T00:00:00"/>
    <d v="2017-05-03T00:00:00"/>
    <x v="0"/>
    <s v="Nil"/>
    <m/>
    <s v="BF"/>
    <s v="NB"/>
    <x v="1"/>
    <x v="7"/>
    <n v="0.168999999761581"/>
    <m/>
    <x v="0"/>
    <m/>
    <x v="0"/>
    <s v="M"/>
    <s v="2.1.4"/>
    <m/>
    <n v="98"/>
    <n v="0"/>
    <n v="10"/>
    <n v="0"/>
    <n v="0"/>
    <n v="28"/>
    <n v="68"/>
    <n v="2"/>
    <n v="0"/>
    <n v="0"/>
    <n v="0"/>
    <n v="0"/>
    <n v="28"/>
    <n v="68"/>
    <n v="2"/>
    <n v="0"/>
    <n v="0"/>
    <n v="0"/>
    <n v="0"/>
    <n v="0"/>
    <n v="0"/>
    <n v="0"/>
    <n v="0"/>
    <n v="0"/>
    <n v="0"/>
    <n v="0"/>
    <n v="0"/>
    <n v="0"/>
    <n v="0"/>
    <n v="0"/>
    <n v="0"/>
    <n v="0"/>
    <x v="0"/>
    <x v="1"/>
    <x v="0"/>
    <x v="0"/>
    <x v="0"/>
    <m/>
    <x v="0"/>
    <x v="0"/>
    <n v="21"/>
    <m/>
    <m/>
    <m/>
    <m/>
    <m/>
    <n v="98"/>
    <m/>
    <m/>
    <m/>
    <m/>
    <m/>
    <m/>
    <m/>
    <m/>
    <m/>
    <m/>
    <m/>
    <m/>
    <m/>
    <m/>
    <m/>
    <n v="98"/>
    <n v="98"/>
  </r>
  <r>
    <n v="3518"/>
    <x v="2"/>
    <s v="2012/5286"/>
    <s v="Ram Brewery, Capital Studios &amp; Duvall Works, Ram Street/Armoury Way/Wandsworth High Street (The Ram Quarter)"/>
    <s v="Building 04D"/>
    <n v="525666"/>
    <n v="174804"/>
    <x v="2"/>
    <d v="2015-04-01T00:00:00"/>
    <m/>
    <n v="0"/>
    <n v="16"/>
    <n v="16"/>
    <n v="663"/>
    <n v="662"/>
    <x v="1"/>
    <s v="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
    <s v="POLA"/>
    <d v="2012-11-21T00:00:00"/>
    <d v="2013-12-06T00:00:00"/>
    <x v="0"/>
    <s v="Nil"/>
    <m/>
    <s v="BF"/>
    <s v="NB"/>
    <x v="1"/>
    <x v="7"/>
    <n v="0"/>
    <m/>
    <x v="0"/>
    <m/>
    <x v="0"/>
    <s v="M"/>
    <s v="3.1.2"/>
    <m/>
    <n v="0"/>
    <n v="0"/>
    <n v="0"/>
    <n v="0"/>
    <n v="0"/>
    <n v="10"/>
    <n v="6"/>
    <n v="0"/>
    <n v="0"/>
    <n v="0"/>
    <n v="0"/>
    <n v="0"/>
    <n v="10"/>
    <n v="6"/>
    <n v="0"/>
    <n v="0"/>
    <n v="0"/>
    <n v="0"/>
    <n v="0"/>
    <n v="0"/>
    <n v="0"/>
    <n v="0"/>
    <n v="0"/>
    <n v="0"/>
    <n v="0"/>
    <n v="0"/>
    <n v="0"/>
    <n v="0"/>
    <n v="0"/>
    <n v="0"/>
    <n v="0"/>
    <n v="0"/>
    <x v="0"/>
    <x v="0"/>
    <x v="1"/>
    <x v="0"/>
    <x v="0"/>
    <m/>
    <x v="0"/>
    <x v="0"/>
    <n v="7"/>
    <m/>
    <m/>
    <m/>
    <m/>
    <m/>
    <m/>
    <m/>
    <m/>
    <m/>
    <m/>
    <m/>
    <m/>
    <m/>
    <m/>
    <m/>
    <m/>
    <m/>
    <m/>
    <m/>
    <m/>
    <m/>
    <n v="0"/>
    <n v="0"/>
  </r>
  <r>
    <n v="3518"/>
    <x v="2"/>
    <s v="2012/5286"/>
    <s v="Ram Brewery, Capital Studios &amp; Duvall Works, Ram Street/Armoury Way/Wandsworth High Street (The Ram Quarter)"/>
    <s v="Building 04E"/>
    <n v="525666"/>
    <n v="174804"/>
    <x v="2"/>
    <d v="2015-04-01T00:00:00"/>
    <m/>
    <n v="0"/>
    <n v="23"/>
    <n v="23"/>
    <n v="663"/>
    <n v="662"/>
    <x v="1"/>
    <s v="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
    <s v="POLA"/>
    <d v="2012-11-21T00:00:00"/>
    <d v="2013-12-06T00:00:00"/>
    <x v="0"/>
    <s v="Nil"/>
    <m/>
    <s v="BF"/>
    <s v="NB"/>
    <x v="1"/>
    <x v="7"/>
    <n v="0"/>
    <m/>
    <x v="0"/>
    <m/>
    <x v="0"/>
    <s v="M"/>
    <s v="3.1.2"/>
    <m/>
    <n v="0"/>
    <n v="0"/>
    <n v="1"/>
    <n v="0"/>
    <n v="0"/>
    <n v="10"/>
    <n v="7"/>
    <n v="4"/>
    <n v="2"/>
    <n v="0"/>
    <n v="0"/>
    <n v="0"/>
    <n v="10"/>
    <n v="7"/>
    <n v="4"/>
    <n v="2"/>
    <n v="0"/>
    <n v="0"/>
    <n v="0"/>
    <n v="0"/>
    <n v="0"/>
    <n v="0"/>
    <n v="0"/>
    <n v="0"/>
    <n v="0"/>
    <n v="0"/>
    <n v="0"/>
    <n v="0"/>
    <n v="0"/>
    <n v="0"/>
    <n v="0"/>
    <n v="0"/>
    <x v="0"/>
    <x v="0"/>
    <x v="1"/>
    <x v="0"/>
    <x v="0"/>
    <m/>
    <x v="0"/>
    <x v="0"/>
    <n v="7"/>
    <m/>
    <m/>
    <m/>
    <m/>
    <m/>
    <m/>
    <m/>
    <m/>
    <m/>
    <m/>
    <m/>
    <m/>
    <m/>
    <m/>
    <m/>
    <m/>
    <m/>
    <m/>
    <m/>
    <m/>
    <m/>
    <n v="0"/>
    <n v="0"/>
  </r>
  <r>
    <n v="3518"/>
    <x v="2"/>
    <s v="2012/5286"/>
    <s v="Ram Brewery, Capital Studios &amp; Duvall Works, Ram Street/Armoury Way/Wandsworth High Street (The Ram Quarter)"/>
    <s v="Building 04F"/>
    <n v="525666"/>
    <n v="174804"/>
    <x v="2"/>
    <d v="2015-04-01T00:00:00"/>
    <m/>
    <n v="0"/>
    <n v="24"/>
    <n v="24"/>
    <n v="663"/>
    <n v="662"/>
    <x v="1"/>
    <s v="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
    <s v="POLA"/>
    <d v="2012-11-21T00:00:00"/>
    <d v="2013-12-06T00:00:00"/>
    <x v="0"/>
    <s v="Nil"/>
    <m/>
    <s v="BF"/>
    <s v="NB"/>
    <x v="1"/>
    <x v="7"/>
    <n v="0"/>
    <m/>
    <x v="0"/>
    <m/>
    <x v="0"/>
    <s v="M"/>
    <s v="3.1.2"/>
    <m/>
    <n v="0"/>
    <n v="0"/>
    <n v="5"/>
    <n v="0"/>
    <n v="0"/>
    <n v="1"/>
    <n v="19"/>
    <n v="4"/>
    <n v="0"/>
    <n v="0"/>
    <n v="0"/>
    <n v="0"/>
    <n v="1"/>
    <n v="19"/>
    <n v="4"/>
    <n v="0"/>
    <n v="0"/>
    <n v="0"/>
    <n v="0"/>
    <n v="0"/>
    <n v="0"/>
    <n v="0"/>
    <n v="0"/>
    <n v="0"/>
    <n v="0"/>
    <n v="0"/>
    <n v="0"/>
    <n v="0"/>
    <n v="0"/>
    <n v="0"/>
    <n v="0"/>
    <n v="0"/>
    <x v="0"/>
    <x v="0"/>
    <x v="1"/>
    <x v="0"/>
    <x v="0"/>
    <m/>
    <x v="0"/>
    <x v="0"/>
    <n v="7"/>
    <m/>
    <m/>
    <m/>
    <m/>
    <m/>
    <m/>
    <m/>
    <m/>
    <m/>
    <m/>
    <m/>
    <m/>
    <m/>
    <m/>
    <m/>
    <m/>
    <m/>
    <m/>
    <m/>
    <m/>
    <m/>
    <n v="0"/>
    <n v="0"/>
  </r>
  <r>
    <n v="3518"/>
    <x v="2"/>
    <s v="2012/5286"/>
    <s v="Ram Brewery, Capital Studios &amp; Duvall Works, Ram Street/Armoury Way/Wandsworth High Street (The Ram Quarter)"/>
    <s v="Building 05"/>
    <n v="525666"/>
    <n v="174804"/>
    <x v="2"/>
    <d v="2015-04-01T00:00:00"/>
    <m/>
    <n v="0"/>
    <n v="166"/>
    <n v="166"/>
    <n v="663"/>
    <n v="662"/>
    <x v="1"/>
    <s v="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
    <s v="POLA"/>
    <d v="2012-11-21T00:00:00"/>
    <d v="2013-12-06T00:00:00"/>
    <x v="0"/>
    <s v="Nil"/>
    <m/>
    <s v="BF"/>
    <s v="NB"/>
    <x v="1"/>
    <x v="7"/>
    <n v="0"/>
    <m/>
    <x v="0"/>
    <m/>
    <x v="0"/>
    <s v="M"/>
    <s v="3.1.2"/>
    <m/>
    <n v="0"/>
    <n v="0"/>
    <n v="10"/>
    <n v="0"/>
    <n v="23"/>
    <n v="23"/>
    <n v="70"/>
    <n v="44"/>
    <n v="6"/>
    <n v="0"/>
    <n v="0"/>
    <n v="23"/>
    <n v="23"/>
    <n v="70"/>
    <n v="44"/>
    <n v="6"/>
    <n v="0"/>
    <n v="0"/>
    <n v="0"/>
    <n v="0"/>
    <n v="0"/>
    <n v="0"/>
    <n v="0"/>
    <n v="0"/>
    <n v="0"/>
    <n v="0"/>
    <n v="0"/>
    <n v="0"/>
    <n v="0"/>
    <n v="0"/>
    <n v="0"/>
    <n v="0"/>
    <x v="0"/>
    <x v="0"/>
    <x v="1"/>
    <x v="0"/>
    <x v="0"/>
    <m/>
    <x v="0"/>
    <x v="0"/>
    <n v="7"/>
    <m/>
    <m/>
    <m/>
    <m/>
    <m/>
    <m/>
    <m/>
    <m/>
    <m/>
    <m/>
    <m/>
    <m/>
    <m/>
    <m/>
    <m/>
    <m/>
    <m/>
    <m/>
    <m/>
    <m/>
    <m/>
    <n v="0"/>
    <n v="0"/>
  </r>
  <r>
    <n v="3518"/>
    <x v="2"/>
    <s v="2012/5286"/>
    <s v="Ram Brewery, Capital Studios &amp; Duvall Works, Ram Street/Armoury Way/Wandsworth High Street (The Ram Quarter)"/>
    <s v="Building 06"/>
    <n v="525666"/>
    <n v="174804"/>
    <x v="2"/>
    <d v="2015-04-01T00:00:00"/>
    <m/>
    <n v="0"/>
    <n v="30"/>
    <n v="30"/>
    <n v="663"/>
    <n v="662"/>
    <x v="1"/>
    <s v="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
    <s v="POLA"/>
    <d v="2012-11-21T00:00:00"/>
    <d v="2013-12-06T00:00:00"/>
    <x v="0"/>
    <s v="Nil"/>
    <m/>
    <s v="BF"/>
    <s v="NB"/>
    <x v="1"/>
    <x v="7"/>
    <n v="0"/>
    <m/>
    <x v="0"/>
    <m/>
    <x v="0"/>
    <s v="M"/>
    <s v="3.1.2"/>
    <m/>
    <n v="0"/>
    <n v="0"/>
    <n v="5"/>
    <n v="0"/>
    <n v="0"/>
    <n v="15"/>
    <n v="5"/>
    <n v="10"/>
    <n v="0"/>
    <n v="0"/>
    <n v="0"/>
    <n v="0"/>
    <n v="15"/>
    <n v="5"/>
    <n v="10"/>
    <n v="0"/>
    <n v="0"/>
    <n v="0"/>
    <n v="0"/>
    <n v="0"/>
    <n v="0"/>
    <n v="0"/>
    <n v="0"/>
    <n v="0"/>
    <n v="0"/>
    <n v="0"/>
    <n v="0"/>
    <n v="0"/>
    <n v="0"/>
    <n v="0"/>
    <n v="0"/>
    <n v="0"/>
    <x v="0"/>
    <x v="0"/>
    <x v="1"/>
    <x v="0"/>
    <x v="0"/>
    <m/>
    <x v="0"/>
    <x v="0"/>
    <n v="7"/>
    <m/>
    <m/>
    <m/>
    <m/>
    <m/>
    <m/>
    <m/>
    <m/>
    <m/>
    <m/>
    <m/>
    <m/>
    <m/>
    <m/>
    <m/>
    <m/>
    <m/>
    <m/>
    <m/>
    <m/>
    <m/>
    <n v="0"/>
    <n v="0"/>
  </r>
  <r>
    <n v="3518"/>
    <x v="2"/>
    <s v="2016/6029"/>
    <s v="Ram Brewery, Capital Studios &amp; Duvall Works, Ram Street/Armoury Way/Wandsworth High Street (The Ram Quarter)"/>
    <s v="Building 09"/>
    <n v="525666"/>
    <n v="174804"/>
    <x v="2"/>
    <d v="2015-04-01T00:00:00"/>
    <m/>
    <n v="0"/>
    <n v="66"/>
    <n v="66"/>
    <n v="66"/>
    <n v="66"/>
    <x v="1"/>
    <s v="Non-material amendment to planning permission dated 06/12/82013 ref 2012/5286 [A mixed use development comprising alterations and change of use of retained former brewery buildings, demolition of non-Listed Buildings and the construction of new buildings 2-12 storeys in height and a tower of 36 storeys in height. Provision of 10114sqm of retail (Class A1-A4), 661 residential units, continued small scale brewery use (Class B2), museum (Class D1), ancillary gym. The creation of public areas and river walkway; new and repositioned vehicular and pedestrian access points and provision of servicing areas, energy centre and basement car and cycle parking.] to allow addition of substation with louvred façade access to ground floor, second residential entrance under residential balcony facing Armoury Way removed, plantroom introduced to façade facing ramp, waste store moved to external façade adjacent to residential entrance, apartment layouts revised and mix changed from:_x000d__x000a_36 x 1bed, 12 x 2bed and 18 x 3bed to 36 x 1bed, 24 x 2bed and 6 x 3bed, Unit sizes have been reduced to better relate to London Plan guidelines, Private amenity: Recessed balconies &amp; winter gardens added, minor adjustment of window positions to allow removal of transfer structure by introducing continuous facade columns, plant room added to west side of level 01,  roof plant incorporated to one half of level and screening added and consented balconies changed to metal railings on levels 1-4."/>
    <s v="S96A"/>
    <d v="2016-10-28T00:00:00"/>
    <d v="2016-12-02T00:00:00"/>
    <x v="0"/>
    <s v="Nil"/>
    <m/>
    <s v="BF"/>
    <s v="NB"/>
    <x v="1"/>
    <x v="7"/>
    <n v="0"/>
    <m/>
    <x v="0"/>
    <m/>
    <x v="1"/>
    <s v="ISO"/>
    <s v="3.1.2"/>
    <m/>
    <n v="10"/>
    <n v="0"/>
    <n v="10"/>
    <n v="0"/>
    <n v="0"/>
    <n v="36"/>
    <n v="24"/>
    <n v="6"/>
    <n v="0"/>
    <n v="0"/>
    <n v="0"/>
    <n v="0"/>
    <n v="36"/>
    <n v="24"/>
    <n v="6"/>
    <n v="0"/>
    <n v="0"/>
    <n v="0"/>
    <n v="0"/>
    <n v="0"/>
    <n v="0"/>
    <n v="0"/>
    <n v="0"/>
    <n v="0"/>
    <n v="0"/>
    <n v="0"/>
    <n v="0"/>
    <n v="0"/>
    <n v="0"/>
    <n v="0"/>
    <n v="0"/>
    <n v="0"/>
    <x v="0"/>
    <x v="0"/>
    <x v="1"/>
    <x v="0"/>
    <x v="0"/>
    <m/>
    <x v="0"/>
    <x v="0"/>
    <n v="7"/>
    <m/>
    <m/>
    <m/>
    <m/>
    <m/>
    <m/>
    <m/>
    <m/>
    <m/>
    <m/>
    <m/>
    <m/>
    <m/>
    <m/>
    <m/>
    <m/>
    <m/>
    <m/>
    <m/>
    <m/>
    <m/>
    <n v="0"/>
    <n v="0"/>
  </r>
  <r>
    <n v="3519"/>
    <x v="2"/>
    <s v="2017/0580"/>
    <s v="B and Q Depot, Smugglers Way"/>
    <s v="B3"/>
    <n v="525782"/>
    <n v="175172"/>
    <x v="2"/>
    <d v="2020-01-18T00:00:00"/>
    <m/>
    <n v="0"/>
    <n v="28"/>
    <n v="28"/>
    <n v="517"/>
    <n v="517"/>
    <x v="1"/>
    <s v="Demolition of existing retail buildings and phased construction of 13 residential blocks (with 3 podiums) ranging from 8 to 15 storeys to provide a mixed use scheme including 517 residential units (Class C3), 5160 s.q.m. GIA of business (Class B1) and 2969 s.q.m. GIA flexible business/retail/restaurant and cafe (Class B1, A1, A2, A3 and A4) with car/cycle parking, associated combined heat and power (CHP), plant and associated works, landscaping, new accesses onto Smugglers Way, and offsite highways works including a new pedestrian crossing of Swandon Way. An Environmental Statement has been submitted under the Town and Country Planning (Environmental Impact Assessment) Regulations 2017 as amended"/>
    <s v="PFLA"/>
    <d v="2017-01-31T00:00:00"/>
    <d v="2019-03-29T00:00:00"/>
    <x v="0"/>
    <s v="Nil"/>
    <m/>
    <s v="BF"/>
    <s v="NB"/>
    <x v="1"/>
    <x v="7"/>
    <n v="4.6000000089407002E-2"/>
    <m/>
    <x v="0"/>
    <m/>
    <x v="2"/>
    <s v="AA"/>
    <s v="3.7"/>
    <m/>
    <n v="181"/>
    <n v="25"/>
    <n v="18"/>
    <n v="3"/>
    <n v="0"/>
    <n v="14"/>
    <n v="14"/>
    <n v="0"/>
    <n v="0"/>
    <n v="0"/>
    <n v="0"/>
    <n v="0"/>
    <n v="14"/>
    <n v="14"/>
    <n v="0"/>
    <n v="0"/>
    <n v="0"/>
    <n v="0"/>
    <n v="0"/>
    <n v="0"/>
    <n v="0"/>
    <n v="0"/>
    <n v="0"/>
    <n v="0"/>
    <n v="0"/>
    <n v="0"/>
    <n v="0"/>
    <n v="0"/>
    <n v="0"/>
    <n v="0"/>
    <n v="0"/>
    <n v="0"/>
    <x v="0"/>
    <x v="0"/>
    <x v="1"/>
    <x v="0"/>
    <x v="0"/>
    <m/>
    <x v="0"/>
    <x v="0"/>
    <n v="7"/>
    <m/>
    <m/>
    <m/>
    <n v="28"/>
    <m/>
    <m/>
    <m/>
    <m/>
    <m/>
    <m/>
    <m/>
    <m/>
    <m/>
    <m/>
    <m/>
    <m/>
    <m/>
    <m/>
    <m/>
    <m/>
    <m/>
    <n v="28"/>
    <n v="28"/>
  </r>
  <r>
    <n v="3519"/>
    <x v="2"/>
    <s v="2017/0580"/>
    <s v="B and Q Depot, Smugglers Way"/>
    <s v="B4"/>
    <n v="525782"/>
    <n v="175172"/>
    <x v="2"/>
    <d v="2020-01-18T00:00:00"/>
    <m/>
    <n v="0"/>
    <n v="24"/>
    <n v="24"/>
    <n v="517"/>
    <n v="517"/>
    <x v="1"/>
    <s v="Demolition of existing retail buildings and phased construction of 13 residential blocks (with 3 podiums) ranging from 8 to 15 storeys to provide a mixed use scheme including 517 residential units (Class C3), 5160 s.q.m. GIA of business (Class B1) and 2969 s.q.m. GIA flexible business/retail/restaurant and cafe (Class B1, A1, A2, A3 and A4) with car/cycle parking, associated combined heat and power (CHP), plant and associated works, landscaping, new accesses onto Smugglers Way, and offsite highways works including a new pedestrian crossing of Swandon Way. An Environmental Statement has been submitted under the Town and Country Planning (Environmental Impact Assessment) Regulations 2017 as amended"/>
    <s v="PFLA"/>
    <d v="2017-01-31T00:00:00"/>
    <d v="2019-03-29T00:00:00"/>
    <x v="0"/>
    <s v="Nil"/>
    <m/>
    <s v="BF"/>
    <s v="NB"/>
    <x v="1"/>
    <x v="7"/>
    <n v="3.9999999105930301E-2"/>
    <m/>
    <x v="0"/>
    <m/>
    <x v="2"/>
    <s v="AA"/>
    <s v="3.7"/>
    <m/>
    <n v="0"/>
    <n v="22"/>
    <n v="0"/>
    <n v="2"/>
    <n v="0"/>
    <n v="0"/>
    <n v="16"/>
    <n v="8"/>
    <n v="0"/>
    <n v="0"/>
    <n v="0"/>
    <n v="0"/>
    <n v="0"/>
    <n v="16"/>
    <n v="8"/>
    <n v="0"/>
    <n v="0"/>
    <n v="0"/>
    <n v="0"/>
    <n v="0"/>
    <n v="0"/>
    <n v="0"/>
    <n v="0"/>
    <n v="0"/>
    <n v="0"/>
    <n v="0"/>
    <n v="0"/>
    <n v="0"/>
    <n v="0"/>
    <n v="0"/>
    <n v="0"/>
    <n v="0"/>
    <x v="0"/>
    <x v="0"/>
    <x v="1"/>
    <x v="0"/>
    <x v="0"/>
    <m/>
    <x v="0"/>
    <x v="0"/>
    <n v="7"/>
    <m/>
    <m/>
    <m/>
    <n v="24"/>
    <m/>
    <m/>
    <m/>
    <m/>
    <m/>
    <m/>
    <m/>
    <m/>
    <m/>
    <m/>
    <m/>
    <m/>
    <m/>
    <m/>
    <m/>
    <m/>
    <m/>
    <n v="24"/>
    <n v="24"/>
  </r>
  <r>
    <n v="3519"/>
    <x v="2"/>
    <s v="2017/0580"/>
    <s v="B and Q Depot, Smugglers Way"/>
    <m/>
    <n v="525782"/>
    <n v="175172"/>
    <x v="2"/>
    <d v="2020-01-18T00:00:00"/>
    <m/>
    <n v="0"/>
    <n v="333"/>
    <n v="333"/>
    <n v="517"/>
    <n v="517"/>
    <x v="1"/>
    <s v="Demolition of existing retail buildings and phased construction of 13 residential blocks (with 3 podiums) ranging from 8 to 15 storeys to provide a mixed use scheme including 517 residential units (Class C3), 5160 s.q.m. GIA of business (Class B1) and 2969 s.q.m. GIA flexible business/retail/restaurant and cafe (Class B1, A1, A2, A3 and A4) with car/cycle parking, associated combined heat and power (CHP), plant and associated works, landscaping, new accesses onto Smugglers Way, and offsite highways works including a new pedestrian crossing of Swandon Way. An Environmental Statement has been submitted under the Town and Country Planning (Environmental Impact Assessment) Regulations 2017 as amended"/>
    <s v="PFLA"/>
    <d v="2017-01-31T00:00:00"/>
    <d v="2019-03-29T00:00:00"/>
    <x v="0"/>
    <s v="Nil"/>
    <m/>
    <s v="BF"/>
    <s v="NB"/>
    <x v="1"/>
    <x v="7"/>
    <n v="0.55099999904632602"/>
    <m/>
    <x v="0"/>
    <m/>
    <x v="0"/>
    <s v="M"/>
    <s v="3.7"/>
    <m/>
    <n v="0"/>
    <n v="300"/>
    <n v="0"/>
    <n v="33"/>
    <n v="0"/>
    <n v="84"/>
    <n v="231"/>
    <n v="18"/>
    <n v="0"/>
    <n v="0"/>
    <n v="0"/>
    <n v="0"/>
    <n v="84"/>
    <n v="231"/>
    <n v="18"/>
    <n v="0"/>
    <n v="0"/>
    <n v="0"/>
    <n v="0"/>
    <n v="0"/>
    <n v="0"/>
    <n v="0"/>
    <n v="0"/>
    <n v="0"/>
    <n v="0"/>
    <n v="0"/>
    <n v="0"/>
    <n v="0"/>
    <n v="0"/>
    <n v="0"/>
    <n v="0"/>
    <n v="0"/>
    <x v="0"/>
    <x v="0"/>
    <x v="1"/>
    <x v="0"/>
    <x v="0"/>
    <m/>
    <x v="0"/>
    <x v="0"/>
    <n v="7"/>
    <m/>
    <m/>
    <m/>
    <n v="333"/>
    <m/>
    <m/>
    <m/>
    <m/>
    <m/>
    <m/>
    <m/>
    <m/>
    <m/>
    <m/>
    <m/>
    <m/>
    <m/>
    <m/>
    <m/>
    <m/>
    <m/>
    <n v="333"/>
    <n v="333"/>
  </r>
  <r>
    <n v="3519"/>
    <x v="2"/>
    <s v="2017/0580"/>
    <s v="B and Q Depot, Smugglers Way"/>
    <m/>
    <n v="525782"/>
    <n v="175172"/>
    <x v="2"/>
    <d v="2020-01-18T00:00:00"/>
    <m/>
    <n v="0"/>
    <n v="132"/>
    <n v="132"/>
    <n v="517"/>
    <n v="517"/>
    <x v="1"/>
    <s v="Demolition of existing retail buildings and phased construction of 13 residential blocks (with 3 podiums) ranging from 8 to 15 storeys to provide a mixed use scheme including 517 residential units (Class C3), 5160 s.q.m. GIA of business (Class B1) and 2969 s.q.m. GIA flexible business/retail/restaurant and cafe (Class B1, A1, A2, A3 and A4) with car/cycle parking, associated combined heat and power (CHP), plant and associated works, landscaping, new accesses onto Smugglers Way, and offsite highways works including a new pedestrian crossing of Swandon Way. An Environmental Statement has been submitted under the Town and Country Planning (Environmental Impact Assessment) Regulations 2017 as amended"/>
    <s v="PFLA"/>
    <d v="2017-01-31T00:00:00"/>
    <d v="2019-03-29T00:00:00"/>
    <x v="0"/>
    <s v="Nil"/>
    <m/>
    <s v="BF"/>
    <s v="NB"/>
    <x v="1"/>
    <x v="7"/>
    <n v="0.21799999475479101"/>
    <m/>
    <x v="0"/>
    <m/>
    <x v="1"/>
    <s v="IU"/>
    <s v="3.7"/>
    <m/>
    <n v="336"/>
    <n v="119"/>
    <n v="34"/>
    <n v="13"/>
    <n v="0"/>
    <n v="43"/>
    <n v="89"/>
    <n v="0"/>
    <n v="0"/>
    <n v="0"/>
    <n v="0"/>
    <n v="0"/>
    <n v="43"/>
    <n v="89"/>
    <n v="0"/>
    <n v="0"/>
    <n v="0"/>
    <n v="0"/>
    <n v="0"/>
    <n v="0"/>
    <n v="0"/>
    <n v="0"/>
    <n v="0"/>
    <n v="0"/>
    <n v="0"/>
    <n v="0"/>
    <n v="0"/>
    <n v="0"/>
    <n v="0"/>
    <n v="0"/>
    <n v="0"/>
    <n v="0"/>
    <x v="0"/>
    <x v="0"/>
    <x v="1"/>
    <x v="0"/>
    <x v="0"/>
    <m/>
    <x v="0"/>
    <x v="0"/>
    <n v="7"/>
    <m/>
    <m/>
    <m/>
    <n v="132"/>
    <m/>
    <m/>
    <m/>
    <m/>
    <m/>
    <m/>
    <m/>
    <m/>
    <m/>
    <m/>
    <m/>
    <m/>
    <m/>
    <m/>
    <m/>
    <m/>
    <m/>
    <n v="132"/>
    <n v="132"/>
  </r>
  <r>
    <n v="3521"/>
    <x v="2"/>
    <s v="2017/5837"/>
    <s v="Peabody Estate, St Johns Hill"/>
    <s v="Phase 3"/>
    <n v="527156"/>
    <n v="175243"/>
    <x v="4"/>
    <d v="2020-02-01T00:00:00"/>
    <m/>
    <n v="0"/>
    <n v="217"/>
    <n v="217"/>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1.08399999141693"/>
    <m/>
    <x v="0"/>
    <m/>
    <x v="0"/>
    <s v="M"/>
    <s v="4.1.5"/>
    <m/>
    <n v="217"/>
    <n v="0"/>
    <n v="0"/>
    <n v="0"/>
    <n v="0"/>
    <n v="64"/>
    <n v="143"/>
    <n v="10"/>
    <n v="0"/>
    <n v="0"/>
    <n v="0"/>
    <n v="0"/>
    <n v="64"/>
    <n v="143"/>
    <n v="10"/>
    <n v="0"/>
    <n v="0"/>
    <n v="0"/>
    <n v="0"/>
    <n v="0"/>
    <n v="0"/>
    <n v="0"/>
    <n v="0"/>
    <n v="0"/>
    <n v="0"/>
    <n v="0"/>
    <n v="0"/>
    <n v="0"/>
    <n v="0"/>
    <n v="0"/>
    <n v="0"/>
    <n v="0"/>
    <x v="0"/>
    <x v="0"/>
    <x v="0"/>
    <x v="1"/>
    <x v="0"/>
    <m/>
    <x v="0"/>
    <x v="0"/>
    <n v="7"/>
    <m/>
    <m/>
    <m/>
    <m/>
    <m/>
    <m/>
    <n v="217"/>
    <m/>
    <m/>
    <m/>
    <m/>
    <m/>
    <m/>
    <m/>
    <m/>
    <m/>
    <m/>
    <m/>
    <m/>
    <m/>
    <m/>
    <n v="0"/>
    <n v="217"/>
  </r>
  <r>
    <n v="3521"/>
    <x v="2"/>
    <s v="2017/5837"/>
    <s v="Peabody Estate, St Johns Hill"/>
    <s v="Phase 3"/>
    <n v="527156"/>
    <n v="175243"/>
    <x v="4"/>
    <d v="2020-02-01T00:00:00"/>
    <m/>
    <n v="0"/>
    <n v="31"/>
    <n v="31"/>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15500000119209301"/>
    <m/>
    <x v="0"/>
    <m/>
    <x v="1"/>
    <s v="IR"/>
    <s v="4.1.5"/>
    <m/>
    <n v="31"/>
    <n v="0"/>
    <n v="0"/>
    <n v="0"/>
    <n v="0"/>
    <n v="9"/>
    <n v="14"/>
    <n v="8"/>
    <n v="0"/>
    <n v="0"/>
    <n v="0"/>
    <n v="0"/>
    <n v="9"/>
    <n v="14"/>
    <n v="8"/>
    <n v="0"/>
    <n v="0"/>
    <n v="0"/>
    <n v="0"/>
    <n v="0"/>
    <n v="0"/>
    <n v="0"/>
    <n v="0"/>
    <n v="0"/>
    <n v="0"/>
    <n v="0"/>
    <n v="0"/>
    <n v="0"/>
    <n v="0"/>
    <n v="0"/>
    <n v="0"/>
    <n v="0"/>
    <x v="0"/>
    <x v="0"/>
    <x v="0"/>
    <x v="1"/>
    <x v="0"/>
    <m/>
    <x v="0"/>
    <x v="0"/>
    <n v="7"/>
    <m/>
    <m/>
    <m/>
    <m/>
    <m/>
    <m/>
    <n v="31"/>
    <m/>
    <m/>
    <m/>
    <m/>
    <m/>
    <m/>
    <m/>
    <m/>
    <m/>
    <m/>
    <m/>
    <m/>
    <m/>
    <m/>
    <n v="0"/>
    <n v="31"/>
  </r>
  <r>
    <n v="3521"/>
    <x v="2"/>
    <s v="2017/5837"/>
    <s v="Peabody Estate, St Johns Hill"/>
    <s v="Phase 3"/>
    <n v="527156"/>
    <n v="175243"/>
    <x v="4"/>
    <d v="2020-02-01T00:00:00"/>
    <m/>
    <n v="56"/>
    <n v="0"/>
    <n v="-56"/>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
    <m/>
    <x v="0"/>
    <m/>
    <x v="2"/>
    <s v="AS"/>
    <s v="4.1.5"/>
    <m/>
    <n v="0"/>
    <n v="0"/>
    <n v="0"/>
    <n v="0"/>
    <n v="-1"/>
    <n v="-18"/>
    <n v="-22"/>
    <n v="-15"/>
    <n v="0"/>
    <n v="0"/>
    <n v="0"/>
    <n v="-1"/>
    <n v="-18"/>
    <n v="-22"/>
    <n v="-15"/>
    <n v="0"/>
    <n v="0"/>
    <n v="0"/>
    <n v="0"/>
    <n v="0"/>
    <n v="0"/>
    <n v="0"/>
    <n v="0"/>
    <n v="0"/>
    <n v="0"/>
    <n v="0"/>
    <n v="0"/>
    <n v="0"/>
    <n v="0"/>
    <n v="0"/>
    <n v="0"/>
    <n v="0"/>
    <x v="0"/>
    <x v="0"/>
    <x v="0"/>
    <x v="1"/>
    <x v="0"/>
    <m/>
    <x v="0"/>
    <x v="0"/>
    <n v="7"/>
    <m/>
    <m/>
    <m/>
    <m/>
    <m/>
    <m/>
    <n v="-56"/>
    <m/>
    <m/>
    <m/>
    <m/>
    <m/>
    <m/>
    <m/>
    <m/>
    <m/>
    <m/>
    <m/>
    <m/>
    <m/>
    <m/>
    <n v="0"/>
    <n v="-56"/>
  </r>
  <r>
    <n v="3521"/>
    <x v="2"/>
    <s v="2017/5837"/>
    <s v="Peabody Estate, St Johns Hill"/>
    <s v="Phase 3"/>
    <n v="527156"/>
    <n v="175243"/>
    <x v="4"/>
    <d v="2020-02-01T00:00:00"/>
    <m/>
    <n v="28"/>
    <n v="0"/>
    <n v="-28"/>
    <n v="446"/>
    <n v="204"/>
    <x v="1"/>
    <s v="Variation of condition 15 (in accordance with approved drawings) pursuant to planning permission dated 18/10/2012 ref 2012/1258 (Demolition of all existing buildings. Erection of five buildings of 4-12, 4-8, 7, 5-7 and 4-6 storeys to provide 527 residential units (135 x 1 bed, 261 x 2 bed,105 x 3 bed and 26 x 4 bed), with approx. 7800 square metres of private, communal and public space and public routes. Car parking (121 spaces within basement and 15 spaces at grade), 687 cycle parking spaces plus approximately 530 square metres of community space in the centre of the site and approximately 569 square metres of commercial space (classes A1-A5 (retail, financial and professional services, cafe/restaurant, take away, pub/bar and/or B1 office use) at the northern end of the site. Vehicular accesses from Comyn Road and Eckstein Road and emergency access from St John's Hill and Strath Terrace.) to allow:_x000d__x000a_Plot 2: two storey increase allowing an additional 23 flats and change in tenure to older persons social rent only, removal of basement carparking;_x000d__x000a_Plot 3: two story increase to the centre tower allowing an additional 11 flats and change in tenure to private rent only;_x000d__x000a_Plot 6: one storey increase allowing three additional flats;_x000d__x000a_Plot 7: four additional flats (through internal reconfigurations);_x000d__x000a_Plot 8: loss of one flat;_x000d__x000a_Plot 9: One storey increase to the western section, extension of southern section facing Comyn Road to close the building gap and removal of corner feature to Comyn Road to allow 31 additional flats, inclusion of parking below podium level;_x000d__x000a_General alterations to fenestration and finishes to accommodate changes and reconfiguration of carparking resulting in a loss of 28 spaces. Overall reconfiguration results in 599 residential units across the site."/>
    <s v="S73"/>
    <d v="2017-10-20T00:00:00"/>
    <d v="2019-01-15T00:00:00"/>
    <x v="0"/>
    <s v="Nil"/>
    <m/>
    <s v="BF"/>
    <s v="NB"/>
    <x v="1"/>
    <x v="7"/>
    <n v="0"/>
    <m/>
    <x v="0"/>
    <m/>
    <x v="0"/>
    <s v="M"/>
    <s v="4.1.5"/>
    <m/>
    <n v="0"/>
    <n v="0"/>
    <n v="0"/>
    <n v="0"/>
    <n v="-1"/>
    <n v="-12"/>
    <n v="-12"/>
    <n v="-3"/>
    <n v="0"/>
    <n v="0"/>
    <n v="0"/>
    <n v="-1"/>
    <n v="-12"/>
    <n v="-12"/>
    <n v="-3"/>
    <n v="0"/>
    <n v="0"/>
    <n v="0"/>
    <n v="0"/>
    <n v="0"/>
    <n v="0"/>
    <n v="0"/>
    <n v="0"/>
    <n v="0"/>
    <n v="0"/>
    <n v="0"/>
    <n v="0"/>
    <n v="0"/>
    <n v="0"/>
    <n v="0"/>
    <n v="0"/>
    <n v="0"/>
    <x v="0"/>
    <x v="0"/>
    <x v="0"/>
    <x v="1"/>
    <x v="0"/>
    <m/>
    <x v="0"/>
    <x v="0"/>
    <n v="7"/>
    <m/>
    <m/>
    <m/>
    <m/>
    <m/>
    <m/>
    <n v="-28"/>
    <m/>
    <m/>
    <m/>
    <m/>
    <m/>
    <m/>
    <m/>
    <m/>
    <m/>
    <m/>
    <m/>
    <m/>
    <m/>
    <m/>
    <n v="0"/>
    <n v="-28"/>
  </r>
  <r>
    <n v="3522"/>
    <x v="2"/>
    <s v="2016/7356"/>
    <s v="Homebase, Swandon Way"/>
    <s v="Phase 1 - Garden Building - Core B"/>
    <n v="525912"/>
    <n v="175143"/>
    <x v="2"/>
    <m/>
    <m/>
    <n v="0"/>
    <n v="66"/>
    <n v="66"/>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0.135000005364418"/>
    <m/>
    <x v="0"/>
    <m/>
    <x v="0"/>
    <s v="M"/>
    <s v="3.6"/>
    <m/>
    <n v="0"/>
    <n v="61"/>
    <n v="0"/>
    <n v="5"/>
    <n v="0"/>
    <n v="30"/>
    <n v="33"/>
    <n v="3"/>
    <n v="0"/>
    <n v="0"/>
    <n v="0"/>
    <n v="0"/>
    <n v="30"/>
    <n v="33"/>
    <n v="3"/>
    <n v="0"/>
    <n v="0"/>
    <n v="0"/>
    <n v="0"/>
    <n v="0"/>
    <n v="0"/>
    <n v="0"/>
    <n v="0"/>
    <n v="0"/>
    <n v="0"/>
    <n v="0"/>
    <n v="0"/>
    <n v="0"/>
    <n v="0"/>
    <n v="0"/>
    <n v="0"/>
    <n v="0"/>
    <x v="0"/>
    <x v="0"/>
    <x v="1"/>
    <x v="0"/>
    <x v="0"/>
    <m/>
    <x v="0"/>
    <x v="0"/>
    <n v="9"/>
    <m/>
    <m/>
    <m/>
    <m/>
    <n v="22"/>
    <n v="22"/>
    <n v="22"/>
    <m/>
    <m/>
    <m/>
    <m/>
    <m/>
    <m/>
    <m/>
    <m/>
    <m/>
    <m/>
    <m/>
    <m/>
    <m/>
    <m/>
    <n v="44"/>
    <n v="66"/>
  </r>
  <r>
    <n v="3522"/>
    <x v="2"/>
    <s v="2016/7356"/>
    <s v="Homebase, Swandon Way"/>
    <s v="Phase 1 - Garden Building - Core C"/>
    <n v="525912"/>
    <n v="175143"/>
    <x v="2"/>
    <m/>
    <m/>
    <n v="0"/>
    <n v="70"/>
    <n v="70"/>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0.14300000667571999"/>
    <m/>
    <x v="0"/>
    <m/>
    <x v="0"/>
    <s v="M"/>
    <s v="3.6"/>
    <m/>
    <n v="0"/>
    <n v="61"/>
    <n v="0"/>
    <n v="9"/>
    <n v="0"/>
    <n v="34"/>
    <n v="34"/>
    <n v="2"/>
    <n v="0"/>
    <n v="0"/>
    <n v="0"/>
    <n v="0"/>
    <n v="34"/>
    <n v="34"/>
    <n v="2"/>
    <n v="0"/>
    <n v="0"/>
    <n v="0"/>
    <n v="0"/>
    <n v="0"/>
    <n v="0"/>
    <n v="0"/>
    <n v="0"/>
    <n v="0"/>
    <n v="0"/>
    <n v="0"/>
    <n v="0"/>
    <n v="0"/>
    <n v="0"/>
    <n v="0"/>
    <n v="0"/>
    <n v="0"/>
    <x v="0"/>
    <x v="0"/>
    <x v="1"/>
    <x v="0"/>
    <x v="0"/>
    <m/>
    <x v="0"/>
    <x v="0"/>
    <n v="9"/>
    <m/>
    <m/>
    <m/>
    <m/>
    <n v="23.333333333333332"/>
    <n v="23.333333333333332"/>
    <n v="23.333333333333332"/>
    <m/>
    <m/>
    <m/>
    <m/>
    <m/>
    <m/>
    <m/>
    <m/>
    <m/>
    <m/>
    <m/>
    <m/>
    <m/>
    <m/>
    <n v="46.666666666666664"/>
    <n v="70"/>
  </r>
  <r>
    <n v="3522"/>
    <x v="2"/>
    <s v="2016/7356"/>
    <s v="Homebase, Swandon Way"/>
    <s v="Phase 1 - Garden Building - Core D"/>
    <n v="525912"/>
    <n v="175143"/>
    <x v="2"/>
    <m/>
    <m/>
    <n v="0"/>
    <n v="45"/>
    <n v="45"/>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9.2000000178813907E-2"/>
    <m/>
    <x v="0"/>
    <m/>
    <x v="2"/>
    <s v="AA"/>
    <s v="3.6"/>
    <m/>
    <n v="0"/>
    <n v="37"/>
    <n v="0"/>
    <n v="8"/>
    <n v="0"/>
    <n v="19"/>
    <n v="22"/>
    <n v="4"/>
    <n v="0"/>
    <n v="0"/>
    <n v="0"/>
    <n v="0"/>
    <n v="19"/>
    <n v="22"/>
    <n v="4"/>
    <n v="0"/>
    <n v="0"/>
    <n v="0"/>
    <n v="0"/>
    <n v="0"/>
    <n v="0"/>
    <n v="0"/>
    <n v="0"/>
    <n v="0"/>
    <n v="0"/>
    <n v="0"/>
    <n v="0"/>
    <n v="0"/>
    <n v="0"/>
    <n v="0"/>
    <n v="0"/>
    <n v="0"/>
    <x v="0"/>
    <x v="0"/>
    <x v="1"/>
    <x v="0"/>
    <x v="0"/>
    <m/>
    <x v="0"/>
    <x v="0"/>
    <n v="9"/>
    <m/>
    <m/>
    <m/>
    <m/>
    <n v="15"/>
    <n v="15"/>
    <n v="15"/>
    <m/>
    <m/>
    <m/>
    <m/>
    <m/>
    <m/>
    <m/>
    <m/>
    <m/>
    <m/>
    <m/>
    <m/>
    <m/>
    <m/>
    <n v="30"/>
    <n v="45"/>
  </r>
  <r>
    <n v="3522"/>
    <x v="2"/>
    <s v="2016/7356"/>
    <s v="Homebase, Swandon Way"/>
    <s v="Phase 1 - Garden building - Core D"/>
    <n v="525912"/>
    <n v="175143"/>
    <x v="2"/>
    <m/>
    <m/>
    <n v="0"/>
    <n v="29"/>
    <n v="29"/>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5.9000000357627903E-2"/>
    <m/>
    <x v="0"/>
    <m/>
    <x v="1"/>
    <s v="ISO"/>
    <s v="3.6"/>
    <m/>
    <n v="0"/>
    <n v="27"/>
    <n v="0"/>
    <n v="2"/>
    <n v="0"/>
    <n v="13"/>
    <n v="16"/>
    <n v="0"/>
    <n v="0"/>
    <n v="0"/>
    <n v="0"/>
    <n v="0"/>
    <n v="13"/>
    <n v="16"/>
    <n v="0"/>
    <n v="0"/>
    <n v="0"/>
    <n v="0"/>
    <n v="0"/>
    <n v="0"/>
    <n v="0"/>
    <n v="0"/>
    <n v="0"/>
    <n v="0"/>
    <n v="0"/>
    <n v="0"/>
    <n v="0"/>
    <n v="0"/>
    <n v="0"/>
    <n v="0"/>
    <n v="0"/>
    <n v="0"/>
    <x v="0"/>
    <x v="0"/>
    <x v="1"/>
    <x v="0"/>
    <x v="0"/>
    <m/>
    <x v="0"/>
    <x v="0"/>
    <n v="9"/>
    <m/>
    <m/>
    <m/>
    <m/>
    <n v="9.6666666666666661"/>
    <n v="9.6666666666666661"/>
    <n v="9.6666666666666661"/>
    <m/>
    <m/>
    <m/>
    <m/>
    <m/>
    <m/>
    <m/>
    <m/>
    <m/>
    <m/>
    <m/>
    <m/>
    <m/>
    <m/>
    <n v="19.333333333333332"/>
    <n v="29"/>
  </r>
  <r>
    <n v="3522"/>
    <x v="2"/>
    <s v="2016/7356"/>
    <s v="Homebase, Swandon Way"/>
    <s v="Phase 1 - Station Building - Core A"/>
    <n v="525912"/>
    <n v="175143"/>
    <x v="2"/>
    <m/>
    <m/>
    <n v="0"/>
    <n v="92"/>
    <n v="92"/>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0.18899999558925601"/>
    <m/>
    <x v="0"/>
    <m/>
    <x v="0"/>
    <s v="M"/>
    <s v="3.6"/>
    <m/>
    <n v="0"/>
    <n v="83"/>
    <n v="0"/>
    <n v="9"/>
    <n v="0"/>
    <n v="41"/>
    <n v="43"/>
    <n v="8"/>
    <n v="0"/>
    <n v="0"/>
    <n v="0"/>
    <n v="0"/>
    <n v="41"/>
    <n v="43"/>
    <n v="8"/>
    <n v="0"/>
    <n v="0"/>
    <n v="0"/>
    <n v="0"/>
    <n v="0"/>
    <n v="0"/>
    <n v="0"/>
    <n v="0"/>
    <n v="0"/>
    <n v="0"/>
    <n v="0"/>
    <n v="0"/>
    <n v="0"/>
    <n v="0"/>
    <n v="0"/>
    <n v="0"/>
    <n v="0"/>
    <x v="0"/>
    <x v="0"/>
    <x v="1"/>
    <x v="0"/>
    <x v="0"/>
    <m/>
    <x v="0"/>
    <x v="0"/>
    <n v="9"/>
    <m/>
    <m/>
    <m/>
    <m/>
    <n v="30.666666666666668"/>
    <n v="30.666666666666668"/>
    <n v="30.666666666666668"/>
    <m/>
    <m/>
    <m/>
    <m/>
    <m/>
    <m/>
    <m/>
    <m/>
    <m/>
    <m/>
    <m/>
    <m/>
    <m/>
    <m/>
    <n v="61.333333333333336"/>
    <n v="92"/>
  </r>
  <r>
    <n v="3522"/>
    <x v="2"/>
    <s v="2016/7356"/>
    <s v="Homebase, Swandon Way"/>
    <s v="Phase 2 - Crescent Building - Core E"/>
    <n v="525912"/>
    <n v="175143"/>
    <x v="2"/>
    <m/>
    <m/>
    <n v="0"/>
    <n v="40"/>
    <n v="40"/>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8.2000002264976501E-2"/>
    <m/>
    <x v="0"/>
    <m/>
    <x v="2"/>
    <s v="AA"/>
    <s v="3.6"/>
    <m/>
    <n v="0"/>
    <n v="36"/>
    <n v="0"/>
    <n v="4"/>
    <n v="0"/>
    <n v="28"/>
    <n v="12"/>
    <n v="0"/>
    <n v="0"/>
    <n v="0"/>
    <n v="0"/>
    <n v="0"/>
    <n v="28"/>
    <n v="12"/>
    <n v="0"/>
    <n v="0"/>
    <n v="0"/>
    <n v="0"/>
    <n v="0"/>
    <n v="0"/>
    <n v="0"/>
    <n v="0"/>
    <n v="0"/>
    <n v="0"/>
    <n v="0"/>
    <n v="0"/>
    <n v="0"/>
    <n v="0"/>
    <n v="0"/>
    <n v="0"/>
    <n v="0"/>
    <n v="0"/>
    <x v="0"/>
    <x v="0"/>
    <x v="1"/>
    <x v="0"/>
    <x v="0"/>
    <m/>
    <x v="0"/>
    <x v="0"/>
    <n v="9"/>
    <m/>
    <m/>
    <m/>
    <m/>
    <n v="13.333333333333334"/>
    <n v="13.333333333333334"/>
    <n v="13.333333333333334"/>
    <m/>
    <m/>
    <m/>
    <m/>
    <m/>
    <m/>
    <m/>
    <m/>
    <m/>
    <m/>
    <m/>
    <m/>
    <m/>
    <m/>
    <n v="26.666666666666668"/>
    <n v="40"/>
  </r>
  <r>
    <n v="3522"/>
    <x v="2"/>
    <s v="2016/7356"/>
    <s v="Homebase, Swandon Way"/>
    <s v="Phase 2 - Crescent Building - Core E"/>
    <n v="525912"/>
    <n v="175143"/>
    <x v="2"/>
    <m/>
    <m/>
    <n v="0"/>
    <n v="22"/>
    <n v="22"/>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4.5000001788139302E-2"/>
    <m/>
    <x v="0"/>
    <m/>
    <x v="1"/>
    <s v="ISO"/>
    <s v="3.6"/>
    <m/>
    <n v="84"/>
    <n v="20"/>
    <n v="9"/>
    <n v="2"/>
    <n v="0"/>
    <n v="3"/>
    <n v="19"/>
    <n v="0"/>
    <n v="0"/>
    <n v="0"/>
    <n v="0"/>
    <n v="0"/>
    <n v="3"/>
    <n v="19"/>
    <n v="0"/>
    <n v="0"/>
    <n v="0"/>
    <n v="0"/>
    <n v="0"/>
    <n v="0"/>
    <n v="0"/>
    <n v="0"/>
    <n v="0"/>
    <n v="0"/>
    <n v="0"/>
    <n v="0"/>
    <n v="0"/>
    <n v="0"/>
    <n v="0"/>
    <n v="0"/>
    <n v="0"/>
    <n v="0"/>
    <x v="0"/>
    <x v="0"/>
    <x v="1"/>
    <x v="0"/>
    <x v="0"/>
    <m/>
    <x v="0"/>
    <x v="0"/>
    <n v="9"/>
    <m/>
    <m/>
    <m/>
    <m/>
    <n v="7.333333333333333"/>
    <n v="7.333333333333333"/>
    <n v="7.333333333333333"/>
    <m/>
    <m/>
    <m/>
    <m/>
    <m/>
    <m/>
    <m/>
    <m/>
    <m/>
    <m/>
    <m/>
    <m/>
    <m/>
    <m/>
    <n v="14.666666666666666"/>
    <n v="22"/>
  </r>
  <r>
    <n v="3522"/>
    <x v="2"/>
    <s v="2016/7356"/>
    <s v="Homebase, Swandon Way"/>
    <s v="Phase 2 - Crescent Building - Core E"/>
    <n v="525912"/>
    <n v="175143"/>
    <x v="2"/>
    <m/>
    <m/>
    <n v="0"/>
    <n v="21"/>
    <n v="21"/>
    <n v="385"/>
    <n v="385"/>
    <x v="1"/>
    <s v="Demolition of existing retail warehouse building and erection of three buildings ranging from 7 to 15 storeys with basement to provide a mixed use scheme including 343 residential units (Class C3), 597 sq.m. GIA of retail units (Class A1 and/or A2 and/or A3 uses) 164 sq.m. of Community Use (Class D1) and 1647 sq.m. GIA of studio/offices (Class B1), with associated cycle parking spaces and 89 car parking spaces, playspace, landscaping and public realm improvements (including contribution towards the new entrance to Wandsworth Town Station). An Environmental Statement has been submitted with the planning application under the Town and Country Planning (Environmental Impact Assessment) Regulations 2011 as amended."/>
    <s v="PFLA"/>
    <d v="2017-01-04T00:00:00"/>
    <d v="2018-08-02T00:00:00"/>
    <x v="0"/>
    <s v="Nil"/>
    <m/>
    <s v="BF"/>
    <s v="NB"/>
    <x v="1"/>
    <x v="7"/>
    <n v="4.39999997615814E-2"/>
    <m/>
    <x v="0"/>
    <m/>
    <x v="0"/>
    <s v="M"/>
    <s v="3.6"/>
    <m/>
    <n v="264"/>
    <n v="19"/>
    <n v="26"/>
    <n v="2"/>
    <n v="0"/>
    <n v="12"/>
    <n v="9"/>
    <n v="0"/>
    <n v="0"/>
    <n v="0"/>
    <n v="0"/>
    <n v="0"/>
    <n v="12"/>
    <n v="9"/>
    <n v="0"/>
    <n v="0"/>
    <n v="0"/>
    <n v="0"/>
    <n v="0"/>
    <n v="0"/>
    <n v="0"/>
    <n v="0"/>
    <n v="0"/>
    <n v="0"/>
    <n v="0"/>
    <n v="0"/>
    <n v="0"/>
    <n v="0"/>
    <n v="0"/>
    <n v="0"/>
    <n v="0"/>
    <n v="0"/>
    <x v="0"/>
    <x v="0"/>
    <x v="1"/>
    <x v="0"/>
    <x v="0"/>
    <m/>
    <x v="0"/>
    <x v="0"/>
    <n v="9"/>
    <m/>
    <m/>
    <m/>
    <m/>
    <n v="7"/>
    <n v="7"/>
    <n v="7"/>
    <m/>
    <m/>
    <m/>
    <m/>
    <m/>
    <m/>
    <m/>
    <m/>
    <m/>
    <m/>
    <m/>
    <m/>
    <m/>
    <m/>
    <n v="14"/>
    <n v="21"/>
  </r>
  <r>
    <n v="3716"/>
    <x v="2"/>
    <s v="2018/4714"/>
    <s v="211 Garratt Lane"/>
    <s v="Conversion"/>
    <n v="525905"/>
    <n v="173871"/>
    <x v="8"/>
    <m/>
    <m/>
    <n v="0"/>
    <n v="2"/>
    <n v="2"/>
    <n v="3"/>
    <n v="2"/>
    <x v="0"/>
    <s v="Erection of mansard roof extension to main rear roof, erection of roof extension over part of two-storey back addition and formation of roof terrace with glazed screen surround in connection with conversion of upper floors into 2x1-bedroom flats and one studio flat."/>
    <s v="PF"/>
    <d v="2018-11-06T00:00:00"/>
    <d v="2019-02-04T00:00:00"/>
    <x v="0"/>
    <s v="Nil"/>
    <m/>
    <s v="BF"/>
    <s v="MIX"/>
    <x v="0"/>
    <x v="0"/>
    <n v="6.0000000521540598E-3"/>
    <m/>
    <x v="0"/>
    <m/>
    <x v="0"/>
    <s v="M"/>
    <m/>
    <m/>
    <n v="0"/>
    <n v="0"/>
    <n v="0"/>
    <n v="0"/>
    <n v="0"/>
    <n v="2"/>
    <n v="0"/>
    <n v="0"/>
    <n v="0"/>
    <n v="0"/>
    <n v="0"/>
    <n v="0"/>
    <n v="2"/>
    <n v="0"/>
    <n v="0"/>
    <n v="0"/>
    <n v="0"/>
    <n v="0"/>
    <n v="0"/>
    <n v="0"/>
    <n v="0"/>
    <n v="0"/>
    <n v="0"/>
    <n v="0"/>
    <n v="0"/>
    <n v="0"/>
    <n v="0"/>
    <n v="0"/>
    <n v="0"/>
    <n v="0"/>
    <n v="0"/>
    <n v="0"/>
    <x v="0"/>
    <x v="0"/>
    <x v="0"/>
    <x v="0"/>
    <x v="0"/>
    <m/>
    <x v="0"/>
    <x v="0"/>
    <n v="15"/>
    <m/>
    <n v="0.66666666666666663"/>
    <n v="0.66666666666666663"/>
    <n v="0.66666666666666663"/>
    <m/>
    <m/>
    <m/>
    <m/>
    <m/>
    <m/>
    <m/>
    <m/>
    <m/>
    <m/>
    <m/>
    <m/>
    <m/>
    <m/>
    <m/>
    <m/>
    <m/>
    <n v="2"/>
    <n v="2"/>
  </r>
  <r>
    <n v="3716"/>
    <x v="2"/>
    <s v="2018/4714"/>
    <s v="211 Garratt Lane"/>
    <s v="extn"/>
    <n v="525905"/>
    <n v="173871"/>
    <x v="8"/>
    <m/>
    <m/>
    <n v="1"/>
    <n v="1"/>
    <n v="0"/>
    <n v="3"/>
    <n v="2"/>
    <x v="0"/>
    <s v="Erection of mansard roof extension to main rear roof, erection of roof extension over part of two-storey back addition and formation of roof terrace with glazed screen surround in connection with conversion of upper floors into 2x1-bedroom flats and one studio flat."/>
    <s v="PF"/>
    <d v="2018-11-06T00:00:00"/>
    <d v="2019-02-04T00:00:00"/>
    <x v="0"/>
    <s v="Nil"/>
    <m/>
    <s v="BF"/>
    <s v="MIX"/>
    <x v="0"/>
    <x v="0"/>
    <n v="3.0000000260770299E-3"/>
    <m/>
    <x v="0"/>
    <m/>
    <x v="0"/>
    <s v="M"/>
    <m/>
    <m/>
    <n v="0"/>
    <n v="0"/>
    <n v="0"/>
    <n v="0"/>
    <n v="1"/>
    <n v="0"/>
    <n v="0"/>
    <n v="-1"/>
    <n v="0"/>
    <n v="0"/>
    <n v="0"/>
    <n v="1"/>
    <n v="0"/>
    <n v="0"/>
    <n v="-1"/>
    <n v="0"/>
    <n v="0"/>
    <n v="0"/>
    <n v="0"/>
    <n v="0"/>
    <n v="0"/>
    <n v="0"/>
    <n v="0"/>
    <n v="0"/>
    <n v="0"/>
    <n v="0"/>
    <n v="0"/>
    <n v="0"/>
    <n v="0"/>
    <n v="0"/>
    <n v="0"/>
    <n v="0"/>
    <x v="0"/>
    <x v="0"/>
    <x v="0"/>
    <x v="0"/>
    <x v="0"/>
    <m/>
    <x v="0"/>
    <x v="0"/>
    <n v="15"/>
    <m/>
    <n v="0"/>
    <n v="0"/>
    <n v="0"/>
    <m/>
    <m/>
    <m/>
    <m/>
    <m/>
    <m/>
    <m/>
    <m/>
    <m/>
    <m/>
    <m/>
    <m/>
    <m/>
    <m/>
    <m/>
    <m/>
    <m/>
    <n v="0"/>
    <n v="0"/>
  </r>
  <r>
    <n v="3943"/>
    <x v="2"/>
    <s v="2017/6762"/>
    <s v="Royal Mail Group Site, Ponton Road (Nine Elms Park)"/>
    <s v="Plot E"/>
    <n v="529575"/>
    <n v="177401"/>
    <x v="12"/>
    <d v="2013-07-01T00:00:00"/>
    <m/>
    <n v="0"/>
    <n v="206"/>
    <n v="206"/>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0.20100000500678999"/>
    <m/>
    <x v="0"/>
    <m/>
    <x v="0"/>
    <s v="M"/>
    <s v="2.1.18"/>
    <m/>
    <n v="0"/>
    <n v="185"/>
    <n v="0"/>
    <n v="21"/>
    <n v="12"/>
    <n v="56"/>
    <n v="93"/>
    <n v="38"/>
    <n v="7"/>
    <n v="0"/>
    <n v="0"/>
    <n v="12"/>
    <n v="56"/>
    <n v="93"/>
    <n v="38"/>
    <n v="7"/>
    <n v="0"/>
    <n v="0"/>
    <n v="0"/>
    <n v="0"/>
    <n v="0"/>
    <n v="0"/>
    <n v="0"/>
    <n v="0"/>
    <n v="0"/>
    <n v="0"/>
    <n v="0"/>
    <n v="0"/>
    <n v="0"/>
    <n v="0"/>
    <n v="0"/>
    <n v="0"/>
    <x v="0"/>
    <x v="1"/>
    <x v="0"/>
    <x v="0"/>
    <x v="0"/>
    <m/>
    <x v="0"/>
    <x v="0"/>
    <n v="21"/>
    <m/>
    <m/>
    <m/>
    <m/>
    <m/>
    <m/>
    <n v="206"/>
    <m/>
    <m/>
    <m/>
    <m/>
    <m/>
    <m/>
    <m/>
    <m/>
    <m/>
    <m/>
    <m/>
    <m/>
    <m/>
    <m/>
    <n v="0"/>
    <n v="206"/>
  </r>
  <r>
    <n v="3943"/>
    <x v="2"/>
    <s v="2017/6762"/>
    <s v="Royal Mail Group Site, Ponton Road (Nine Elms Park)"/>
    <s v="Plot E"/>
    <n v="529575"/>
    <n v="177401"/>
    <x v="12"/>
    <d v="2013-07-01T00:00:00"/>
    <m/>
    <n v="0"/>
    <n v="22"/>
    <n v="22"/>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2.0999999716877899E-2"/>
    <m/>
    <x v="0"/>
    <m/>
    <x v="2"/>
    <s v="AA"/>
    <s v="2.1.18"/>
    <m/>
    <n v="0"/>
    <n v="20"/>
    <n v="0"/>
    <n v="2"/>
    <n v="0"/>
    <n v="8"/>
    <n v="8"/>
    <n v="4"/>
    <n v="2"/>
    <n v="0"/>
    <n v="0"/>
    <n v="0"/>
    <n v="8"/>
    <n v="8"/>
    <n v="4"/>
    <n v="2"/>
    <n v="0"/>
    <n v="0"/>
    <n v="0"/>
    <n v="0"/>
    <n v="0"/>
    <n v="0"/>
    <n v="0"/>
    <n v="0"/>
    <n v="0"/>
    <n v="0"/>
    <n v="0"/>
    <n v="0"/>
    <n v="0"/>
    <n v="0"/>
    <n v="0"/>
    <n v="0"/>
    <x v="0"/>
    <x v="1"/>
    <x v="0"/>
    <x v="0"/>
    <x v="0"/>
    <m/>
    <x v="0"/>
    <x v="0"/>
    <n v="21"/>
    <m/>
    <m/>
    <m/>
    <m/>
    <m/>
    <m/>
    <n v="22"/>
    <m/>
    <m/>
    <m/>
    <m/>
    <m/>
    <m/>
    <m/>
    <m/>
    <m/>
    <m/>
    <m/>
    <m/>
    <m/>
    <m/>
    <n v="0"/>
    <n v="22"/>
  </r>
  <r>
    <n v="3943"/>
    <x v="2"/>
    <s v="2017/6762"/>
    <s v="Royal Mail Group Site, Ponton Road (Nine Elms Park)"/>
    <s v="Plot E"/>
    <n v="529575"/>
    <n v="177401"/>
    <x v="12"/>
    <d v="2013-07-01T00:00:00"/>
    <m/>
    <n v="0"/>
    <n v="16"/>
    <n v="16"/>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1.60000007599592E-2"/>
    <m/>
    <x v="0"/>
    <m/>
    <x v="1"/>
    <s v="ISO"/>
    <s v="2.1.18"/>
    <m/>
    <n v="0"/>
    <n v="14"/>
    <n v="0"/>
    <n v="2"/>
    <n v="0"/>
    <n v="7"/>
    <n v="5"/>
    <n v="3"/>
    <n v="1"/>
    <n v="0"/>
    <n v="0"/>
    <n v="0"/>
    <n v="7"/>
    <n v="5"/>
    <n v="3"/>
    <n v="1"/>
    <n v="0"/>
    <n v="0"/>
    <n v="0"/>
    <n v="0"/>
    <n v="0"/>
    <n v="0"/>
    <n v="0"/>
    <n v="0"/>
    <n v="0"/>
    <n v="0"/>
    <n v="0"/>
    <n v="0"/>
    <n v="0"/>
    <n v="0"/>
    <n v="0"/>
    <n v="0"/>
    <x v="0"/>
    <x v="1"/>
    <x v="0"/>
    <x v="0"/>
    <x v="0"/>
    <m/>
    <x v="0"/>
    <x v="0"/>
    <n v="21"/>
    <m/>
    <m/>
    <m/>
    <m/>
    <m/>
    <m/>
    <n v="16"/>
    <m/>
    <m/>
    <m/>
    <m/>
    <m/>
    <m/>
    <m/>
    <m/>
    <m/>
    <m/>
    <m/>
    <m/>
    <m/>
    <m/>
    <n v="0"/>
    <n v="16"/>
  </r>
  <r>
    <n v="3943"/>
    <x v="2"/>
    <s v="2017/6762"/>
    <s v="Royal Mail Group Site, Ponton Road (Nine Elms Park)"/>
    <s v="Plot F"/>
    <n v="529575"/>
    <n v="177401"/>
    <x v="12"/>
    <d v="2013-07-01T00:00:00"/>
    <m/>
    <n v="0"/>
    <n v="195"/>
    <n v="195"/>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0.18999999761581399"/>
    <m/>
    <x v="0"/>
    <m/>
    <x v="0"/>
    <s v="M"/>
    <s v="2.1.18"/>
    <m/>
    <n v="0"/>
    <n v="176"/>
    <n v="0"/>
    <n v="19"/>
    <n v="11"/>
    <n v="53"/>
    <n v="88"/>
    <n v="36"/>
    <n v="7"/>
    <n v="0"/>
    <n v="0"/>
    <n v="11"/>
    <n v="53"/>
    <n v="88"/>
    <n v="36"/>
    <n v="7"/>
    <n v="0"/>
    <n v="0"/>
    <n v="0"/>
    <n v="0"/>
    <n v="0"/>
    <n v="0"/>
    <n v="0"/>
    <n v="0"/>
    <n v="0"/>
    <n v="0"/>
    <n v="0"/>
    <n v="0"/>
    <n v="0"/>
    <n v="0"/>
    <n v="0"/>
    <n v="0"/>
    <x v="0"/>
    <x v="1"/>
    <x v="0"/>
    <x v="0"/>
    <x v="0"/>
    <m/>
    <x v="0"/>
    <x v="0"/>
    <n v="21"/>
    <m/>
    <m/>
    <m/>
    <m/>
    <m/>
    <m/>
    <m/>
    <n v="195"/>
    <m/>
    <m/>
    <m/>
    <m/>
    <m/>
    <m/>
    <m/>
    <m/>
    <m/>
    <m/>
    <m/>
    <m/>
    <m/>
    <n v="0"/>
    <n v="195"/>
  </r>
  <r>
    <n v="3943"/>
    <x v="2"/>
    <s v="2017/6762"/>
    <s v="Royal Mail Group Site, Ponton Road (Nine Elms Park)"/>
    <s v="Plot F"/>
    <n v="529575"/>
    <n v="177401"/>
    <x v="12"/>
    <d v="2013-07-01T00:00:00"/>
    <m/>
    <n v="0"/>
    <n v="21"/>
    <n v="21"/>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2.0999999716877899E-2"/>
    <m/>
    <x v="0"/>
    <m/>
    <x v="2"/>
    <s v="AA"/>
    <s v="2.1.18"/>
    <m/>
    <n v="0"/>
    <n v="19"/>
    <n v="0"/>
    <n v="2"/>
    <n v="0"/>
    <n v="8"/>
    <n v="7"/>
    <n v="4"/>
    <n v="2"/>
    <n v="0"/>
    <n v="0"/>
    <n v="0"/>
    <n v="8"/>
    <n v="7"/>
    <n v="4"/>
    <n v="2"/>
    <n v="0"/>
    <n v="0"/>
    <n v="0"/>
    <n v="0"/>
    <n v="0"/>
    <n v="0"/>
    <n v="0"/>
    <n v="0"/>
    <n v="0"/>
    <n v="0"/>
    <n v="0"/>
    <n v="0"/>
    <n v="0"/>
    <n v="0"/>
    <n v="0"/>
    <n v="0"/>
    <x v="0"/>
    <x v="1"/>
    <x v="0"/>
    <x v="0"/>
    <x v="0"/>
    <m/>
    <x v="0"/>
    <x v="0"/>
    <n v="21"/>
    <m/>
    <m/>
    <m/>
    <m/>
    <m/>
    <m/>
    <m/>
    <n v="21"/>
    <m/>
    <m/>
    <m/>
    <m/>
    <m/>
    <m/>
    <m/>
    <m/>
    <m/>
    <m/>
    <m/>
    <m/>
    <m/>
    <n v="0"/>
    <n v="21"/>
  </r>
  <r>
    <n v="3943"/>
    <x v="2"/>
    <s v="2017/6762"/>
    <s v="Royal Mail Group Site, Ponton Road (Nine Elms Park)"/>
    <s v="Plot F"/>
    <n v="529575"/>
    <n v="177401"/>
    <x v="12"/>
    <d v="2013-07-01T00:00:00"/>
    <m/>
    <n v="0"/>
    <n v="14"/>
    <n v="14"/>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1.4000000432133701E-2"/>
    <m/>
    <x v="0"/>
    <m/>
    <x v="1"/>
    <s v="ISO"/>
    <s v="2.1.18"/>
    <m/>
    <n v="0"/>
    <n v="13"/>
    <n v="0"/>
    <n v="1"/>
    <n v="0"/>
    <n v="5"/>
    <n v="5"/>
    <n v="3"/>
    <n v="1"/>
    <n v="0"/>
    <n v="0"/>
    <n v="0"/>
    <n v="5"/>
    <n v="5"/>
    <n v="3"/>
    <n v="1"/>
    <n v="0"/>
    <n v="0"/>
    <n v="0"/>
    <n v="0"/>
    <n v="0"/>
    <n v="0"/>
    <n v="0"/>
    <n v="0"/>
    <n v="0"/>
    <n v="0"/>
    <n v="0"/>
    <n v="0"/>
    <n v="0"/>
    <n v="0"/>
    <n v="0"/>
    <n v="0"/>
    <x v="0"/>
    <x v="1"/>
    <x v="0"/>
    <x v="0"/>
    <x v="0"/>
    <m/>
    <x v="0"/>
    <x v="0"/>
    <n v="21"/>
    <m/>
    <m/>
    <m/>
    <m/>
    <m/>
    <m/>
    <m/>
    <n v="14"/>
    <m/>
    <m/>
    <m/>
    <m/>
    <m/>
    <m/>
    <m/>
    <m/>
    <m/>
    <m/>
    <m/>
    <m/>
    <m/>
    <n v="0"/>
    <n v="14"/>
  </r>
  <r>
    <n v="3943"/>
    <x v="2"/>
    <s v="2017/6762"/>
    <s v="Royal Mail Group Site, Ponton Road (Nine Elms Park)"/>
    <s v="Plot G"/>
    <n v="529575"/>
    <n v="177401"/>
    <x v="12"/>
    <d v="2013-07-01T00:00:00"/>
    <m/>
    <n v="0"/>
    <n v="173"/>
    <n v="173"/>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0.168999999761581"/>
    <m/>
    <x v="0"/>
    <m/>
    <x v="0"/>
    <s v="M"/>
    <s v="2.1.18"/>
    <m/>
    <n v="0"/>
    <n v="156"/>
    <n v="0"/>
    <n v="17"/>
    <n v="10"/>
    <n v="47"/>
    <n v="78"/>
    <n v="32"/>
    <n v="6"/>
    <n v="0"/>
    <n v="0"/>
    <n v="10"/>
    <n v="47"/>
    <n v="78"/>
    <n v="32"/>
    <n v="6"/>
    <n v="0"/>
    <n v="0"/>
    <n v="0"/>
    <n v="0"/>
    <n v="0"/>
    <n v="0"/>
    <n v="0"/>
    <n v="0"/>
    <n v="0"/>
    <n v="0"/>
    <n v="0"/>
    <n v="0"/>
    <n v="0"/>
    <n v="0"/>
    <n v="0"/>
    <n v="0"/>
    <x v="0"/>
    <x v="1"/>
    <x v="0"/>
    <x v="0"/>
    <x v="0"/>
    <m/>
    <x v="0"/>
    <x v="0"/>
    <n v="21"/>
    <m/>
    <m/>
    <m/>
    <m/>
    <m/>
    <m/>
    <m/>
    <m/>
    <n v="173"/>
    <m/>
    <m/>
    <m/>
    <m/>
    <m/>
    <m/>
    <m/>
    <m/>
    <m/>
    <m/>
    <m/>
    <m/>
    <n v="0"/>
    <n v="173"/>
  </r>
  <r>
    <n v="3943"/>
    <x v="2"/>
    <s v="2017/6762"/>
    <s v="Royal Mail Group Site, Ponton Road (Nine Elms Park)"/>
    <s v="Plot G"/>
    <n v="529575"/>
    <n v="177401"/>
    <x v="12"/>
    <d v="2013-07-01T00:00:00"/>
    <m/>
    <n v="0"/>
    <n v="18"/>
    <n v="18"/>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1.7999999225139601E-2"/>
    <m/>
    <x v="0"/>
    <m/>
    <x v="2"/>
    <s v="AA"/>
    <s v="2.1.18"/>
    <m/>
    <n v="0"/>
    <n v="16"/>
    <n v="0"/>
    <n v="2"/>
    <n v="0"/>
    <n v="7"/>
    <n v="6"/>
    <n v="4"/>
    <n v="1"/>
    <n v="0"/>
    <n v="0"/>
    <n v="0"/>
    <n v="7"/>
    <n v="6"/>
    <n v="4"/>
    <n v="1"/>
    <n v="0"/>
    <n v="0"/>
    <n v="0"/>
    <n v="0"/>
    <n v="0"/>
    <n v="0"/>
    <n v="0"/>
    <n v="0"/>
    <n v="0"/>
    <n v="0"/>
    <n v="0"/>
    <n v="0"/>
    <n v="0"/>
    <n v="0"/>
    <n v="0"/>
    <n v="0"/>
    <x v="0"/>
    <x v="1"/>
    <x v="0"/>
    <x v="0"/>
    <x v="0"/>
    <m/>
    <x v="0"/>
    <x v="0"/>
    <n v="21"/>
    <m/>
    <m/>
    <m/>
    <m/>
    <m/>
    <m/>
    <m/>
    <m/>
    <n v="18"/>
    <m/>
    <m/>
    <m/>
    <m/>
    <m/>
    <m/>
    <m/>
    <m/>
    <m/>
    <m/>
    <m/>
    <m/>
    <n v="0"/>
    <n v="18"/>
  </r>
  <r>
    <n v="3943"/>
    <x v="2"/>
    <s v="2017/6762"/>
    <s v="Royal Mail Group Site, Ponton Road (Nine Elms Park)"/>
    <s v="Plot G"/>
    <n v="529575"/>
    <n v="177401"/>
    <x v="12"/>
    <d v="2013-07-01T00:00:00"/>
    <m/>
    <n v="0"/>
    <n v="11"/>
    <n v="11"/>
    <n v="1950"/>
    <n v="1950"/>
    <x v="1"/>
    <s v="Minor Material Amendment pursuant to conditions 1 (time limit), 2 (time limit for reserved matters), 9 (parameter plans), 11 (Maximum Floorspaces), 15 (distribution and internal configuration of residential units for each plot), 32 (construction sequence and delivery plan) and 41 (land and groundwater contamination) of part outline and part detailed planning permission 2016/2424, dated 23rd January 2017 for Minor Material Amendment pursuant to conditions 3 (reserved matters), 9 (parameter plans), 10 (GEA floorspace limits), 13 (residential unit limit), 18 (car parking space limit), 32 (B8 use restriction) and 41 (land and groundwater contamination) of part outline and part detailed planning permission 2011/2462, dated 30/03/12 for demolition of all existing buildings and construction of a mixed use redevelopment comprising 7 building plots with buildings up to 23 storeys high to provide residential units; commercial and community floorspace; associated basement parking and part of the 'Nine Elms Linear Park'. All matters reserved apart from the appearance and scale of Blocks B1, D1 &amp; G and two new access points from Nine Elms Lane. (The amendments comprise minor amendments to the parameter plans in relation to the overall maximum height of the buildings; redistribution of the ground floor uses; text revisions to the Design Codes including the justification for each of the amendments; Modifications to the external appearance of buildings B1 and D1 as a result of the design development and layouts of the remainder of each Plot; Adjustments to the quantum of residential development from the overall permitted areas for Plots B, D E and F; and inclusion of a loading bay on Moat Street for Plot B and the adjustment in the position of the crossover into Plot D on New Mill Road. An addendum to the Environmental Statement has been submitted under The Town and Country Planning (Environmental Impact Assessment) Regulations 2017 (as amended)."/>
    <s v="S73"/>
    <d v="2017-12-11T00:00:00"/>
    <d v="2019-03-28T00:00:00"/>
    <x v="0"/>
    <s v="Nil"/>
    <m/>
    <s v="BF"/>
    <s v="NB"/>
    <x v="1"/>
    <x v="7"/>
    <n v="1.09999999403954E-2"/>
    <m/>
    <x v="0"/>
    <m/>
    <x v="1"/>
    <s v="ISO"/>
    <s v="2.1.18"/>
    <m/>
    <n v="0"/>
    <n v="10"/>
    <n v="0"/>
    <n v="1"/>
    <n v="0"/>
    <n v="4"/>
    <n v="4"/>
    <n v="2"/>
    <n v="1"/>
    <n v="0"/>
    <n v="0"/>
    <n v="0"/>
    <n v="4"/>
    <n v="4"/>
    <n v="2"/>
    <n v="1"/>
    <n v="0"/>
    <n v="0"/>
    <n v="0"/>
    <n v="0"/>
    <n v="0"/>
    <n v="0"/>
    <n v="0"/>
    <n v="0"/>
    <n v="0"/>
    <n v="0"/>
    <n v="0"/>
    <n v="0"/>
    <n v="0"/>
    <n v="0"/>
    <n v="0"/>
    <n v="0"/>
    <x v="0"/>
    <x v="1"/>
    <x v="0"/>
    <x v="0"/>
    <x v="0"/>
    <m/>
    <x v="0"/>
    <x v="0"/>
    <n v="21"/>
    <m/>
    <m/>
    <m/>
    <m/>
    <m/>
    <m/>
    <m/>
    <m/>
    <n v="11"/>
    <m/>
    <m/>
    <m/>
    <m/>
    <m/>
    <m/>
    <m/>
    <m/>
    <m/>
    <m/>
    <m/>
    <m/>
    <n v="0"/>
    <n v="11"/>
  </r>
  <r>
    <n v="3980"/>
    <x v="2"/>
    <s v="2017/0745"/>
    <s v="Former Prices Candles Factory, 110 York Road"/>
    <s v="Building 4"/>
    <n v="526592"/>
    <n v="175883"/>
    <x v="11"/>
    <m/>
    <m/>
    <n v="0"/>
    <n v="83"/>
    <n v="83"/>
    <n v="136"/>
    <n v="136"/>
    <x v="1"/>
    <s v="Erection of a 25 storey building comprising 136 flats (with balconies) and ground floor retail floorspace (Class A1).  Demolition of car showroom on Bridges Court and erection of a five storey building to provide ground floor retail (Class A1) floorspace and office floorspace (Class B1) on first to fourth floors. Excavation to create basements comprising 85 car parking and 344 cycle parking spaces, gym, plant and refuse/recycling stores. Alterations and erection of two additional storeys (and 2nd/3rd floor links) and roof terrace to retained York Road buildings with retail (Class A1) and office use (Class B1). Provision of a terrace of six single storey retail use units (Class A1/A2/A3/A4).  Provision of amenity space, public realm, landscaping, play space, car parking, and paving to Bridges Court."/>
    <s v="PFLA"/>
    <d v="2017-02-22T00:00:00"/>
    <d v="2019-12-05T00:00:00"/>
    <x v="1"/>
    <s v="Nil"/>
    <m/>
    <s v="BF"/>
    <s v="NB"/>
    <x v="1"/>
    <x v="7"/>
    <n v="0.172999992966652"/>
    <m/>
    <x v="0"/>
    <m/>
    <x v="0"/>
    <s v="M"/>
    <s v="10.2"/>
    <m/>
    <n v="108"/>
    <n v="55"/>
    <n v="8"/>
    <n v="28"/>
    <n v="0"/>
    <n v="14"/>
    <n v="49"/>
    <n v="20"/>
    <n v="0"/>
    <n v="0"/>
    <n v="0"/>
    <n v="0"/>
    <n v="14"/>
    <n v="49"/>
    <n v="20"/>
    <n v="0"/>
    <n v="0"/>
    <n v="0"/>
    <n v="0"/>
    <n v="0"/>
    <n v="0"/>
    <n v="0"/>
    <n v="0"/>
    <n v="0"/>
    <n v="0"/>
    <n v="0"/>
    <n v="0"/>
    <n v="0"/>
    <n v="0"/>
    <n v="0"/>
    <n v="0"/>
    <n v="0"/>
    <x v="0"/>
    <x v="0"/>
    <x v="0"/>
    <x v="0"/>
    <x v="0"/>
    <m/>
    <x v="1"/>
    <x v="0"/>
    <n v="7"/>
    <m/>
    <m/>
    <m/>
    <m/>
    <m/>
    <m/>
    <m/>
    <m/>
    <m/>
    <m/>
    <m/>
    <m/>
    <m/>
    <m/>
    <m/>
    <m/>
    <m/>
    <m/>
    <m/>
    <m/>
    <m/>
    <n v="0"/>
    <n v="0"/>
  </r>
  <r>
    <n v="3980"/>
    <x v="2"/>
    <s v="2017/0745"/>
    <s v="Former Prices Candles Factory, 110 York Road"/>
    <s v="Building 4"/>
    <n v="526592"/>
    <n v="175883"/>
    <x v="11"/>
    <m/>
    <m/>
    <n v="0"/>
    <n v="53"/>
    <n v="53"/>
    <n v="136"/>
    <n v="136"/>
    <x v="1"/>
    <s v="Erection of a 25 storey building comprising 136 flats (with balconies) and ground floor retail floorspace (Class A1).  Demolition of car showroom on Bridges Court and erection of a five storey building to provide ground floor retail (Class A1) floorspace and office floorspace (Class B1) on first to fourth floors. Excavation to create basements comprising 85 car parking and 344 cycle parking spaces, gym, plant and refuse/recycling stores. Alterations and erection of two additional storeys (and 2nd/3rd floor links) and roof terrace to retained York Road buildings with retail (Class A1) and office use (Class B1). Provision of a terrace of six single storey retail use units (Class A1/A2/A3/A4).  Provision of amenity space, public realm, landscaping, play space, car parking, and paving to Bridges Court."/>
    <s v="PFLA"/>
    <d v="2017-02-22T00:00:00"/>
    <d v="2019-12-05T00:00:00"/>
    <x v="1"/>
    <s v="Nil"/>
    <m/>
    <s v="BF"/>
    <s v="NB"/>
    <x v="1"/>
    <x v="7"/>
    <n v="8.5000000894069699E-2"/>
    <m/>
    <x v="0"/>
    <m/>
    <x v="1"/>
    <s v="ISO"/>
    <s v="10.2"/>
    <m/>
    <n v="28"/>
    <n v="28"/>
    <n v="6"/>
    <n v="8"/>
    <n v="0"/>
    <n v="22"/>
    <n v="31"/>
    <n v="0"/>
    <n v="0"/>
    <n v="0"/>
    <n v="0"/>
    <n v="0"/>
    <n v="22"/>
    <n v="31"/>
    <n v="0"/>
    <n v="0"/>
    <n v="0"/>
    <n v="0"/>
    <n v="0"/>
    <n v="0"/>
    <n v="0"/>
    <n v="0"/>
    <n v="0"/>
    <n v="0"/>
    <n v="0"/>
    <n v="0"/>
    <n v="0"/>
    <n v="0"/>
    <n v="0"/>
    <n v="0"/>
    <n v="0"/>
    <n v="0"/>
    <x v="0"/>
    <x v="0"/>
    <x v="0"/>
    <x v="0"/>
    <x v="0"/>
    <m/>
    <x v="1"/>
    <x v="0"/>
    <n v="7"/>
    <m/>
    <m/>
    <m/>
    <m/>
    <m/>
    <m/>
    <m/>
    <m/>
    <m/>
    <m/>
    <m/>
    <m/>
    <m/>
    <m/>
    <m/>
    <m/>
    <m/>
    <m/>
    <m/>
    <m/>
    <m/>
    <n v="0"/>
    <n v="0"/>
  </r>
  <r>
    <n v="4041"/>
    <x v="2"/>
    <s v="2019/0571"/>
    <s v="121 Mitcham Road"/>
    <m/>
    <n v="527736"/>
    <n v="171203"/>
    <x v="10"/>
    <m/>
    <m/>
    <n v="1"/>
    <n v="2"/>
    <n v="1"/>
    <n v="2"/>
    <n v="1"/>
    <x v="0"/>
    <s v="Alterations including erection of a rear extension at first floor levels in connection with conversion to 2 x 1-bed flats."/>
    <s v="PF"/>
    <d v="2019-03-11T00:00:00"/>
    <d v="2019-04-26T00:00:00"/>
    <x v="1"/>
    <s v="Nil"/>
    <m/>
    <s v="BF"/>
    <s v="MIX"/>
    <x v="0"/>
    <x v="0"/>
    <n v="4.9999998882412902E-3"/>
    <m/>
    <x v="0"/>
    <m/>
    <x v="0"/>
    <s v="M"/>
    <m/>
    <m/>
    <n v="0"/>
    <n v="0"/>
    <n v="0"/>
    <n v="0"/>
    <n v="0"/>
    <n v="2"/>
    <n v="0"/>
    <n v="-1"/>
    <n v="0"/>
    <n v="0"/>
    <n v="0"/>
    <n v="0"/>
    <n v="2"/>
    <n v="0"/>
    <n v="-1"/>
    <n v="0"/>
    <n v="0"/>
    <n v="0"/>
    <n v="0"/>
    <n v="0"/>
    <n v="0"/>
    <n v="0"/>
    <n v="0"/>
    <n v="0"/>
    <n v="0"/>
    <n v="0"/>
    <n v="0"/>
    <n v="0"/>
    <n v="0"/>
    <n v="0"/>
    <n v="0"/>
    <n v="0"/>
    <x v="4"/>
    <x v="0"/>
    <x v="0"/>
    <x v="0"/>
    <x v="0"/>
    <m/>
    <x v="0"/>
    <x v="0"/>
    <n v="15"/>
    <m/>
    <n v="0.33333333333333331"/>
    <n v="0.33333333333333331"/>
    <n v="0.33333333333333331"/>
    <m/>
    <m/>
    <m/>
    <m/>
    <m/>
    <m/>
    <m/>
    <m/>
    <m/>
    <m/>
    <m/>
    <m/>
    <m/>
    <m/>
    <m/>
    <m/>
    <m/>
    <n v="1"/>
    <n v="1"/>
  </r>
  <r>
    <n v="4041"/>
    <x v="2"/>
    <s v="2019/3339"/>
    <s v="121 Mitcham Road"/>
    <m/>
    <n v="527736"/>
    <n v="171203"/>
    <x v="10"/>
    <m/>
    <m/>
    <n v="0"/>
    <n v="1"/>
    <n v="1"/>
    <n v="2"/>
    <n v="1"/>
    <x v="0"/>
    <s v="Alterations and erection of mansard roof extension to main rear roof; extension above part of three-storey back addition and formation of roof terrace with 1.7m high obscured glazed screening; erection of part first floor rear extension. Alterations and relocation of rear ground floor entrance and part change of use of rear ground floor from Beauty Salon (Sui Generis) to residential (C3) in connection with conversion of first and second floor flat into 1 x 2-bedroom flat and 1 x 3-bedroom maisonette. Provision of refuse and cycle storage."/>
    <s v="PF"/>
    <d v="2019-08-14T00:00:00"/>
    <d v="2019-11-22T00:00:00"/>
    <x v="1"/>
    <s v="Nil"/>
    <m/>
    <s v="BF"/>
    <s v="MIX"/>
    <x v="0"/>
    <x v="1"/>
    <n v="2.0000000949949E-3"/>
    <m/>
    <x v="0"/>
    <m/>
    <x v="0"/>
    <s v="M"/>
    <m/>
    <m/>
    <n v="0"/>
    <n v="0"/>
    <n v="0"/>
    <n v="0"/>
    <n v="0"/>
    <n v="0"/>
    <n v="1"/>
    <n v="0"/>
    <n v="0"/>
    <n v="0"/>
    <n v="0"/>
    <n v="0"/>
    <n v="0"/>
    <n v="1"/>
    <n v="0"/>
    <n v="0"/>
    <n v="0"/>
    <n v="0"/>
    <n v="0"/>
    <n v="0"/>
    <n v="0"/>
    <n v="0"/>
    <n v="0"/>
    <n v="0"/>
    <n v="0"/>
    <n v="0"/>
    <n v="0"/>
    <n v="0"/>
    <n v="0"/>
    <n v="0"/>
    <n v="0"/>
    <n v="0"/>
    <x v="4"/>
    <x v="0"/>
    <x v="0"/>
    <x v="0"/>
    <x v="0"/>
    <m/>
    <x v="0"/>
    <x v="0"/>
    <n v="15"/>
    <m/>
    <n v="0.33333333333333331"/>
    <n v="0.33333333333333331"/>
    <n v="0.33333333333333331"/>
    <m/>
    <m/>
    <m/>
    <m/>
    <m/>
    <m/>
    <m/>
    <m/>
    <m/>
    <m/>
    <m/>
    <m/>
    <m/>
    <m/>
    <m/>
    <m/>
    <m/>
    <n v="1"/>
    <n v="1"/>
  </r>
  <r>
    <n v="4041"/>
    <x v="2"/>
    <s v="2019/3339"/>
    <s v="121 Mitcham Road"/>
    <m/>
    <n v="527736"/>
    <n v="171203"/>
    <x v="10"/>
    <m/>
    <m/>
    <n v="1"/>
    <n v="1"/>
    <n v="0"/>
    <n v="2"/>
    <n v="1"/>
    <x v="0"/>
    <s v="Alterations and erection of mansard roof extension to main rear roof; extension above part of three-storey back addition and formation of roof terrace with 1.7m high obscured glazed screening; erection of part first floor rear extension. Alterations and relocation of rear ground floor entrance and part change of use of rear ground floor from Beauty Salon (Sui Generis) to residential (C3) in connection with conversion of first and second floor flat into 1 x 2-bedroom flat and 1 x 3-bedroom maisonette. Provision of refuse and cycle storage."/>
    <s v="PF"/>
    <d v="2019-08-14T00:00:00"/>
    <d v="2019-11-22T00:00:00"/>
    <x v="1"/>
    <s v="Nil"/>
    <m/>
    <s v="BF"/>
    <s v="MIX"/>
    <x v="0"/>
    <x v="3"/>
    <n v="3.0000000260770299E-3"/>
    <m/>
    <x v="0"/>
    <m/>
    <x v="0"/>
    <s v="M"/>
    <m/>
    <m/>
    <n v="0"/>
    <n v="0"/>
    <n v="0"/>
    <n v="0"/>
    <n v="0"/>
    <n v="0"/>
    <n v="0"/>
    <n v="1"/>
    <n v="-1"/>
    <n v="0"/>
    <n v="0"/>
    <n v="0"/>
    <n v="0"/>
    <n v="0"/>
    <n v="1"/>
    <n v="-1"/>
    <n v="0"/>
    <n v="0"/>
    <n v="0"/>
    <n v="0"/>
    <n v="0"/>
    <n v="0"/>
    <n v="0"/>
    <n v="0"/>
    <n v="0"/>
    <n v="0"/>
    <n v="0"/>
    <n v="0"/>
    <n v="0"/>
    <n v="0"/>
    <n v="0"/>
    <n v="0"/>
    <x v="4"/>
    <x v="0"/>
    <x v="0"/>
    <x v="0"/>
    <x v="0"/>
    <m/>
    <x v="0"/>
    <x v="0"/>
    <n v="15"/>
    <m/>
    <n v="0"/>
    <n v="0"/>
    <n v="0"/>
    <m/>
    <m/>
    <m/>
    <m/>
    <m/>
    <m/>
    <m/>
    <m/>
    <m/>
    <m/>
    <m/>
    <m/>
    <m/>
    <m/>
    <m/>
    <m/>
    <m/>
    <n v="0"/>
    <n v="0"/>
  </r>
  <r>
    <n v="4056"/>
    <x v="2"/>
    <s v="2017/0015"/>
    <s v="11 Webbs Road"/>
    <m/>
    <n v="527655"/>
    <n v="174876"/>
    <x v="4"/>
    <m/>
    <m/>
    <n v="0"/>
    <n v="1"/>
    <n v="1"/>
    <n v="1"/>
    <n v="1"/>
    <x v="0"/>
    <s v="Determination as to whether prior approval is required for change of use from financial and professional services (Class A2) to residential (Class C3) to provide 1x1 studio flat at ground floor level."/>
    <s v="PANR"/>
    <d v="2017-01-13T00:00:00"/>
    <d v="2017-03-10T00:00:00"/>
    <x v="0"/>
    <s v="Nil"/>
    <m/>
    <s v="BF"/>
    <s v="COU"/>
    <x v="0"/>
    <x v="6"/>
    <n v="2.0000000949949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4076"/>
    <x v="2"/>
    <s v="2019/5304"/>
    <s v="387 Upper Richmond Road"/>
    <m/>
    <n v="522446"/>
    <n v="175417"/>
    <x v="15"/>
    <m/>
    <m/>
    <n v="1"/>
    <n v="1"/>
    <n v="0"/>
    <n v="2"/>
    <n v="1"/>
    <x v="0"/>
    <s v="Alterations including erection of single-storey rear extension in connection with formation of 1 x 2 bedroom house at rear ground and first floor conversion of upper floors to 1 x 3-bedroom flat."/>
    <s v="PF"/>
    <d v="2020-01-09T00:00:00"/>
    <d v="2020-02-17T00:00:00"/>
    <x v="1"/>
    <s v="Nil"/>
    <m/>
    <s v="BF"/>
    <s v="MIX"/>
    <x v="0"/>
    <x v="0"/>
    <n v="6.0000000521540598E-3"/>
    <m/>
    <x v="0"/>
    <m/>
    <x v="0"/>
    <s v="M"/>
    <m/>
    <m/>
    <n v="0"/>
    <n v="0"/>
    <n v="0"/>
    <n v="0"/>
    <n v="0"/>
    <n v="0"/>
    <n v="-1"/>
    <n v="1"/>
    <n v="0"/>
    <n v="0"/>
    <n v="0"/>
    <n v="0"/>
    <n v="0"/>
    <n v="-1"/>
    <n v="1"/>
    <n v="0"/>
    <n v="0"/>
    <n v="0"/>
    <n v="0"/>
    <n v="0"/>
    <n v="0"/>
    <n v="0"/>
    <n v="0"/>
    <n v="0"/>
    <n v="0"/>
    <n v="0"/>
    <n v="0"/>
    <n v="0"/>
    <n v="0"/>
    <n v="0"/>
    <n v="0"/>
    <n v="0"/>
    <x v="0"/>
    <x v="0"/>
    <x v="0"/>
    <x v="0"/>
    <x v="0"/>
    <m/>
    <x v="0"/>
    <x v="0"/>
    <n v="15"/>
    <m/>
    <n v="0"/>
    <n v="0"/>
    <n v="0"/>
    <m/>
    <m/>
    <m/>
    <m/>
    <m/>
    <m/>
    <m/>
    <m/>
    <m/>
    <m/>
    <m/>
    <m/>
    <m/>
    <m/>
    <m/>
    <m/>
    <m/>
    <n v="0"/>
    <n v="0"/>
  </r>
  <r>
    <n v="4076"/>
    <x v="2"/>
    <s v="2019/5304"/>
    <s v="387 Upper Richmond Road"/>
    <m/>
    <n v="522446"/>
    <n v="175417"/>
    <x v="15"/>
    <m/>
    <m/>
    <n v="0"/>
    <n v="1"/>
    <n v="1"/>
    <n v="2"/>
    <n v="1"/>
    <x v="0"/>
    <s v="Alterations including erection of single-storey rear extension in connection with formation of 1 x 2 bedroom house at rear ground and first floor conversion of upper floors to 1 x 3-bedroom flat."/>
    <s v="PF"/>
    <d v="2020-01-09T00:00:00"/>
    <d v="2020-02-17T00:00:00"/>
    <x v="1"/>
    <s v="Nil"/>
    <m/>
    <s v="BF"/>
    <s v="MIX"/>
    <x v="0"/>
    <x v="6"/>
    <n v="4.9999998882412902E-3"/>
    <m/>
    <x v="0"/>
    <m/>
    <x v="0"/>
    <s v="M"/>
    <m/>
    <m/>
    <n v="0"/>
    <n v="0"/>
    <n v="0"/>
    <n v="0"/>
    <n v="0"/>
    <n v="0"/>
    <n v="1"/>
    <n v="0"/>
    <n v="0"/>
    <n v="0"/>
    <n v="0"/>
    <n v="0"/>
    <n v="0"/>
    <n v="0"/>
    <n v="0"/>
    <n v="0"/>
    <n v="0"/>
    <n v="0"/>
    <n v="0"/>
    <n v="0"/>
    <n v="1"/>
    <n v="0"/>
    <n v="0"/>
    <n v="0"/>
    <n v="0"/>
    <n v="0"/>
    <n v="0"/>
    <n v="0"/>
    <n v="0"/>
    <n v="0"/>
    <n v="0"/>
    <n v="0"/>
    <x v="0"/>
    <x v="0"/>
    <x v="0"/>
    <x v="0"/>
    <x v="0"/>
    <m/>
    <x v="0"/>
    <x v="0"/>
    <n v="15"/>
    <m/>
    <n v="0.33333333333333331"/>
    <n v="0.33333333333333331"/>
    <n v="0.33333333333333331"/>
    <m/>
    <m/>
    <m/>
    <m/>
    <m/>
    <m/>
    <m/>
    <m/>
    <m/>
    <m/>
    <m/>
    <m/>
    <m/>
    <m/>
    <m/>
    <m/>
    <m/>
    <n v="1"/>
    <n v="1"/>
  </r>
  <r>
    <n v="4084"/>
    <x v="2"/>
    <s v="2018/0195"/>
    <s v="22 Trinity Road"/>
    <m/>
    <n v="527971"/>
    <n v="172408"/>
    <x v="3"/>
    <d v="2018-04-20T00:00:00"/>
    <m/>
    <n v="0"/>
    <n v="1"/>
    <n v="1"/>
    <n v="3"/>
    <n v="2"/>
    <x v="0"/>
    <s v="Alterations including demolition of rear elevation, replacement shopfront, erection of mansard roof extension to create an additional storey of residential accommodation, erection of part single, part two storey rear extension, insertion of mezzanine floors, excavation of basement and conversion of ground floor shop from Sui Generis (mini-cab office) to part Class A1 (shop) and part Class C3 (residential) to create 2 x 1-bedroom flats and a studio flat."/>
    <s v="PF"/>
    <d v="2018-01-15T00:00:00"/>
    <d v="2018-04-20T00:00:00"/>
    <x v="0"/>
    <s v="Nil"/>
    <m/>
    <s v="BF"/>
    <s v="MIX"/>
    <x v="0"/>
    <x v="5"/>
    <n v="3.0000000260770299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4084"/>
    <x v="2"/>
    <s v="2018/0195"/>
    <s v="22 Trinity Road"/>
    <m/>
    <n v="527971"/>
    <n v="172408"/>
    <x v="3"/>
    <d v="2018-04-20T00:00:00"/>
    <m/>
    <n v="1"/>
    <n v="1"/>
    <n v="0"/>
    <n v="3"/>
    <n v="2"/>
    <x v="0"/>
    <s v="Alterations including demolition of rear elevation, replacement shopfront, erection of mansard roof extension to create an additional storey of residential accommodation, erection of part single, part two storey rear extension, insertion of mezzanine floors, excavation of basement and conversion of ground floor shop from Sui Generis (mini-cab office) to part Class A1 (shop) and part Class C3 (residential) to create 2 x 1-bedroom flats and a studio flat."/>
    <s v="PF"/>
    <d v="2018-01-15T00:00:00"/>
    <d v="2018-04-20T00:00:00"/>
    <x v="0"/>
    <s v="Nil"/>
    <m/>
    <s v="BF"/>
    <s v="MIX"/>
    <x v="0"/>
    <x v="0"/>
    <n v="3.0000000260770299E-3"/>
    <m/>
    <x v="0"/>
    <m/>
    <x v="0"/>
    <s v="M"/>
    <m/>
    <m/>
    <n v="0"/>
    <n v="0"/>
    <n v="0"/>
    <n v="0"/>
    <n v="-1"/>
    <n v="1"/>
    <n v="0"/>
    <n v="0"/>
    <n v="0"/>
    <n v="0"/>
    <n v="0"/>
    <n v="-1"/>
    <n v="1"/>
    <n v="0"/>
    <n v="0"/>
    <n v="0"/>
    <n v="0"/>
    <n v="0"/>
    <n v="0"/>
    <n v="0"/>
    <n v="0"/>
    <n v="0"/>
    <n v="0"/>
    <n v="0"/>
    <n v="0"/>
    <n v="0"/>
    <n v="0"/>
    <n v="0"/>
    <n v="0"/>
    <n v="0"/>
    <n v="0"/>
    <n v="0"/>
    <x v="0"/>
    <x v="0"/>
    <x v="0"/>
    <x v="0"/>
    <x v="0"/>
    <m/>
    <x v="0"/>
    <x v="0"/>
    <n v="15"/>
    <m/>
    <n v="0"/>
    <n v="0"/>
    <n v="0"/>
    <m/>
    <m/>
    <m/>
    <m/>
    <m/>
    <m/>
    <m/>
    <m/>
    <m/>
    <m/>
    <m/>
    <m/>
    <m/>
    <m/>
    <m/>
    <m/>
    <m/>
    <n v="0"/>
    <n v="0"/>
  </r>
  <r>
    <n v="4084"/>
    <x v="2"/>
    <s v="2018/0195"/>
    <s v="22 Trinity Road"/>
    <m/>
    <n v="527971"/>
    <n v="172408"/>
    <x v="3"/>
    <d v="2018-04-20T00:00:00"/>
    <m/>
    <n v="0"/>
    <n v="1"/>
    <n v="1"/>
    <n v="3"/>
    <n v="2"/>
    <x v="0"/>
    <s v="Alterations including demolition of rear elevation, replacement shopfront, erection of mansard roof extension to create an additional storey of residential accommodation, erection of part single, part two storey rear extension, insertion of mezzanine floors, excavation of basement and conversion of ground floor shop from Sui Generis (mini-cab office) to part Class A1 (shop) and part Class C3 (residential) to create 2 x 1-bedroom flats and a studio flat."/>
    <s v="PF"/>
    <d v="2018-01-15T00:00:00"/>
    <d v="2018-04-20T00:00:00"/>
    <x v="0"/>
    <s v="Nil"/>
    <m/>
    <s v="BF"/>
    <s v="MIX"/>
    <x v="0"/>
    <x v="4"/>
    <n v="3.0000000260770299E-3"/>
    <m/>
    <x v="0"/>
    <m/>
    <x v="0"/>
    <s v="M"/>
    <m/>
    <m/>
    <n v="0"/>
    <n v="0"/>
    <n v="0"/>
    <n v="1"/>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4089"/>
    <x v="2"/>
    <s v="2017/4159"/>
    <s v="294 Upper Richmond Road (Flats a, b &amp; c)"/>
    <m/>
    <n v="523671"/>
    <n v="175184"/>
    <x v="0"/>
    <m/>
    <m/>
    <n v="0"/>
    <n v="1"/>
    <n v="1"/>
    <n v="1"/>
    <n v="1"/>
    <x v="0"/>
    <s v="Alterations including excavation to enlarge basement with formation of front lightwell and single-storey rear extension in connection with change of use of rear part of ground floor from restaurant (Class A3) to a 2-bedroom flat (Class C3)."/>
    <s v="PF"/>
    <d v="2017-07-25T00:00:00"/>
    <d v="2017-10-11T00:00:00"/>
    <x v="0"/>
    <s v="Nil"/>
    <m/>
    <s v="BF"/>
    <s v="MIX"/>
    <x v="0"/>
    <x v="1"/>
    <n v="4.9999998882412902E-3"/>
    <m/>
    <x v="0"/>
    <m/>
    <x v="0"/>
    <s v="M"/>
    <m/>
    <m/>
    <n v="0"/>
    <n v="0"/>
    <n v="0"/>
    <n v="0"/>
    <n v="0"/>
    <n v="0"/>
    <n v="1"/>
    <n v="0"/>
    <n v="0"/>
    <n v="0"/>
    <n v="0"/>
    <n v="0"/>
    <n v="0"/>
    <n v="1"/>
    <n v="0"/>
    <n v="0"/>
    <n v="0"/>
    <n v="0"/>
    <n v="0"/>
    <n v="0"/>
    <n v="0"/>
    <n v="0"/>
    <n v="0"/>
    <n v="0"/>
    <n v="0"/>
    <n v="0"/>
    <n v="0"/>
    <n v="0"/>
    <n v="0"/>
    <n v="0"/>
    <n v="0"/>
    <n v="0"/>
    <x v="2"/>
    <x v="0"/>
    <x v="0"/>
    <x v="0"/>
    <x v="0"/>
    <m/>
    <x v="0"/>
    <x v="0"/>
    <n v="15"/>
    <m/>
    <n v="0.33333333333333331"/>
    <n v="0.33333333333333331"/>
    <n v="0.33333333333333331"/>
    <m/>
    <m/>
    <m/>
    <m/>
    <m/>
    <m/>
    <m/>
    <m/>
    <m/>
    <m/>
    <m/>
    <m/>
    <m/>
    <m/>
    <m/>
    <m/>
    <m/>
    <n v="1"/>
    <n v="1"/>
  </r>
  <r>
    <n v="4157"/>
    <x v="2"/>
    <s v="2018/3669"/>
    <s v="37-39 St Johns Road"/>
    <m/>
    <n v="527404"/>
    <n v="175316"/>
    <x v="4"/>
    <m/>
    <m/>
    <n v="0"/>
    <n v="6"/>
    <n v="6"/>
    <n v="6"/>
    <n v="6"/>
    <x v="0"/>
    <s v="Demolition of existing building and erection of a four-storey building to provide 1 x 1-bedroom, 3 x 2-bedroom and 2 x 3-bedroom flats (USe Class C3) and ground floor use as Class A1/A3 including associated works."/>
    <s v="PF"/>
    <d v="2018-07-30T00:00:00"/>
    <d v="2020-02-03T00:00:00"/>
    <x v="1"/>
    <s v="Nil"/>
    <m/>
    <s v="BF"/>
    <s v="NB"/>
    <x v="0"/>
    <x v="5"/>
    <n v="1.30000002682209E-2"/>
    <m/>
    <x v="0"/>
    <m/>
    <x v="0"/>
    <s v="M"/>
    <m/>
    <m/>
    <n v="0"/>
    <n v="0"/>
    <n v="0"/>
    <n v="0"/>
    <n v="0"/>
    <n v="1"/>
    <n v="3"/>
    <n v="2"/>
    <n v="0"/>
    <n v="0"/>
    <n v="0"/>
    <n v="0"/>
    <n v="1"/>
    <n v="3"/>
    <n v="2"/>
    <n v="0"/>
    <n v="0"/>
    <n v="0"/>
    <n v="0"/>
    <n v="0"/>
    <n v="0"/>
    <n v="0"/>
    <n v="0"/>
    <n v="0"/>
    <n v="0"/>
    <n v="0"/>
    <n v="0"/>
    <n v="0"/>
    <n v="0"/>
    <n v="0"/>
    <n v="0"/>
    <n v="0"/>
    <x v="1"/>
    <x v="0"/>
    <x v="0"/>
    <x v="0"/>
    <x v="0"/>
    <m/>
    <x v="0"/>
    <x v="0"/>
    <n v="7"/>
    <m/>
    <m/>
    <m/>
    <n v="6"/>
    <m/>
    <m/>
    <m/>
    <m/>
    <m/>
    <m/>
    <m/>
    <m/>
    <m/>
    <m/>
    <m/>
    <m/>
    <m/>
    <m/>
    <m/>
    <m/>
    <m/>
    <n v="6"/>
    <n v="6"/>
  </r>
  <r>
    <n v="4173"/>
    <x v="2"/>
    <s v="2017/4246"/>
    <s v="149-151 Wandsworth High Street"/>
    <m/>
    <n v="525437"/>
    <n v="174675"/>
    <x v="14"/>
    <m/>
    <m/>
    <n v="1"/>
    <n v="4"/>
    <n v="3"/>
    <n v="4"/>
    <n v="3"/>
    <x v="0"/>
    <s v="Demolition of building behind a retained facade. Erection of a four-storey building to provide two ground floor retail units with 2 x1-bedroom flats and 2 x 2-bedroom flat above. Formation of two roof terraces."/>
    <s v="PF"/>
    <d v="2017-08-08T00:00:00"/>
    <d v="2017-10-25T00:00:00"/>
    <x v="0"/>
    <s v="Nil"/>
    <m/>
    <s v="BF"/>
    <s v="NB"/>
    <x v="0"/>
    <x v="5"/>
    <n v="1.4000000432133701E-2"/>
    <m/>
    <x v="0"/>
    <m/>
    <x v="0"/>
    <s v="M"/>
    <m/>
    <m/>
    <n v="0"/>
    <n v="0"/>
    <n v="0"/>
    <n v="0"/>
    <n v="0"/>
    <n v="2"/>
    <n v="2"/>
    <n v="-1"/>
    <n v="0"/>
    <n v="0"/>
    <n v="0"/>
    <n v="0"/>
    <n v="2"/>
    <n v="2"/>
    <n v="-1"/>
    <n v="0"/>
    <n v="0"/>
    <n v="0"/>
    <n v="0"/>
    <n v="0"/>
    <n v="0"/>
    <n v="0"/>
    <n v="0"/>
    <n v="0"/>
    <n v="0"/>
    <n v="0"/>
    <n v="0"/>
    <n v="0"/>
    <n v="0"/>
    <n v="0"/>
    <n v="0"/>
    <n v="0"/>
    <x v="3"/>
    <x v="0"/>
    <x v="1"/>
    <x v="0"/>
    <x v="0"/>
    <m/>
    <x v="0"/>
    <x v="0"/>
    <n v="6"/>
    <m/>
    <m/>
    <n v="0.75"/>
    <n v="0.75"/>
    <n v="0.75"/>
    <n v="0.75"/>
    <m/>
    <m/>
    <m/>
    <m/>
    <m/>
    <m/>
    <m/>
    <m/>
    <m/>
    <m/>
    <m/>
    <m/>
    <m/>
    <m/>
    <m/>
    <n v="3"/>
    <n v="3"/>
  </r>
  <r>
    <n v="4386"/>
    <x v="2"/>
    <s v="2019/3050"/>
    <s v="317 Battersea Park Road"/>
    <m/>
    <n v="528177"/>
    <n v="176638"/>
    <x v="12"/>
    <m/>
    <m/>
    <n v="0"/>
    <n v="1"/>
    <n v="1"/>
    <n v="1"/>
    <n v="1"/>
    <x v="0"/>
    <s v="Erection of roof extension to create additional floor of accommodation and creation of 1 x 1-bedroom flat."/>
    <s v="PF"/>
    <d v="2019-08-01T00:00:00"/>
    <d v="2019-12-02T00:00:00"/>
    <x v="1"/>
    <s v="Nil"/>
    <m/>
    <s v="BF"/>
    <s v="EXT"/>
    <x v="0"/>
    <x v="3"/>
    <n v="2.000000094994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4438"/>
    <x v="2"/>
    <s v="2017/1456"/>
    <s v="120 Upper Richmond Road"/>
    <m/>
    <n v="524309"/>
    <n v="174961"/>
    <x v="0"/>
    <m/>
    <m/>
    <n v="1"/>
    <n v="2"/>
    <n v="1"/>
    <n v="3"/>
    <n v="2"/>
    <x v="0"/>
    <s v="Alterations including erection of a four-storey rear extension including rear terraces in connection with conversion of property into 2 x 1-bedroom flats and 1 x 2-bedroom flat; Alterations to the front elevation to accommodate a new residential access, new shopfront and installation of replacement windows."/>
    <s v="PF"/>
    <d v="2017-03-10T00:00:00"/>
    <d v="2017-06-26T00:00:00"/>
    <x v="0"/>
    <s v="Nil"/>
    <m/>
    <s v="BF"/>
    <s v="EXT"/>
    <x v="0"/>
    <x v="0"/>
    <n v="4.9999998882412902E-3"/>
    <m/>
    <x v="0"/>
    <m/>
    <x v="0"/>
    <s v="M"/>
    <m/>
    <m/>
    <n v="0"/>
    <n v="0"/>
    <n v="0"/>
    <n v="0"/>
    <n v="0"/>
    <n v="2"/>
    <n v="-1"/>
    <n v="0"/>
    <n v="0"/>
    <n v="0"/>
    <n v="0"/>
    <n v="0"/>
    <n v="2"/>
    <n v="-1"/>
    <n v="0"/>
    <n v="0"/>
    <n v="0"/>
    <n v="0"/>
    <n v="0"/>
    <n v="0"/>
    <n v="0"/>
    <n v="0"/>
    <n v="0"/>
    <n v="0"/>
    <n v="0"/>
    <n v="0"/>
    <n v="0"/>
    <n v="0"/>
    <n v="0"/>
    <n v="0"/>
    <n v="0"/>
    <n v="0"/>
    <x v="2"/>
    <x v="0"/>
    <x v="0"/>
    <x v="0"/>
    <x v="1"/>
    <m/>
    <x v="0"/>
    <x v="0"/>
    <n v="15"/>
    <m/>
    <n v="0.33333333333333331"/>
    <n v="0.33333333333333331"/>
    <n v="0.33333333333333331"/>
    <m/>
    <m/>
    <m/>
    <m/>
    <m/>
    <m/>
    <m/>
    <m/>
    <m/>
    <m/>
    <m/>
    <m/>
    <m/>
    <m/>
    <m/>
    <m/>
    <m/>
    <n v="1"/>
    <n v="1"/>
  </r>
  <r>
    <n v="4438"/>
    <x v="2"/>
    <s v="2017/1456"/>
    <s v="120 Upper Richmond Road"/>
    <m/>
    <n v="524309"/>
    <n v="174961"/>
    <x v="0"/>
    <m/>
    <m/>
    <n v="0"/>
    <n v="1"/>
    <n v="1"/>
    <n v="3"/>
    <n v="2"/>
    <x v="0"/>
    <s v="Alterations including erection of a four-storey rear extension including rear terraces in connection with conversion of property into 2 x 1-bedroom flats and 1 x 2-bedroom flat; Alterations to the front elevation to accommodate a new residential access, new shopfront and installation of replacement windows."/>
    <s v="PF"/>
    <d v="2017-03-10T00:00:00"/>
    <d v="2017-06-26T00:00:00"/>
    <x v="0"/>
    <s v="Nil"/>
    <m/>
    <s v="BF"/>
    <s v="EXT"/>
    <x v="0"/>
    <x v="3"/>
    <n v="6.0000000521540598E-3"/>
    <m/>
    <x v="0"/>
    <m/>
    <x v="0"/>
    <s v="M"/>
    <m/>
    <m/>
    <n v="0"/>
    <n v="0"/>
    <n v="0"/>
    <n v="0"/>
    <n v="0"/>
    <n v="0"/>
    <n v="1"/>
    <n v="0"/>
    <n v="0"/>
    <n v="0"/>
    <n v="0"/>
    <n v="0"/>
    <n v="0"/>
    <n v="1"/>
    <n v="0"/>
    <n v="0"/>
    <n v="0"/>
    <n v="0"/>
    <n v="0"/>
    <n v="0"/>
    <n v="0"/>
    <n v="0"/>
    <n v="0"/>
    <n v="0"/>
    <n v="0"/>
    <n v="0"/>
    <n v="0"/>
    <n v="0"/>
    <n v="0"/>
    <n v="0"/>
    <n v="0"/>
    <n v="0"/>
    <x v="2"/>
    <x v="0"/>
    <x v="0"/>
    <x v="0"/>
    <x v="1"/>
    <m/>
    <x v="0"/>
    <x v="0"/>
    <n v="15"/>
    <m/>
    <n v="0.33333333333333331"/>
    <n v="0.33333333333333331"/>
    <n v="0.33333333333333331"/>
    <m/>
    <m/>
    <m/>
    <m/>
    <m/>
    <m/>
    <m/>
    <m/>
    <m/>
    <m/>
    <m/>
    <m/>
    <m/>
    <m/>
    <m/>
    <m/>
    <m/>
    <n v="1"/>
    <n v="1"/>
  </r>
  <r>
    <n v="4643"/>
    <x v="2"/>
    <s v="2018/0366"/>
    <s v="4 Hildreth Street"/>
    <m/>
    <n v="528560"/>
    <n v="173342"/>
    <x v="6"/>
    <m/>
    <m/>
    <n v="1"/>
    <n v="2"/>
    <n v="1"/>
    <n v="2"/>
    <n v="1"/>
    <x v="0"/>
    <s v="Conversion of upper floor flat into 1 x studio flat on first floor and 1 x 1-bedroom maisonette on 2nd and 3rd floors"/>
    <s v="PF"/>
    <d v="2018-01-24T00:00:00"/>
    <d v="2018-10-08T00:00:00"/>
    <x v="0"/>
    <s v="Nil"/>
    <m/>
    <s v="BF"/>
    <s v="CON"/>
    <x v="0"/>
    <x v="0"/>
    <n v="3.0000000260770299E-3"/>
    <m/>
    <x v="0"/>
    <m/>
    <x v="0"/>
    <s v="M"/>
    <m/>
    <m/>
    <n v="0"/>
    <n v="0"/>
    <n v="0"/>
    <n v="0"/>
    <n v="1"/>
    <n v="1"/>
    <n v="-1"/>
    <n v="0"/>
    <n v="0"/>
    <n v="0"/>
    <n v="0"/>
    <n v="1"/>
    <n v="1"/>
    <n v="-1"/>
    <n v="0"/>
    <n v="0"/>
    <n v="0"/>
    <n v="0"/>
    <n v="0"/>
    <n v="0"/>
    <n v="0"/>
    <n v="0"/>
    <n v="0"/>
    <n v="0"/>
    <n v="0"/>
    <n v="0"/>
    <n v="0"/>
    <n v="0"/>
    <n v="0"/>
    <n v="0"/>
    <n v="0"/>
    <n v="0"/>
    <x v="5"/>
    <x v="0"/>
    <x v="0"/>
    <x v="0"/>
    <x v="0"/>
    <m/>
    <x v="0"/>
    <x v="0"/>
    <n v="15"/>
    <m/>
    <n v="0.33333333333333331"/>
    <n v="0.33333333333333331"/>
    <n v="0.33333333333333331"/>
    <m/>
    <m/>
    <m/>
    <m/>
    <m/>
    <m/>
    <m/>
    <m/>
    <m/>
    <m/>
    <m/>
    <m/>
    <m/>
    <m/>
    <m/>
    <m/>
    <m/>
    <n v="1"/>
    <n v="1"/>
  </r>
  <r>
    <n v="4677"/>
    <x v="2"/>
    <s v="2017/5639"/>
    <s v="272 Mitcham Road"/>
    <m/>
    <n v="527943"/>
    <n v="170717"/>
    <x v="10"/>
    <m/>
    <m/>
    <n v="0"/>
    <n v="1"/>
    <n v="1"/>
    <n v="1"/>
    <n v="1"/>
    <x v="0"/>
    <s v="Alterations including erection of mansard roof extension to main rear roof, erection of rear extension at first floor (with French doors and safety railings) and erection of single storey rear/side extension in connection with creation of 1 x studio flat."/>
    <s v="PF"/>
    <d v="2017-10-11T00:00:00"/>
    <d v="2017-12-06T00:00:00"/>
    <x v="0"/>
    <s v="Nil"/>
    <m/>
    <s v="BF"/>
    <s v="EXT"/>
    <x v="0"/>
    <x v="3"/>
    <n v="4.0000001899898104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4689"/>
    <x v="2"/>
    <s v="2019/1258"/>
    <s v="13 Northcote Road"/>
    <s v="conversion"/>
    <n v="527473"/>
    <n v="175071"/>
    <x v="4"/>
    <m/>
    <m/>
    <n v="1"/>
    <n v="1"/>
    <n v="0"/>
    <n v="2"/>
    <n v="1"/>
    <x v="0"/>
    <s v="Alterations including erection of mansard roof extension to main roof, rear extension at second floor level and formation of rear roof terraces in connection with conversion of existing flat into 1 x 1-bedroom and 1 x 3-bedroom flats."/>
    <s v="PF"/>
    <d v="2019-03-19T00:00:00"/>
    <d v="2019-05-14T00:00:00"/>
    <x v="1"/>
    <s v="Nil"/>
    <m/>
    <s v="BF"/>
    <s v="MIX"/>
    <x v="0"/>
    <x v="0"/>
    <n v="3.0000000260770299E-3"/>
    <m/>
    <x v="0"/>
    <m/>
    <x v="0"/>
    <s v="M"/>
    <m/>
    <m/>
    <n v="0"/>
    <n v="0"/>
    <n v="0"/>
    <n v="0"/>
    <n v="0"/>
    <n v="1"/>
    <n v="0"/>
    <n v="-1"/>
    <n v="0"/>
    <n v="0"/>
    <n v="0"/>
    <n v="0"/>
    <n v="1"/>
    <n v="0"/>
    <n v="-1"/>
    <n v="0"/>
    <n v="0"/>
    <n v="0"/>
    <n v="0"/>
    <n v="0"/>
    <n v="0"/>
    <n v="0"/>
    <n v="0"/>
    <n v="0"/>
    <n v="0"/>
    <n v="0"/>
    <n v="0"/>
    <n v="0"/>
    <n v="0"/>
    <n v="0"/>
    <n v="0"/>
    <n v="0"/>
    <x v="1"/>
    <x v="0"/>
    <x v="0"/>
    <x v="0"/>
    <x v="0"/>
    <m/>
    <x v="0"/>
    <x v="0"/>
    <n v="15"/>
    <m/>
    <n v="0"/>
    <n v="0"/>
    <n v="0"/>
    <m/>
    <m/>
    <m/>
    <m/>
    <m/>
    <m/>
    <m/>
    <m/>
    <m/>
    <m/>
    <m/>
    <m/>
    <m/>
    <m/>
    <m/>
    <m/>
    <m/>
    <n v="0"/>
    <n v="0"/>
  </r>
  <r>
    <n v="4689"/>
    <x v="2"/>
    <s v="2019/1258"/>
    <s v="13 Northcote Road"/>
    <s v="extn to ex"/>
    <n v="527473"/>
    <n v="175071"/>
    <x v="4"/>
    <m/>
    <m/>
    <n v="0"/>
    <n v="1"/>
    <n v="1"/>
    <n v="2"/>
    <n v="1"/>
    <x v="0"/>
    <s v="Alterations including erection of mansard roof extension to main roof, rear extension at second floor level and formation of rear roof terraces in connection with conversion of existing flat into 1 x 1-bedroom and 1 x 3-bedroom flats."/>
    <s v="PF"/>
    <d v="2019-03-19T00:00:00"/>
    <d v="2019-05-14T00:00:00"/>
    <x v="1"/>
    <s v="Nil"/>
    <m/>
    <s v="BF"/>
    <s v="MIX"/>
    <x v="0"/>
    <x v="3"/>
    <n v="4.0000001899898104E-3"/>
    <m/>
    <x v="0"/>
    <m/>
    <x v="0"/>
    <s v="M"/>
    <m/>
    <m/>
    <n v="0"/>
    <n v="0"/>
    <n v="0"/>
    <n v="0"/>
    <n v="0"/>
    <n v="0"/>
    <n v="0"/>
    <n v="1"/>
    <n v="0"/>
    <n v="0"/>
    <n v="0"/>
    <n v="0"/>
    <n v="0"/>
    <n v="0"/>
    <n v="1"/>
    <n v="0"/>
    <n v="0"/>
    <n v="0"/>
    <n v="0"/>
    <n v="0"/>
    <n v="0"/>
    <n v="0"/>
    <n v="0"/>
    <n v="0"/>
    <n v="0"/>
    <n v="0"/>
    <n v="0"/>
    <n v="0"/>
    <n v="0"/>
    <n v="0"/>
    <n v="0"/>
    <n v="0"/>
    <x v="1"/>
    <x v="0"/>
    <x v="0"/>
    <x v="0"/>
    <x v="0"/>
    <m/>
    <x v="0"/>
    <x v="0"/>
    <n v="15"/>
    <m/>
    <n v="0.33333333333333331"/>
    <n v="0.33333333333333331"/>
    <n v="0.33333333333333331"/>
    <m/>
    <m/>
    <m/>
    <m/>
    <m/>
    <m/>
    <m/>
    <m/>
    <m/>
    <m/>
    <m/>
    <m/>
    <m/>
    <m/>
    <m/>
    <m/>
    <m/>
    <n v="1"/>
    <n v="1"/>
  </r>
  <r>
    <n v="4718"/>
    <x v="2"/>
    <s v="2015/5664"/>
    <s v="Main Site, Ballymore, Ponton Road (Embassy Gardens)"/>
    <s v="A01"/>
    <n v="529643"/>
    <n v="177593"/>
    <x v="12"/>
    <m/>
    <m/>
    <n v="0"/>
    <n v="207"/>
    <n v="207"/>
    <n v="207"/>
    <n v="207"/>
    <x v="1"/>
    <s v="Details of Reserved Matters (scale, layout, access, external appearance and landscaping) for plot A01 of Phase 3,  pursuant to condition 3 of planning permission 2011/1815 (as amended) dated 30th March 2012 for demolition of all existing buildings and construction of a mixed use redevelopment to provide residential units, including affordable housing, retail, financial and professional services, café/restaurant, bar and hot food take-away uses, car showrooms, office floorspace and flexible workspace, a hotel, community uses and assembly and leisure uses, associated basement and ground level parking and servicing; energy centres; new vehicle and pedestrian access and circulation; and new public amenity space and landscaping including part of the 'Linear Park'."/>
    <s v="DT"/>
    <d v="2015-10-06T00:00:00"/>
    <d v="2017-05-15T00:00:00"/>
    <x v="0"/>
    <s v="Nil"/>
    <m/>
    <s v="BF"/>
    <s v="NB"/>
    <x v="1"/>
    <x v="7"/>
    <n v="0.279000014066696"/>
    <m/>
    <x v="0"/>
    <m/>
    <x v="0"/>
    <s v="M"/>
    <s v="2.1.16"/>
    <m/>
    <n v="0"/>
    <n v="0"/>
    <n v="0"/>
    <n v="0"/>
    <n v="18"/>
    <n v="49"/>
    <n v="124"/>
    <n v="16"/>
    <n v="0"/>
    <n v="0"/>
    <n v="0"/>
    <n v="18"/>
    <n v="49"/>
    <n v="124"/>
    <n v="16"/>
    <n v="0"/>
    <n v="0"/>
    <n v="0"/>
    <n v="0"/>
    <n v="0"/>
    <n v="0"/>
    <n v="0"/>
    <n v="0"/>
    <n v="0"/>
    <n v="0"/>
    <n v="0"/>
    <n v="0"/>
    <n v="0"/>
    <n v="0"/>
    <n v="0"/>
    <n v="0"/>
    <n v="0"/>
    <x v="0"/>
    <x v="1"/>
    <x v="0"/>
    <x v="0"/>
    <x v="0"/>
    <m/>
    <x v="0"/>
    <x v="0"/>
    <n v="21"/>
    <m/>
    <m/>
    <m/>
    <m/>
    <m/>
    <n v="207"/>
    <m/>
    <m/>
    <m/>
    <m/>
    <m/>
    <m/>
    <m/>
    <m/>
    <m/>
    <m/>
    <m/>
    <m/>
    <m/>
    <m/>
    <m/>
    <n v="207"/>
    <n v="207"/>
  </r>
  <r>
    <n v="4750"/>
    <x v="2"/>
    <s v="2017/6538"/>
    <s v="111-113 Wandsworth High Street"/>
    <m/>
    <n v="525522"/>
    <n v="174660"/>
    <x v="14"/>
    <m/>
    <m/>
    <n v="0"/>
    <n v="6"/>
    <n v="6"/>
    <n v="6"/>
    <n v="6"/>
    <x v="0"/>
    <s v="Alterations including erection of two storey roof extension including front and rear mansard and excavation to create basement in connection with provision of retail (Class A1) at ground floor level with ancillary office  and storage floorspace on the basement and first floor levels, and 4 x 2-bedroom, 1 x 1-bedroom and 1 x studio flats with front and rear roof terraces and associated refuse storage accessed from the rear."/>
    <s v="PF"/>
    <d v="2018-03-21T00:00:00"/>
    <d v="2018-06-27T00:00:00"/>
    <x v="0"/>
    <s v="Nil"/>
    <m/>
    <s v="BF"/>
    <s v="MIX"/>
    <x v="0"/>
    <x v="5"/>
    <n v="1.8999999389052401E-2"/>
    <m/>
    <x v="0"/>
    <m/>
    <x v="0"/>
    <s v="M"/>
    <m/>
    <m/>
    <n v="0"/>
    <n v="6"/>
    <n v="0"/>
    <n v="0"/>
    <n v="1"/>
    <n v="1"/>
    <n v="4"/>
    <n v="0"/>
    <n v="0"/>
    <n v="0"/>
    <n v="0"/>
    <n v="1"/>
    <n v="1"/>
    <n v="4"/>
    <n v="0"/>
    <n v="0"/>
    <n v="0"/>
    <n v="0"/>
    <n v="0"/>
    <n v="0"/>
    <n v="0"/>
    <n v="0"/>
    <n v="0"/>
    <n v="0"/>
    <n v="0"/>
    <n v="0"/>
    <n v="0"/>
    <n v="0"/>
    <n v="0"/>
    <n v="0"/>
    <n v="0"/>
    <n v="0"/>
    <x v="3"/>
    <x v="0"/>
    <x v="1"/>
    <x v="0"/>
    <x v="0"/>
    <m/>
    <x v="0"/>
    <x v="0"/>
    <n v="18"/>
    <m/>
    <m/>
    <n v="1.5"/>
    <n v="1.5"/>
    <n v="1.5"/>
    <n v="1.5"/>
    <m/>
    <m/>
    <m/>
    <m/>
    <m/>
    <m/>
    <m/>
    <m/>
    <m/>
    <m/>
    <m/>
    <m/>
    <m/>
    <m/>
    <m/>
    <n v="6"/>
    <n v="6"/>
  </r>
  <r>
    <n v="4775"/>
    <x v="2"/>
    <s v="2019/2498"/>
    <s v="Templeton, 118 Priory Lane"/>
    <m/>
    <n v="521333"/>
    <n v="174425"/>
    <x v="13"/>
    <m/>
    <m/>
    <n v="0"/>
    <n v="3"/>
    <n v="3"/>
    <n v="3"/>
    <n v="3"/>
    <x v="0"/>
    <s v="Alterations in connection with conversion of part ground and first floor of garage building to 3 x 1 bedroom  flats ancilliary to the main house."/>
    <s v="PF"/>
    <d v="2019-06-27T00:00:00"/>
    <d v="2019-07-31T00:00:00"/>
    <x v="1"/>
    <s v="Nil"/>
    <m/>
    <s v="BF"/>
    <s v="COU"/>
    <x v="0"/>
    <x v="1"/>
    <n v="1.4999999664723899E-2"/>
    <m/>
    <x v="0"/>
    <m/>
    <x v="0"/>
    <s v="M"/>
    <m/>
    <m/>
    <n v="0"/>
    <n v="0"/>
    <n v="0"/>
    <n v="0"/>
    <n v="0"/>
    <n v="3"/>
    <n v="0"/>
    <n v="0"/>
    <n v="0"/>
    <n v="0"/>
    <n v="0"/>
    <n v="0"/>
    <n v="3"/>
    <n v="0"/>
    <n v="0"/>
    <n v="0"/>
    <n v="0"/>
    <n v="0"/>
    <n v="0"/>
    <n v="0"/>
    <n v="0"/>
    <n v="0"/>
    <n v="0"/>
    <n v="0"/>
    <n v="0"/>
    <n v="0"/>
    <n v="0"/>
    <n v="0"/>
    <n v="0"/>
    <n v="0"/>
    <n v="0"/>
    <n v="0"/>
    <x v="0"/>
    <x v="0"/>
    <x v="0"/>
    <x v="0"/>
    <x v="0"/>
    <m/>
    <x v="0"/>
    <x v="0"/>
    <n v="16"/>
    <m/>
    <m/>
    <n v="3"/>
    <m/>
    <m/>
    <m/>
    <m/>
    <m/>
    <m/>
    <m/>
    <m/>
    <m/>
    <m/>
    <m/>
    <m/>
    <m/>
    <m/>
    <m/>
    <m/>
    <m/>
    <m/>
    <n v="3"/>
    <n v="3"/>
  </r>
  <r>
    <n v="4797"/>
    <x v="2"/>
    <s v="2014/3470"/>
    <s v="Unit 25-28 Ransomes Dock, 35-37 Parkgate Road (Ransomes Dock Business Centre)"/>
    <s v="Flat 12"/>
    <n v="527293"/>
    <n v="177185"/>
    <x v="11"/>
    <d v="2014-08-19T00:00:00"/>
    <m/>
    <n v="0"/>
    <n v="1"/>
    <n v="1"/>
    <n v="2"/>
    <n v="2"/>
    <x v="0"/>
    <s v="Change of use of 232 sqm of floorspace at third floor level from Office (Class B1a) to Residential use (Class C3) to provide two flats."/>
    <s v="PAG"/>
    <d v="2014-06-24T00:00:00"/>
    <d v="2014-08-19T00:00:00"/>
    <x v="0"/>
    <s v="Nil"/>
    <m/>
    <s v="BF"/>
    <s v="COU"/>
    <x v="0"/>
    <x v="6"/>
    <n v="7.0000002160668399E-3"/>
    <m/>
    <x v="0"/>
    <m/>
    <x v="0"/>
    <s v="M"/>
    <m/>
    <m/>
    <n v="0"/>
    <n v="0"/>
    <n v="0"/>
    <n v="0"/>
    <n v="0"/>
    <n v="0"/>
    <n v="0"/>
    <n v="1"/>
    <n v="0"/>
    <n v="0"/>
    <n v="0"/>
    <n v="0"/>
    <n v="0"/>
    <n v="0"/>
    <n v="1"/>
    <n v="0"/>
    <n v="0"/>
    <n v="0"/>
    <n v="0"/>
    <n v="0"/>
    <n v="0"/>
    <n v="0"/>
    <n v="0"/>
    <n v="0"/>
    <n v="0"/>
    <n v="0"/>
    <n v="0"/>
    <n v="0"/>
    <n v="0"/>
    <n v="0"/>
    <n v="0"/>
    <n v="0"/>
    <x v="0"/>
    <x v="0"/>
    <x v="0"/>
    <x v="0"/>
    <x v="0"/>
    <m/>
    <x v="1"/>
    <x v="0"/>
    <n v="15"/>
    <m/>
    <n v="0.33333333333333331"/>
    <n v="0.33333333333333331"/>
    <n v="0.33333333333333331"/>
    <m/>
    <m/>
    <m/>
    <m/>
    <m/>
    <m/>
    <m/>
    <m/>
    <m/>
    <m/>
    <m/>
    <m/>
    <m/>
    <m/>
    <m/>
    <m/>
    <m/>
    <n v="1"/>
    <n v="1"/>
  </r>
  <r>
    <n v="4936"/>
    <x v="2"/>
    <s v="2016/2444"/>
    <s v="Reef House, Coral Row (Plantation Wharf)"/>
    <m/>
    <n v="526431"/>
    <n v="175730"/>
    <x v="11"/>
    <m/>
    <m/>
    <n v="0"/>
    <n v="2"/>
    <n v="2"/>
    <n v="2"/>
    <n v="2"/>
    <x v="0"/>
    <s v="Determination as to whether prior approval is required for change of use from office (Class B1a) to 2 x 2-bedroom residential units (Class C3) at first floor."/>
    <s v="PAG"/>
    <d v="2016-05-03T00:00:00"/>
    <d v="2016-06-28T00:00:00"/>
    <x v="0"/>
    <s v="Nil"/>
    <m/>
    <s v="BF"/>
    <s v="COU"/>
    <x v="0"/>
    <x v="6"/>
    <n v="4.0000001899898104E-3"/>
    <m/>
    <x v="0"/>
    <m/>
    <x v="0"/>
    <s v="M"/>
    <s v="10.15"/>
    <m/>
    <n v="0"/>
    <n v="0"/>
    <n v="0"/>
    <n v="0"/>
    <n v="0"/>
    <n v="0"/>
    <n v="2"/>
    <n v="0"/>
    <n v="0"/>
    <n v="0"/>
    <n v="0"/>
    <n v="0"/>
    <n v="0"/>
    <n v="2"/>
    <n v="0"/>
    <n v="0"/>
    <n v="0"/>
    <n v="0"/>
    <n v="0"/>
    <n v="0"/>
    <n v="0"/>
    <n v="0"/>
    <n v="0"/>
    <n v="0"/>
    <n v="0"/>
    <n v="0"/>
    <n v="0"/>
    <n v="0"/>
    <n v="0"/>
    <n v="0"/>
    <n v="0"/>
    <n v="0"/>
    <x v="0"/>
    <x v="0"/>
    <x v="0"/>
    <x v="0"/>
    <x v="0"/>
    <m/>
    <x v="1"/>
    <x v="0"/>
    <n v="15"/>
    <m/>
    <n v="0.66666666666666663"/>
    <n v="0.66666666666666663"/>
    <n v="0.66666666666666663"/>
    <m/>
    <m/>
    <m/>
    <m/>
    <m/>
    <m/>
    <m/>
    <m/>
    <m/>
    <m/>
    <m/>
    <m/>
    <m/>
    <m/>
    <m/>
    <m/>
    <m/>
    <n v="2"/>
    <n v="2"/>
  </r>
  <r>
    <n v="4936"/>
    <x v="2"/>
    <s v="2016/3441"/>
    <s v="Reef House, Coral Row (Plantation Wharf)"/>
    <m/>
    <n v="526431"/>
    <n v="175730"/>
    <x v="11"/>
    <m/>
    <m/>
    <n v="0"/>
    <n v="4"/>
    <n v="4"/>
    <n v="4"/>
    <n v="4"/>
    <x v="0"/>
    <s v="Determination as to whether prior approval is required for change of use from office (Class B1a) to 4 x 2-bedroom residential units (Class C3) at second and third floors."/>
    <s v="PAG"/>
    <d v="2016-06-15T00:00:00"/>
    <d v="2016-08-10T00:00:00"/>
    <x v="0"/>
    <s v="Nil"/>
    <m/>
    <s v="BF"/>
    <s v="COU"/>
    <x v="0"/>
    <x v="6"/>
    <n v="8.9999996125698107E-3"/>
    <m/>
    <x v="0"/>
    <m/>
    <x v="0"/>
    <s v="M"/>
    <s v="10.15"/>
    <m/>
    <n v="0"/>
    <n v="0"/>
    <n v="0"/>
    <n v="0"/>
    <n v="0"/>
    <n v="0"/>
    <n v="4"/>
    <n v="0"/>
    <n v="0"/>
    <n v="0"/>
    <n v="0"/>
    <n v="0"/>
    <n v="0"/>
    <n v="4"/>
    <n v="0"/>
    <n v="0"/>
    <n v="0"/>
    <n v="0"/>
    <n v="0"/>
    <n v="0"/>
    <n v="0"/>
    <n v="0"/>
    <n v="0"/>
    <n v="0"/>
    <n v="0"/>
    <n v="0"/>
    <n v="0"/>
    <n v="0"/>
    <n v="0"/>
    <n v="0"/>
    <n v="0"/>
    <n v="0"/>
    <x v="0"/>
    <x v="0"/>
    <x v="0"/>
    <x v="0"/>
    <x v="0"/>
    <m/>
    <x v="1"/>
    <x v="0"/>
    <n v="15"/>
    <m/>
    <n v="1.3333333333333333"/>
    <n v="1.3333333333333333"/>
    <n v="1.3333333333333333"/>
    <m/>
    <m/>
    <m/>
    <m/>
    <m/>
    <m/>
    <m/>
    <m/>
    <m/>
    <m/>
    <m/>
    <m/>
    <m/>
    <m/>
    <m/>
    <m/>
    <m/>
    <n v="4"/>
    <n v="4"/>
  </r>
  <r>
    <n v="4936"/>
    <x v="2"/>
    <s v="2016/3873"/>
    <s v="Reef House, Coral Row (Plantation Wharf)"/>
    <m/>
    <n v="526431"/>
    <n v="175730"/>
    <x v="11"/>
    <m/>
    <m/>
    <n v="0"/>
    <n v="2"/>
    <n v="2"/>
    <n v="2"/>
    <n v="2"/>
    <x v="0"/>
    <s v="Determination as to whether prior approval is required for change of use from office at ground floor level (Class B1a) to residential (Class C3) to provide 2 x 2-bedroom flats."/>
    <s v="PAG"/>
    <d v="2016-06-30T00:00:00"/>
    <d v="2016-08-25T00:00:00"/>
    <x v="0"/>
    <s v="Nil"/>
    <m/>
    <s v="BF"/>
    <s v="COU"/>
    <x v="0"/>
    <x v="6"/>
    <n v="6.0000000521540598E-3"/>
    <m/>
    <x v="0"/>
    <m/>
    <x v="0"/>
    <s v="M"/>
    <s v="10.15"/>
    <m/>
    <n v="0"/>
    <n v="0"/>
    <n v="0"/>
    <n v="0"/>
    <n v="0"/>
    <n v="0"/>
    <n v="2"/>
    <n v="0"/>
    <n v="0"/>
    <n v="0"/>
    <n v="0"/>
    <n v="0"/>
    <n v="0"/>
    <n v="2"/>
    <n v="0"/>
    <n v="0"/>
    <n v="0"/>
    <n v="0"/>
    <n v="0"/>
    <n v="0"/>
    <n v="0"/>
    <n v="0"/>
    <n v="0"/>
    <n v="0"/>
    <n v="0"/>
    <n v="0"/>
    <n v="0"/>
    <n v="0"/>
    <n v="0"/>
    <n v="0"/>
    <n v="0"/>
    <n v="0"/>
    <x v="0"/>
    <x v="0"/>
    <x v="0"/>
    <x v="0"/>
    <x v="0"/>
    <m/>
    <x v="1"/>
    <x v="0"/>
    <n v="15"/>
    <m/>
    <n v="0.66666666666666663"/>
    <n v="0.66666666666666663"/>
    <n v="0.66666666666666663"/>
    <m/>
    <m/>
    <m/>
    <m/>
    <m/>
    <m/>
    <m/>
    <m/>
    <m/>
    <m/>
    <m/>
    <m/>
    <m/>
    <m/>
    <m/>
    <m/>
    <m/>
    <n v="2"/>
    <n v="2"/>
  </r>
  <r>
    <n v="4944"/>
    <x v="2"/>
    <s v="2018/2534"/>
    <s v="1A Dinsmore Road"/>
    <m/>
    <n v="528817"/>
    <n v="173818"/>
    <x v="6"/>
    <m/>
    <m/>
    <n v="1"/>
    <n v="1"/>
    <n v="0"/>
    <n v="1"/>
    <n v="0"/>
    <x v="0"/>
    <s v="Alterations including replacement shopfont in connection with change of use of ground floor from shop (class A1) to dwelling (class C3) to create a two-bedroom residential unit."/>
    <s v="PF"/>
    <d v="2018-05-25T00:00:00"/>
    <d v="2018-07-12T00:00:00"/>
    <x v="0"/>
    <s v="Nil"/>
    <m/>
    <s v="BF"/>
    <s v="MIX"/>
    <x v="0"/>
    <x v="4"/>
    <n v="4.0000001899898104E-3"/>
    <m/>
    <x v="0"/>
    <m/>
    <x v="0"/>
    <s v="M"/>
    <m/>
    <m/>
    <n v="0"/>
    <n v="0"/>
    <n v="0"/>
    <n v="0"/>
    <n v="0"/>
    <n v="-1"/>
    <n v="1"/>
    <n v="0"/>
    <n v="0"/>
    <n v="0"/>
    <n v="0"/>
    <n v="0"/>
    <n v="-1"/>
    <n v="0"/>
    <n v="0"/>
    <n v="0"/>
    <n v="0"/>
    <n v="0"/>
    <n v="0"/>
    <n v="0"/>
    <n v="1"/>
    <n v="0"/>
    <n v="0"/>
    <n v="0"/>
    <n v="0"/>
    <n v="0"/>
    <n v="0"/>
    <n v="0"/>
    <n v="0"/>
    <n v="0"/>
    <n v="0"/>
    <n v="0"/>
    <x v="0"/>
    <x v="0"/>
    <x v="0"/>
    <x v="0"/>
    <x v="0"/>
    <m/>
    <x v="0"/>
    <x v="0"/>
    <n v="15"/>
    <m/>
    <n v="0"/>
    <n v="0"/>
    <n v="0"/>
    <m/>
    <m/>
    <m/>
    <m/>
    <m/>
    <m/>
    <m/>
    <m/>
    <m/>
    <m/>
    <m/>
    <m/>
    <m/>
    <m/>
    <m/>
    <m/>
    <m/>
    <n v="0"/>
    <n v="0"/>
  </r>
  <r>
    <n v="4980"/>
    <x v="2"/>
    <s v="2018/0812"/>
    <s v="Unit 21-24, 35-37 Parkgate Road (Ransomes Dock Business Centre)"/>
    <m/>
    <n v="527292"/>
    <n v="177189"/>
    <x v="11"/>
    <m/>
    <m/>
    <n v="0"/>
    <n v="1"/>
    <n v="1"/>
    <n v="1"/>
    <n v="1"/>
    <x v="0"/>
    <s v="Determination as to whether prior approval is required for change of use of office at second floor level (Use Class B1(a)) to residential (Use Class C3) to provide 1 x 1 bedroom flat."/>
    <s v="PANR"/>
    <d v="2018-02-20T00:00:00"/>
    <d v="2018-04-05T00:00:00"/>
    <x v="0"/>
    <s v="Nil"/>
    <m/>
    <s v="BF"/>
    <s v="COU"/>
    <x v="0"/>
    <x v="6"/>
    <n v="7.0000002160668399E-3"/>
    <m/>
    <x v="0"/>
    <m/>
    <x v="0"/>
    <s v="M"/>
    <m/>
    <m/>
    <n v="0"/>
    <n v="0"/>
    <n v="0"/>
    <n v="0"/>
    <n v="0"/>
    <n v="1"/>
    <n v="0"/>
    <n v="0"/>
    <n v="0"/>
    <n v="0"/>
    <n v="0"/>
    <n v="0"/>
    <n v="1"/>
    <n v="0"/>
    <n v="0"/>
    <n v="0"/>
    <n v="0"/>
    <n v="0"/>
    <n v="0"/>
    <n v="0"/>
    <n v="0"/>
    <n v="0"/>
    <n v="0"/>
    <n v="0"/>
    <n v="0"/>
    <n v="0"/>
    <n v="0"/>
    <n v="0"/>
    <n v="0"/>
    <n v="0"/>
    <n v="0"/>
    <n v="0"/>
    <x v="0"/>
    <x v="0"/>
    <x v="0"/>
    <x v="0"/>
    <x v="0"/>
    <m/>
    <x v="1"/>
    <x v="0"/>
    <n v="15"/>
    <m/>
    <n v="0.33333333333333331"/>
    <n v="0.33333333333333331"/>
    <n v="0.33333333333333331"/>
    <m/>
    <m/>
    <m/>
    <m/>
    <m/>
    <m/>
    <m/>
    <m/>
    <m/>
    <m/>
    <m/>
    <m/>
    <m/>
    <m/>
    <m/>
    <m/>
    <m/>
    <n v="1"/>
    <n v="1"/>
  </r>
  <r>
    <n v="5029"/>
    <x v="2"/>
    <s v="2017/2169"/>
    <s v="272-274 Battersea Park road"/>
    <m/>
    <n v="527404"/>
    <n v="176366"/>
    <x v="11"/>
    <m/>
    <m/>
    <n v="0"/>
    <n v="1"/>
    <n v="1"/>
    <n v="1"/>
    <n v="1"/>
    <x v="0"/>
    <s v="Alterations including erection of dormer roof extension to the rear and creation of roof terrace at third floor level with 1.7m glazed safety screen surround in connection with formation of new 1 x 2-bedroom flat; and insertion of rooflights into the front roofslope."/>
    <s v="PF"/>
    <d v="2017-04-18T00:00:00"/>
    <d v="2017-06-28T00:00:00"/>
    <x v="0"/>
    <s v="Nil"/>
    <m/>
    <s v="BF"/>
    <s v="EXT"/>
    <x v="0"/>
    <x v="3"/>
    <n v="7.000000216066839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5044"/>
    <x v="2"/>
    <s v="2017/1874"/>
    <s v="329-339 &amp; 45-53 Putney Bridge Road &amp; Putney High Street, Putney Bridge Road (The Blades)"/>
    <s v="Flats"/>
    <n v="524136"/>
    <n v="175435"/>
    <x v="0"/>
    <m/>
    <m/>
    <n v="2"/>
    <n v="82"/>
    <n v="80"/>
    <n v="123"/>
    <n v="121"/>
    <x v="1"/>
    <s v="Demolition of existing buildings and redevelopment of the site to provide a mixed use development in buildings ranging in height between 2 and 10 storeys plus basement, to provide 1158 sq.m. of retail use (class A1), 64 sq.m. of cafe/restaurant use (class A3), 1519 sq.m. of office use (class B1), and 146 sq.m. of community floorspace (class D1) use, together with 123 residential units of private and affordable tenure, comprising 115 flats and 8 mews houses, with 27 associated parking spaces (21 residential and 6 commercial) with access from Putney Bridge Road, cycle parking spaces, associated amenity space including balconies, terraces and first floor publically accessible courtyard amenity area; landscaping and other associated works."/>
    <s v="RP"/>
    <d v="2018-01-15T00:00:00"/>
    <d v="2018-02-20T00:00:00"/>
    <x v="1"/>
    <s v="APG"/>
    <d v="2019-07-29T00:00:00"/>
    <s v="BF"/>
    <s v="NB"/>
    <x v="1"/>
    <x v="7"/>
    <n v="0.16200000047683699"/>
    <m/>
    <x v="0"/>
    <m/>
    <x v="0"/>
    <s v="M"/>
    <s v="6.1.3"/>
    <m/>
    <n v="0"/>
    <n v="0"/>
    <n v="0"/>
    <n v="8"/>
    <n v="0"/>
    <n v="23"/>
    <n v="29"/>
    <n v="28"/>
    <n v="0"/>
    <n v="0"/>
    <n v="0"/>
    <n v="0"/>
    <n v="23"/>
    <n v="29"/>
    <n v="28"/>
    <n v="0"/>
    <n v="0"/>
    <n v="0"/>
    <n v="0"/>
    <n v="0"/>
    <n v="0"/>
    <n v="0"/>
    <n v="0"/>
    <n v="0"/>
    <n v="0"/>
    <n v="0"/>
    <n v="0"/>
    <n v="0"/>
    <n v="0"/>
    <n v="0"/>
    <n v="0"/>
    <n v="0"/>
    <x v="2"/>
    <x v="0"/>
    <x v="0"/>
    <x v="0"/>
    <x v="0"/>
    <m/>
    <x v="0"/>
    <x v="0"/>
    <n v="9"/>
    <m/>
    <m/>
    <m/>
    <m/>
    <n v="26.666666666666668"/>
    <n v="26.666666666666668"/>
    <n v="26.666666666666668"/>
    <m/>
    <m/>
    <m/>
    <m/>
    <m/>
    <m/>
    <m/>
    <m/>
    <m/>
    <m/>
    <m/>
    <m/>
    <m/>
    <m/>
    <n v="53.333333333333336"/>
    <n v="80"/>
  </r>
  <r>
    <n v="5044"/>
    <x v="2"/>
    <s v="2017/1874"/>
    <s v="329-339 &amp; 45-53 Putney Bridge Road &amp; Putney High Street, Putney Bridge Road (The Blades)"/>
    <s v="Flats"/>
    <n v="524136"/>
    <n v="175435"/>
    <x v="0"/>
    <m/>
    <m/>
    <n v="0"/>
    <n v="33"/>
    <n v="33"/>
    <n v="123"/>
    <n v="121"/>
    <x v="1"/>
    <s v="Demolition of existing buildings and redevelopment of the site to provide a mixed use development in buildings ranging in height between 2 and 10 storeys plus basement, to provide 1158 sq.m. of retail use (class A1), 64 sq.m. of cafe/restaurant use (class A3), 1519 sq.m. of office use (class B1), and 146 sq.m. of community floorspace (class D1) use, together with 123 residential units of private and affordable tenure, comprising 115 flats and 8 mews houses, with 27 associated parking spaces (21 residential and 6 commercial) with access from Putney Bridge Road, cycle parking spaces, associated amenity space including balconies, terraces and first floor publically accessible courtyard amenity area; landscaping and other associated works."/>
    <s v="RP"/>
    <d v="2018-01-15T00:00:00"/>
    <d v="2018-02-20T00:00:00"/>
    <x v="1"/>
    <s v="APG"/>
    <d v="2019-07-29T00:00:00"/>
    <s v="BF"/>
    <s v="NB"/>
    <x v="1"/>
    <x v="7"/>
    <n v="6.4999997615814195E-2"/>
    <m/>
    <x v="0"/>
    <m/>
    <x v="1"/>
    <s v="ISO"/>
    <s v="6.1.3"/>
    <m/>
    <n v="0"/>
    <n v="0"/>
    <n v="0"/>
    <n v="4"/>
    <n v="0"/>
    <n v="12"/>
    <n v="21"/>
    <n v="0"/>
    <n v="0"/>
    <n v="0"/>
    <n v="0"/>
    <n v="0"/>
    <n v="12"/>
    <n v="21"/>
    <n v="0"/>
    <n v="0"/>
    <n v="0"/>
    <n v="0"/>
    <n v="0"/>
    <n v="0"/>
    <n v="0"/>
    <n v="0"/>
    <n v="0"/>
    <n v="0"/>
    <n v="0"/>
    <n v="0"/>
    <n v="0"/>
    <n v="0"/>
    <n v="0"/>
    <n v="0"/>
    <n v="0"/>
    <n v="0"/>
    <x v="2"/>
    <x v="0"/>
    <x v="0"/>
    <x v="0"/>
    <x v="0"/>
    <m/>
    <x v="0"/>
    <x v="0"/>
    <n v="9"/>
    <m/>
    <m/>
    <m/>
    <m/>
    <n v="11"/>
    <n v="11"/>
    <n v="11"/>
    <m/>
    <m/>
    <m/>
    <m/>
    <m/>
    <m/>
    <m/>
    <m/>
    <m/>
    <m/>
    <m/>
    <m/>
    <m/>
    <m/>
    <n v="22"/>
    <n v="33"/>
  </r>
  <r>
    <n v="5044"/>
    <x v="2"/>
    <s v="2017/1874"/>
    <s v="329-339 &amp; 45-53 Putney Bridge Road &amp; Putney High Street, Putney Bridge Road (The Blades)"/>
    <s v="Mew Houses"/>
    <n v="524136"/>
    <n v="175435"/>
    <x v="0"/>
    <m/>
    <m/>
    <n v="0"/>
    <n v="8"/>
    <n v="8"/>
    <n v="123"/>
    <n v="121"/>
    <x v="1"/>
    <s v="Demolition of existing buildings and redevelopment of the site to provide a mixed use development in buildings ranging in height between 2 and 10 storeys plus basement, to provide 1158 sq.m. of retail use (class A1), 64 sq.m. of cafe/restaurant use (class A3), 1519 sq.m. of office use (class B1), and 146 sq.m. of community floorspace (class D1) use, together with 123 residential units of private and affordable tenure, comprising 115 flats and 8 mews houses, with 27 associated parking spaces (21 residential and 6 commercial) with access from Putney Bridge Road, cycle parking spaces, associated amenity space including balconies, terraces and first floor publically accessible courtyard amenity area; landscaping and other associated works."/>
    <s v="RP"/>
    <d v="2018-01-15T00:00:00"/>
    <d v="2018-02-20T00:00:00"/>
    <x v="1"/>
    <s v="APG"/>
    <d v="2019-07-29T00:00:00"/>
    <s v="BF"/>
    <s v="NB"/>
    <x v="0"/>
    <x v="5"/>
    <n v="1.60000007599592E-2"/>
    <m/>
    <x v="0"/>
    <m/>
    <x v="0"/>
    <s v="M"/>
    <s v="6.1.3"/>
    <m/>
    <n v="0"/>
    <n v="0"/>
    <n v="0"/>
    <n v="0"/>
    <n v="0"/>
    <n v="0"/>
    <n v="8"/>
    <n v="0"/>
    <n v="0"/>
    <n v="0"/>
    <n v="0"/>
    <n v="0"/>
    <n v="0"/>
    <n v="0"/>
    <n v="0"/>
    <n v="0"/>
    <n v="0"/>
    <n v="0"/>
    <n v="0"/>
    <n v="0"/>
    <n v="8"/>
    <n v="0"/>
    <n v="0"/>
    <n v="0"/>
    <n v="0"/>
    <n v="0"/>
    <n v="0"/>
    <n v="0"/>
    <n v="0"/>
    <n v="0"/>
    <n v="0"/>
    <n v="0"/>
    <x v="2"/>
    <x v="0"/>
    <x v="0"/>
    <x v="0"/>
    <x v="0"/>
    <m/>
    <x v="0"/>
    <x v="0"/>
    <n v="9"/>
    <m/>
    <m/>
    <m/>
    <m/>
    <n v="2.6666666666666665"/>
    <n v="2.6666666666666665"/>
    <n v="2.6666666666666665"/>
    <m/>
    <m/>
    <m/>
    <m/>
    <m/>
    <m/>
    <m/>
    <m/>
    <m/>
    <m/>
    <m/>
    <m/>
    <m/>
    <m/>
    <n v="5.333333333333333"/>
    <n v="8"/>
  </r>
  <r>
    <n v="5119"/>
    <x v="2"/>
    <s v="2017/0847"/>
    <s v="Land west of, 17 Broadwater Road"/>
    <m/>
    <n v="527391"/>
    <n v="171805"/>
    <x v="1"/>
    <m/>
    <m/>
    <n v="0"/>
    <n v="6"/>
    <n v="6"/>
    <n v="6"/>
    <n v="6"/>
    <x v="0"/>
    <s v="Erection of a three-storey building (plus basement level with front and rear lightwells) to provide 6 residential flats (1 x 3-bedroom, 2 x 2-bedroom and 3 x 1-bedrooms units) with balconies to the rear and roof terraces to front/side/rear, and associated cycling and refuse storage."/>
    <s v="PF"/>
    <d v="2017-02-14T00:00:00"/>
    <d v="2017-09-25T00:00:00"/>
    <x v="0"/>
    <s v="Nil"/>
    <m/>
    <s v="BF"/>
    <s v="NB"/>
    <x v="0"/>
    <x v="5"/>
    <n v="2.5000000372528999E-2"/>
    <m/>
    <x v="0"/>
    <m/>
    <x v="0"/>
    <s v="M"/>
    <m/>
    <m/>
    <n v="0"/>
    <n v="0"/>
    <n v="0"/>
    <n v="0"/>
    <n v="0"/>
    <n v="3"/>
    <n v="2"/>
    <n v="1"/>
    <n v="0"/>
    <n v="0"/>
    <n v="0"/>
    <n v="0"/>
    <n v="3"/>
    <n v="2"/>
    <n v="1"/>
    <n v="0"/>
    <n v="0"/>
    <n v="0"/>
    <n v="0"/>
    <n v="0"/>
    <n v="0"/>
    <n v="0"/>
    <n v="0"/>
    <n v="0"/>
    <n v="0"/>
    <n v="0"/>
    <n v="0"/>
    <n v="0"/>
    <n v="0"/>
    <n v="0"/>
    <n v="0"/>
    <n v="0"/>
    <x v="0"/>
    <x v="0"/>
    <x v="0"/>
    <x v="0"/>
    <x v="0"/>
    <m/>
    <x v="0"/>
    <x v="0"/>
    <n v="9"/>
    <m/>
    <m/>
    <m/>
    <m/>
    <n v="2"/>
    <n v="2"/>
    <n v="2"/>
    <m/>
    <m/>
    <m/>
    <m/>
    <m/>
    <m/>
    <m/>
    <m/>
    <m/>
    <m/>
    <m/>
    <m/>
    <m/>
    <m/>
    <n v="4"/>
    <n v="6"/>
  </r>
  <r>
    <n v="5123"/>
    <x v="2"/>
    <s v="2020/0258"/>
    <s v="48 Disraeli Road"/>
    <m/>
    <n v="524195"/>
    <n v="175062"/>
    <x v="0"/>
    <m/>
    <m/>
    <n v="12"/>
    <n v="1"/>
    <n v="-11"/>
    <n v="1"/>
    <n v="-11"/>
    <x v="0"/>
    <s v="Alterations including erection of a mansard roof extension above part of rear two-storey addition, single-storey rear extension and installation of front and rear rooflights to main roof; associated with the conversion to one dwelling from two flats."/>
    <s v="PF"/>
    <d v="2020-02-04T00:00:00"/>
    <d v="2020-03-26T00:00:00"/>
    <x v="1"/>
    <s v="Nil"/>
    <m/>
    <s v="BF"/>
    <s v="CON"/>
    <x v="0"/>
    <x v="8"/>
    <n v="1.8999999389052401E-2"/>
    <m/>
    <x v="0"/>
    <m/>
    <x v="0"/>
    <s v="M"/>
    <m/>
    <m/>
    <n v="0"/>
    <n v="0"/>
    <n v="0"/>
    <n v="0"/>
    <n v="0"/>
    <n v="-1"/>
    <n v="0"/>
    <n v="-11"/>
    <n v="0"/>
    <n v="1"/>
    <n v="0"/>
    <n v="0"/>
    <n v="-1"/>
    <n v="0"/>
    <n v="-11"/>
    <n v="0"/>
    <n v="0"/>
    <n v="0"/>
    <n v="0"/>
    <n v="0"/>
    <n v="0"/>
    <n v="0"/>
    <n v="0"/>
    <n v="1"/>
    <n v="0"/>
    <n v="0"/>
    <n v="0"/>
    <n v="0"/>
    <n v="0"/>
    <n v="0"/>
    <n v="0"/>
    <n v="0"/>
    <x v="0"/>
    <x v="0"/>
    <x v="0"/>
    <x v="0"/>
    <x v="0"/>
    <m/>
    <x v="0"/>
    <x v="0"/>
    <n v="15"/>
    <m/>
    <n v="-3.6666666666666665"/>
    <n v="-3.6666666666666665"/>
    <n v="-3.6666666666666665"/>
    <m/>
    <m/>
    <m/>
    <m/>
    <m/>
    <m/>
    <m/>
    <m/>
    <m/>
    <m/>
    <m/>
    <m/>
    <m/>
    <m/>
    <m/>
    <m/>
    <m/>
    <n v="-11"/>
    <n v="-11"/>
  </r>
  <r>
    <n v="5142"/>
    <x v="2"/>
    <s v="2017/6879"/>
    <s v="5 Laitwood Road"/>
    <m/>
    <n v="528703"/>
    <n v="173473"/>
    <x v="6"/>
    <m/>
    <m/>
    <n v="1"/>
    <n v="5"/>
    <n v="4"/>
    <n v="5"/>
    <n v="4"/>
    <x v="0"/>
    <s v="Alterations including the erection of a part single, part two-storey rear extension and excavation of a basement level including formation of front lightwell with grille over and rear lightwell with high screen surrounds; in connection with conversion of existing dwelling into 1x1-bedroom, 2 x2-bedroom and 2x3-bedroom flats with assoicated cycle and refuse storage."/>
    <s v="PF"/>
    <d v="2017-12-15T00:00:00"/>
    <d v="2018-02-09T00:00:00"/>
    <x v="0"/>
    <s v="Nil"/>
    <m/>
    <s v="BF"/>
    <s v="MIX"/>
    <x v="0"/>
    <x v="2"/>
    <n v="3.70000004768372E-2"/>
    <m/>
    <x v="0"/>
    <m/>
    <x v="0"/>
    <s v="M"/>
    <m/>
    <m/>
    <n v="0"/>
    <n v="0"/>
    <n v="0"/>
    <n v="0"/>
    <n v="0"/>
    <n v="1"/>
    <n v="2"/>
    <n v="2"/>
    <n v="0"/>
    <n v="-1"/>
    <n v="0"/>
    <n v="0"/>
    <n v="1"/>
    <n v="2"/>
    <n v="2"/>
    <n v="0"/>
    <n v="0"/>
    <n v="0"/>
    <n v="0"/>
    <n v="0"/>
    <n v="0"/>
    <n v="0"/>
    <n v="0"/>
    <n v="-1"/>
    <n v="0"/>
    <n v="0"/>
    <n v="0"/>
    <n v="0"/>
    <n v="0"/>
    <n v="0"/>
    <n v="0"/>
    <n v="0"/>
    <x v="0"/>
    <x v="0"/>
    <x v="0"/>
    <x v="0"/>
    <x v="0"/>
    <m/>
    <x v="0"/>
    <x v="0"/>
    <n v="15"/>
    <m/>
    <n v="1.3333333333333333"/>
    <n v="1.3333333333333333"/>
    <n v="1.3333333333333333"/>
    <m/>
    <m/>
    <m/>
    <m/>
    <m/>
    <m/>
    <m/>
    <m/>
    <m/>
    <m/>
    <m/>
    <m/>
    <m/>
    <m/>
    <m/>
    <m/>
    <m/>
    <n v="4"/>
    <n v="4"/>
  </r>
  <r>
    <n v="5147"/>
    <x v="2"/>
    <s v="2019/1181"/>
    <s v="60 Fairfield Street"/>
    <m/>
    <n v="525825"/>
    <n v="174893"/>
    <x v="2"/>
    <m/>
    <m/>
    <n v="0"/>
    <n v="1"/>
    <n v="1"/>
    <n v="1"/>
    <n v="1"/>
    <x v="0"/>
    <s v="Alterations to ground floor front, rear and side elevation in connection with change of use from cafe (Class A3) to two bedroom flat (Class C3) ."/>
    <s v="PF"/>
    <d v="2019-03-15T00:00:00"/>
    <d v="2019-07-16T00:00:00"/>
    <x v="1"/>
    <s v="Nil"/>
    <m/>
    <s v="BF"/>
    <s v="COU"/>
    <x v="0"/>
    <x v="1"/>
    <n v="6.0000000521540598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5154"/>
    <x v="2"/>
    <s v="2018/3032"/>
    <s v="46 Upper Tooting Road"/>
    <m/>
    <n v="527854"/>
    <n v="172233"/>
    <x v="1"/>
    <m/>
    <m/>
    <n v="1"/>
    <n v="2"/>
    <n v="1"/>
    <n v="2"/>
    <n v="1"/>
    <x v="0"/>
    <s v="Alterations including the erection of extension above back addition (with french doors and safety railings) in connection with the conversion of the property into 2 x 1-bedroom flats at first and second floor."/>
    <s v="PF"/>
    <d v="2018-06-18T00:00:00"/>
    <d v="2018-08-13T00:00:00"/>
    <x v="0"/>
    <s v="Nil"/>
    <m/>
    <s v="BF"/>
    <s v="MIX"/>
    <x v="0"/>
    <x v="0"/>
    <n v="1.09999999403954E-2"/>
    <m/>
    <x v="0"/>
    <m/>
    <x v="0"/>
    <s v="M"/>
    <m/>
    <m/>
    <n v="0"/>
    <n v="0"/>
    <n v="0"/>
    <n v="0"/>
    <n v="0"/>
    <n v="2"/>
    <n v="0"/>
    <n v="-1"/>
    <n v="0"/>
    <n v="0"/>
    <n v="0"/>
    <n v="0"/>
    <n v="2"/>
    <n v="0"/>
    <n v="-1"/>
    <n v="0"/>
    <n v="0"/>
    <n v="0"/>
    <n v="0"/>
    <n v="0"/>
    <n v="0"/>
    <n v="0"/>
    <n v="0"/>
    <n v="0"/>
    <n v="0"/>
    <n v="0"/>
    <n v="0"/>
    <n v="0"/>
    <n v="0"/>
    <n v="0"/>
    <n v="0"/>
    <n v="0"/>
    <x v="0"/>
    <x v="0"/>
    <x v="0"/>
    <x v="0"/>
    <x v="0"/>
    <m/>
    <x v="0"/>
    <x v="0"/>
    <n v="15"/>
    <m/>
    <n v="0.33333333333333331"/>
    <n v="0.33333333333333331"/>
    <n v="0.33333333333333331"/>
    <m/>
    <m/>
    <m/>
    <m/>
    <m/>
    <m/>
    <m/>
    <m/>
    <m/>
    <m/>
    <m/>
    <m/>
    <m/>
    <m/>
    <m/>
    <m/>
    <m/>
    <n v="1"/>
    <n v="1"/>
  </r>
  <r>
    <n v="5162"/>
    <x v="2"/>
    <s v="2016/4807"/>
    <s v="58a Selkirk Road"/>
    <m/>
    <n v="527391"/>
    <n v="171717"/>
    <x v="1"/>
    <m/>
    <m/>
    <n v="0"/>
    <n v="1"/>
    <n v="1"/>
    <n v="1"/>
    <n v="1"/>
    <x v="0"/>
    <s v="Alterations in connection with conversion of garage into a 2-bedroom one storey dwelling plus basement level."/>
    <s v="PF"/>
    <d v="2016-11-17T00:00:00"/>
    <d v="2017-05-18T00:00:00"/>
    <x v="0"/>
    <s v="Nil"/>
    <m/>
    <s v="BF"/>
    <s v="COU"/>
    <x v="0"/>
    <x v="6"/>
    <n v="1.9999999552965199E-2"/>
    <m/>
    <x v="0"/>
    <m/>
    <x v="0"/>
    <s v="M"/>
    <m/>
    <m/>
    <n v="0"/>
    <n v="0"/>
    <n v="0"/>
    <n v="0"/>
    <n v="0"/>
    <n v="0"/>
    <n v="1"/>
    <n v="0"/>
    <n v="0"/>
    <n v="0"/>
    <n v="0"/>
    <n v="0"/>
    <n v="0"/>
    <n v="0"/>
    <n v="0"/>
    <n v="0"/>
    <n v="0"/>
    <n v="0"/>
    <n v="0"/>
    <n v="0"/>
    <n v="1"/>
    <n v="0"/>
    <n v="0"/>
    <n v="0"/>
    <n v="0"/>
    <n v="0"/>
    <n v="0"/>
    <n v="0"/>
    <n v="0"/>
    <n v="0"/>
    <n v="0"/>
    <n v="0"/>
    <x v="0"/>
    <x v="0"/>
    <x v="0"/>
    <x v="0"/>
    <x v="0"/>
    <m/>
    <x v="0"/>
    <x v="0"/>
    <n v="15"/>
    <m/>
    <n v="0.33333333333333331"/>
    <n v="0.33333333333333331"/>
    <n v="0.33333333333333331"/>
    <m/>
    <m/>
    <m/>
    <m/>
    <m/>
    <m/>
    <m/>
    <m/>
    <m/>
    <m/>
    <m/>
    <m/>
    <m/>
    <m/>
    <m/>
    <m/>
    <m/>
    <n v="1"/>
    <n v="1"/>
  </r>
  <r>
    <n v="5171"/>
    <x v="2"/>
    <s v="2018/5668"/>
    <s v="Flat 7 Fountain House, 138 West Hill"/>
    <m/>
    <n v="524335"/>
    <n v="174296"/>
    <x v="5"/>
    <m/>
    <m/>
    <n v="1"/>
    <n v="1"/>
    <n v="0"/>
    <n v="1"/>
    <n v="0"/>
    <x v="0"/>
    <s v="Alterations in connection with conversion of studio flat into 1-bedroom flat."/>
    <s v="PF"/>
    <d v="2018-11-28T00:00:00"/>
    <d v="2019-01-30T00:00:00"/>
    <x v="0"/>
    <s v="Nil"/>
    <m/>
    <s v="BF"/>
    <s v="CON"/>
    <x v="0"/>
    <x v="0"/>
    <n v="1.4000000432133701E-2"/>
    <m/>
    <x v="0"/>
    <m/>
    <x v="0"/>
    <s v="M"/>
    <m/>
    <m/>
    <n v="0"/>
    <n v="0"/>
    <n v="0"/>
    <n v="0"/>
    <n v="-1"/>
    <n v="1"/>
    <n v="0"/>
    <n v="0"/>
    <n v="0"/>
    <n v="0"/>
    <n v="0"/>
    <n v="-1"/>
    <n v="1"/>
    <n v="0"/>
    <n v="0"/>
    <n v="0"/>
    <n v="0"/>
    <n v="0"/>
    <n v="0"/>
    <n v="0"/>
    <n v="0"/>
    <n v="0"/>
    <n v="0"/>
    <n v="0"/>
    <n v="0"/>
    <n v="0"/>
    <n v="0"/>
    <n v="0"/>
    <n v="0"/>
    <n v="0"/>
    <n v="0"/>
    <n v="0"/>
    <x v="0"/>
    <x v="0"/>
    <x v="0"/>
    <x v="0"/>
    <x v="0"/>
    <m/>
    <x v="0"/>
    <x v="0"/>
    <n v="15"/>
    <m/>
    <n v="0"/>
    <n v="0"/>
    <n v="0"/>
    <m/>
    <m/>
    <m/>
    <m/>
    <m/>
    <m/>
    <m/>
    <m/>
    <m/>
    <m/>
    <m/>
    <m/>
    <m/>
    <m/>
    <m/>
    <m/>
    <m/>
    <n v="0"/>
    <n v="0"/>
  </r>
  <r>
    <n v="5218"/>
    <x v="2"/>
    <s v="2018/4051"/>
    <s v="Tailors Court, 2 North Drive"/>
    <m/>
    <n v="529350"/>
    <n v="171755"/>
    <x v="7"/>
    <m/>
    <m/>
    <n v="0"/>
    <n v="1"/>
    <n v="1"/>
    <n v="1"/>
    <n v="1"/>
    <x v="0"/>
    <s v="Conversion of assisted bathroom and ancillary rooms into a self-contained one-bedroom flat."/>
    <s v="PF"/>
    <d v="2018-08-21T00:00:00"/>
    <d v="2018-10-16T00:00:00"/>
    <x v="0"/>
    <s v="Nil"/>
    <m/>
    <s v="BF"/>
    <s v="COU"/>
    <x v="0"/>
    <x v="1"/>
    <n v="4.0000001899898104E-3"/>
    <m/>
    <x v="0"/>
    <m/>
    <x v="2"/>
    <s v="AS"/>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5232"/>
    <x v="2"/>
    <s v="2019/4262"/>
    <s v="134/134a Battersea High Street"/>
    <m/>
    <n v="527007"/>
    <n v="176205"/>
    <x v="11"/>
    <m/>
    <m/>
    <n v="1"/>
    <n v="8"/>
    <n v="7"/>
    <n v="9"/>
    <n v="8"/>
    <x v="0"/>
    <s v="Demolition of existing building and erection of a ground and part one, part two, part three storey building (plus basement) to provide 8 x residential units and 1 x two storey house with refuse and cycle storage and associated landscaping including roof terraces."/>
    <s v="PF"/>
    <d v="2019-10-23T00:00:00"/>
    <d v="2020-02-24T00:00:00"/>
    <x v="1"/>
    <s v="Nil"/>
    <m/>
    <s v="BF"/>
    <s v="NB"/>
    <x v="0"/>
    <x v="5"/>
    <n v="3.20000015199184E-2"/>
    <m/>
    <x v="0"/>
    <m/>
    <x v="0"/>
    <s v="M"/>
    <m/>
    <m/>
    <n v="0"/>
    <n v="0"/>
    <n v="0"/>
    <n v="0"/>
    <n v="1"/>
    <n v="2"/>
    <n v="4"/>
    <n v="0"/>
    <n v="0"/>
    <n v="0"/>
    <n v="0"/>
    <n v="1"/>
    <n v="2"/>
    <n v="4"/>
    <n v="1"/>
    <n v="0"/>
    <n v="0"/>
    <n v="0"/>
    <n v="0"/>
    <n v="0"/>
    <n v="0"/>
    <n v="-1"/>
    <n v="0"/>
    <n v="0"/>
    <n v="0"/>
    <n v="0"/>
    <n v="0"/>
    <n v="0"/>
    <n v="0"/>
    <n v="0"/>
    <n v="0"/>
    <n v="0"/>
    <x v="0"/>
    <x v="0"/>
    <x v="0"/>
    <x v="0"/>
    <x v="0"/>
    <m/>
    <x v="0"/>
    <x v="0"/>
    <n v="9"/>
    <m/>
    <m/>
    <m/>
    <m/>
    <n v="2.3333333333333335"/>
    <n v="2.3333333333333335"/>
    <n v="2.3333333333333335"/>
    <m/>
    <m/>
    <m/>
    <m/>
    <m/>
    <m/>
    <m/>
    <m/>
    <m/>
    <m/>
    <m/>
    <m/>
    <m/>
    <m/>
    <n v="4.666666666666667"/>
    <n v="7"/>
  </r>
  <r>
    <n v="5232"/>
    <x v="2"/>
    <s v="2019/4262"/>
    <s v="134/134a Battersea High Street"/>
    <m/>
    <n v="527007"/>
    <n v="176205"/>
    <x v="11"/>
    <m/>
    <m/>
    <n v="0"/>
    <n v="1"/>
    <n v="1"/>
    <n v="9"/>
    <n v="8"/>
    <x v="0"/>
    <s v="Demolition of existing building and erection of a ground and part one, part two, part three storey building (plus basement) to provide 8 x residential units and 1 x two storey house with refuse and cycle storage and associated landscaping including roof terraces."/>
    <s v="PF"/>
    <d v="2019-10-23T00:00:00"/>
    <d v="2020-02-24T00:00:00"/>
    <x v="1"/>
    <s v="Nil"/>
    <m/>
    <s v="BF"/>
    <s v="NB"/>
    <x v="0"/>
    <x v="5"/>
    <n v="4.0000001899898104E-3"/>
    <m/>
    <x v="0"/>
    <m/>
    <x v="0"/>
    <s v="M"/>
    <m/>
    <m/>
    <n v="0"/>
    <n v="0"/>
    <n v="0"/>
    <n v="0"/>
    <n v="0"/>
    <n v="0"/>
    <n v="0"/>
    <n v="1"/>
    <n v="0"/>
    <n v="0"/>
    <n v="0"/>
    <n v="0"/>
    <n v="0"/>
    <n v="0"/>
    <n v="0"/>
    <n v="0"/>
    <n v="0"/>
    <n v="0"/>
    <n v="0"/>
    <n v="0"/>
    <n v="0"/>
    <n v="1"/>
    <n v="0"/>
    <n v="0"/>
    <n v="0"/>
    <n v="0"/>
    <n v="0"/>
    <n v="0"/>
    <n v="0"/>
    <n v="0"/>
    <n v="0"/>
    <n v="0"/>
    <x v="0"/>
    <x v="0"/>
    <x v="0"/>
    <x v="0"/>
    <x v="0"/>
    <m/>
    <x v="0"/>
    <x v="0"/>
    <n v="9"/>
    <m/>
    <m/>
    <m/>
    <m/>
    <n v="0.33333333333333331"/>
    <n v="0.33333333333333331"/>
    <n v="0.33333333333333331"/>
    <m/>
    <m/>
    <m/>
    <m/>
    <m/>
    <m/>
    <m/>
    <m/>
    <m/>
    <m/>
    <m/>
    <m/>
    <m/>
    <m/>
    <n v="0.66666666666666663"/>
    <n v="1"/>
  </r>
  <r>
    <n v="5308"/>
    <x v="2"/>
    <s v="2018/5949"/>
    <s v="900 Garratt Lane"/>
    <m/>
    <n v="527156"/>
    <n v="171614"/>
    <x v="1"/>
    <m/>
    <m/>
    <n v="0"/>
    <n v="1"/>
    <n v="1"/>
    <n v="1"/>
    <n v="1"/>
    <x v="0"/>
    <s v="Determination as to whether prior approval is required for change of use from office (Class B1) to residential (Class C3)."/>
    <s v="PAG"/>
    <d v="2018-12-17T00:00:00"/>
    <d v="2019-01-30T00:00:00"/>
    <x v="0"/>
    <s v="Nil"/>
    <m/>
    <s v="BF"/>
    <s v="COU"/>
    <x v="0"/>
    <x v="6"/>
    <n v="3.000000026077029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5354"/>
    <x v="2"/>
    <s v="2019/3862"/>
    <s v="855 Garratt Lane"/>
    <m/>
    <n v="526503"/>
    <n v="172072"/>
    <x v="8"/>
    <m/>
    <m/>
    <n v="1"/>
    <n v="1"/>
    <n v="0"/>
    <n v="1"/>
    <n v="0"/>
    <x v="0"/>
    <s v="Change of use from salon (Class A1) to residential (Class 3) in connection with creation of additional bedroom to ground floor flat; Removal of existing shopfront and installation of 2 x replacement windows."/>
    <s v="PF"/>
    <d v="2019-10-04T00:00:00"/>
    <d v="2019-11-26T00:00:00"/>
    <x v="1"/>
    <s v="Nil"/>
    <m/>
    <s v="BF"/>
    <s v="COU"/>
    <x v="0"/>
    <x v="4"/>
    <n v="7.0000002160668399E-3"/>
    <m/>
    <x v="0"/>
    <m/>
    <x v="0"/>
    <s v="M"/>
    <m/>
    <m/>
    <n v="0"/>
    <n v="0"/>
    <n v="0"/>
    <n v="0"/>
    <n v="0"/>
    <n v="-1"/>
    <n v="1"/>
    <n v="0"/>
    <n v="0"/>
    <n v="0"/>
    <n v="0"/>
    <n v="0"/>
    <n v="-1"/>
    <n v="1"/>
    <n v="0"/>
    <n v="0"/>
    <n v="0"/>
    <n v="0"/>
    <n v="0"/>
    <n v="0"/>
    <n v="0"/>
    <n v="0"/>
    <n v="0"/>
    <n v="0"/>
    <n v="0"/>
    <n v="0"/>
    <n v="0"/>
    <n v="0"/>
    <n v="0"/>
    <n v="0"/>
    <n v="0"/>
    <n v="0"/>
    <x v="0"/>
    <x v="0"/>
    <x v="0"/>
    <x v="0"/>
    <x v="0"/>
    <m/>
    <x v="0"/>
    <x v="0"/>
    <n v="15"/>
    <m/>
    <n v="0"/>
    <n v="0"/>
    <n v="0"/>
    <m/>
    <m/>
    <m/>
    <m/>
    <m/>
    <m/>
    <m/>
    <m/>
    <m/>
    <m/>
    <m/>
    <m/>
    <m/>
    <m/>
    <m/>
    <m/>
    <m/>
    <n v="0"/>
    <n v="0"/>
  </r>
  <r>
    <n v="5359"/>
    <x v="2"/>
    <s v="2017/0593"/>
    <s v="19 Elm Quay Court, Nine Elms Lane"/>
    <m/>
    <n v="529690"/>
    <n v="177683"/>
    <x v="12"/>
    <m/>
    <m/>
    <n v="1"/>
    <n v="2"/>
    <n v="1"/>
    <n v="2"/>
    <n v="1"/>
    <x v="0"/>
    <s v="Sub-division of existing two bedroom duplex, to form 1 no. one bedroom apartment, and a studio flat (as approved under previous appeal ref: APP/H5960/A/13/2205524)"/>
    <s v="PF"/>
    <d v="2017-02-01T00:00:00"/>
    <d v="2017-03-10T00:00:00"/>
    <x v="0"/>
    <s v="Nil"/>
    <m/>
    <s v="BF"/>
    <s v="CON"/>
    <x v="0"/>
    <x v="0"/>
    <n v="8.0000003799796104E-3"/>
    <m/>
    <x v="0"/>
    <m/>
    <x v="0"/>
    <s v="M"/>
    <m/>
    <m/>
    <n v="0"/>
    <n v="0"/>
    <n v="0"/>
    <n v="0"/>
    <n v="1"/>
    <n v="1"/>
    <n v="-1"/>
    <n v="0"/>
    <n v="0"/>
    <n v="0"/>
    <n v="0"/>
    <n v="1"/>
    <n v="1"/>
    <n v="0"/>
    <n v="0"/>
    <n v="0"/>
    <n v="0"/>
    <n v="0"/>
    <n v="0"/>
    <n v="0"/>
    <n v="-1"/>
    <n v="0"/>
    <n v="0"/>
    <n v="0"/>
    <n v="0"/>
    <n v="0"/>
    <n v="0"/>
    <n v="0"/>
    <n v="0"/>
    <n v="0"/>
    <n v="0"/>
    <n v="0"/>
    <x v="0"/>
    <x v="1"/>
    <x v="0"/>
    <x v="0"/>
    <x v="0"/>
    <m/>
    <x v="0"/>
    <x v="0"/>
    <n v="15"/>
    <m/>
    <n v="0.33333333333333331"/>
    <n v="0.33333333333333331"/>
    <n v="0.33333333333333331"/>
    <m/>
    <m/>
    <m/>
    <m/>
    <m/>
    <m/>
    <m/>
    <m/>
    <m/>
    <m/>
    <m/>
    <m/>
    <m/>
    <m/>
    <m/>
    <m/>
    <m/>
    <n v="1"/>
    <n v="1"/>
  </r>
  <r>
    <n v="5398"/>
    <x v="2"/>
    <s v="2019/0551"/>
    <s v="Land rear of, 143 St Johns Hill"/>
    <s v="Extn to existing"/>
    <n v="526797"/>
    <n v="175059"/>
    <x v="2"/>
    <m/>
    <m/>
    <n v="0"/>
    <n v="1"/>
    <n v="1"/>
    <n v="3"/>
    <n v="3"/>
    <x v="0"/>
    <s v="Alterations including first floor side and rear extension and mansard roof extension to the main building to create an extra floor of accommodation housing an additional 2-bedroom flat; Erection of a two to three storey building to the rear fronting spencer road to provide 1 x 2-bedroom and 1 x 1-bedroom flats with associated refuse and cycle storage; alterations to rear windows and extract ducts to existing building."/>
    <s v="PF"/>
    <d v="2019-02-07T00:00:00"/>
    <d v="2019-05-10T00:00:00"/>
    <x v="1"/>
    <s v="Nil"/>
    <m/>
    <s v="BF"/>
    <s v="MIX"/>
    <x v="0"/>
    <x v="3"/>
    <n v="2.000000094994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5398"/>
    <x v="2"/>
    <s v="2019/0551"/>
    <s v="Land rear of, 143 St Johns Hill"/>
    <s v="New Build"/>
    <n v="526797"/>
    <n v="175059"/>
    <x v="2"/>
    <m/>
    <m/>
    <n v="0"/>
    <n v="2"/>
    <n v="2"/>
    <n v="3"/>
    <n v="3"/>
    <x v="0"/>
    <s v="Alterations including first floor side and rear extension and mansard roof extension to the main building to create an extra floor of accommodation housing an additional 2-bedroom flat; Erection of a two to three storey building to the rear fronting spencer road to provide 1 x 2-bedroom and 1 x 1-bedroom flats with associated refuse and cycle storage; alterations to rear windows and extract ducts to existing building."/>
    <s v="PF"/>
    <d v="2019-02-07T00:00:00"/>
    <d v="2019-05-10T00:00:00"/>
    <x v="1"/>
    <s v="Nil"/>
    <m/>
    <s v="BF"/>
    <s v="MIX"/>
    <x v="0"/>
    <x v="5"/>
    <n v="3.0000000260770299E-3"/>
    <m/>
    <x v="0"/>
    <m/>
    <x v="0"/>
    <s v="M"/>
    <m/>
    <m/>
    <n v="0"/>
    <n v="0"/>
    <n v="0"/>
    <n v="0"/>
    <n v="0"/>
    <n v="1"/>
    <n v="1"/>
    <n v="0"/>
    <n v="0"/>
    <n v="0"/>
    <n v="0"/>
    <n v="0"/>
    <n v="1"/>
    <n v="1"/>
    <n v="0"/>
    <n v="0"/>
    <n v="0"/>
    <n v="0"/>
    <n v="0"/>
    <n v="0"/>
    <n v="0"/>
    <n v="0"/>
    <n v="0"/>
    <n v="0"/>
    <n v="0"/>
    <n v="0"/>
    <n v="0"/>
    <n v="0"/>
    <n v="0"/>
    <n v="0"/>
    <n v="0"/>
    <n v="0"/>
    <x v="0"/>
    <x v="0"/>
    <x v="0"/>
    <x v="0"/>
    <x v="0"/>
    <m/>
    <x v="0"/>
    <x v="0"/>
    <n v="15"/>
    <m/>
    <n v="0.66666666666666663"/>
    <n v="0.66666666666666663"/>
    <n v="0.66666666666666663"/>
    <m/>
    <m/>
    <m/>
    <m/>
    <m/>
    <m/>
    <m/>
    <m/>
    <m/>
    <m/>
    <m/>
    <m/>
    <m/>
    <m/>
    <m/>
    <m/>
    <m/>
    <n v="2"/>
    <n v="2"/>
  </r>
  <r>
    <n v="5420"/>
    <x v="2"/>
    <s v="2018/2827"/>
    <s v="Broadway Studio, 28 Tooting High Street"/>
    <m/>
    <n v="527461"/>
    <n v="171563"/>
    <x v="1"/>
    <m/>
    <m/>
    <n v="0"/>
    <n v="3"/>
    <n v="3"/>
    <n v="3"/>
    <n v="3"/>
    <x v="0"/>
    <s v="Erection of a two-storey extension to form 2 x 1-bed flats (first and second floor) and 1 x 2-bed flat in mansard roof with 2 x A3 units at ground floor as existing."/>
    <s v="PF"/>
    <d v="2018-06-13T00:00:00"/>
    <d v="2018-10-11T00:00:00"/>
    <x v="0"/>
    <s v="Nil"/>
    <m/>
    <s v="BF"/>
    <s v="EXT"/>
    <x v="0"/>
    <x v="3"/>
    <n v="2.3000000044703501E-2"/>
    <m/>
    <x v="0"/>
    <m/>
    <x v="0"/>
    <s v="M"/>
    <m/>
    <m/>
    <n v="0"/>
    <n v="0"/>
    <n v="0"/>
    <n v="0"/>
    <n v="0"/>
    <n v="2"/>
    <n v="1"/>
    <n v="0"/>
    <n v="0"/>
    <n v="0"/>
    <n v="0"/>
    <n v="0"/>
    <n v="2"/>
    <n v="1"/>
    <n v="0"/>
    <n v="0"/>
    <n v="0"/>
    <n v="0"/>
    <n v="0"/>
    <n v="0"/>
    <n v="0"/>
    <n v="0"/>
    <n v="0"/>
    <n v="0"/>
    <n v="0"/>
    <n v="0"/>
    <n v="0"/>
    <n v="0"/>
    <n v="0"/>
    <n v="0"/>
    <n v="0"/>
    <n v="0"/>
    <x v="4"/>
    <x v="0"/>
    <x v="0"/>
    <x v="0"/>
    <x v="0"/>
    <m/>
    <x v="0"/>
    <x v="0"/>
    <n v="15"/>
    <m/>
    <n v="1"/>
    <n v="1"/>
    <n v="1"/>
    <m/>
    <m/>
    <m/>
    <m/>
    <m/>
    <m/>
    <m/>
    <m/>
    <m/>
    <m/>
    <m/>
    <m/>
    <m/>
    <m/>
    <m/>
    <m/>
    <m/>
    <n v="3"/>
    <n v="3"/>
  </r>
  <r>
    <n v="5442"/>
    <x v="2"/>
    <s v="2013/3516"/>
    <s v="70A Ravensbury Road"/>
    <m/>
    <n v="525614"/>
    <n v="172864"/>
    <x v="14"/>
    <d v="2014-03-31T00:00:00"/>
    <m/>
    <n v="0"/>
    <n v="1"/>
    <n v="1"/>
    <n v="1"/>
    <n v="1"/>
    <x v="0"/>
    <s v="Demolition of existing workshop. Erection of two-storey, 1-bedroom house with first floor level terrace to rear."/>
    <s v="PF"/>
    <d v="2013-07-15T00:00:00"/>
    <d v="2013-10-11T00:00:00"/>
    <x v="0"/>
    <s v="Nil"/>
    <m/>
    <s v="BF"/>
    <s v="NB"/>
    <x v="0"/>
    <x v="5"/>
    <n v="4.0000001899898104E-3"/>
    <m/>
    <x v="0"/>
    <m/>
    <x v="0"/>
    <s v="M"/>
    <m/>
    <m/>
    <n v="0"/>
    <n v="0"/>
    <n v="0"/>
    <n v="0"/>
    <n v="0"/>
    <n v="1"/>
    <n v="0"/>
    <n v="0"/>
    <n v="0"/>
    <n v="0"/>
    <n v="0"/>
    <n v="0"/>
    <n v="0"/>
    <n v="0"/>
    <n v="0"/>
    <n v="0"/>
    <n v="0"/>
    <n v="0"/>
    <n v="0"/>
    <n v="1"/>
    <n v="0"/>
    <n v="0"/>
    <n v="0"/>
    <n v="0"/>
    <n v="0"/>
    <n v="0"/>
    <n v="0"/>
    <n v="0"/>
    <n v="0"/>
    <n v="0"/>
    <n v="0"/>
    <n v="0"/>
    <x v="0"/>
    <x v="0"/>
    <x v="0"/>
    <x v="0"/>
    <x v="0"/>
    <m/>
    <x v="0"/>
    <x v="1"/>
    <n v="6"/>
    <m/>
    <m/>
    <n v="0.25"/>
    <n v="0.25"/>
    <n v="0.25"/>
    <n v="0.25"/>
    <m/>
    <m/>
    <m/>
    <m/>
    <m/>
    <m/>
    <m/>
    <m/>
    <m/>
    <m/>
    <m/>
    <m/>
    <m/>
    <m/>
    <m/>
    <n v="1"/>
    <n v="1"/>
  </r>
  <r>
    <n v="5505"/>
    <x v="2"/>
    <s v="2018/2875"/>
    <s v="1st Floor, 8A Balham Station Road"/>
    <m/>
    <n v="528548"/>
    <n v="173199"/>
    <x v="6"/>
    <m/>
    <m/>
    <n v="0"/>
    <n v="1"/>
    <n v="1"/>
    <n v="1"/>
    <n v="1"/>
    <x v="0"/>
    <s v="Determination as to whether prior approval is required for change of use from office at first floor level (Class B1(a)) to residential (Class C3) to provide 1 x 1-bedroom flat."/>
    <s v="PAG"/>
    <d v="2018-06-12T00:00:00"/>
    <d v="2018-07-30T00:00:00"/>
    <x v="0"/>
    <s v="Nil"/>
    <m/>
    <s v="BF"/>
    <s v="COU"/>
    <x v="0"/>
    <x v="6"/>
    <n v="2.0000000949949E-3"/>
    <m/>
    <x v="0"/>
    <m/>
    <x v="0"/>
    <s v="M"/>
    <m/>
    <m/>
    <n v="0"/>
    <n v="0"/>
    <n v="0"/>
    <n v="0"/>
    <n v="0"/>
    <n v="1"/>
    <n v="0"/>
    <n v="0"/>
    <n v="0"/>
    <n v="0"/>
    <n v="0"/>
    <n v="0"/>
    <n v="1"/>
    <n v="0"/>
    <n v="0"/>
    <n v="0"/>
    <n v="0"/>
    <n v="0"/>
    <n v="0"/>
    <n v="0"/>
    <n v="0"/>
    <n v="0"/>
    <n v="0"/>
    <n v="0"/>
    <n v="0"/>
    <n v="0"/>
    <n v="0"/>
    <n v="0"/>
    <n v="0"/>
    <n v="0"/>
    <n v="0"/>
    <n v="0"/>
    <x v="5"/>
    <x v="0"/>
    <x v="0"/>
    <x v="0"/>
    <x v="0"/>
    <m/>
    <x v="0"/>
    <x v="0"/>
    <n v="15"/>
    <m/>
    <n v="0.33333333333333331"/>
    <n v="0.33333333333333331"/>
    <n v="0.33333333333333331"/>
    <m/>
    <m/>
    <m/>
    <m/>
    <m/>
    <m/>
    <m/>
    <m/>
    <m/>
    <m/>
    <m/>
    <m/>
    <m/>
    <m/>
    <m/>
    <m/>
    <m/>
    <n v="1"/>
    <n v="1"/>
  </r>
  <r>
    <n v="5561"/>
    <x v="2"/>
    <s v="2018/0001"/>
    <s v="27 Sainfoin Road"/>
    <m/>
    <n v="528467"/>
    <n v="172710"/>
    <x v="19"/>
    <m/>
    <m/>
    <n v="1"/>
    <n v="3"/>
    <n v="2"/>
    <n v="3"/>
    <n v="2"/>
    <x v="0"/>
    <s v="Erection of mansard extension to main rear roof (with French doors and safety railings) and single storey rear/side extension, in connection with conversion of property into 1 x 3-bedroom and 2 x 2-bedroom flats."/>
    <s v="PF"/>
    <d v="2018-01-02T00:00:00"/>
    <d v="2018-02-27T00:00:00"/>
    <x v="0"/>
    <s v="Nil"/>
    <m/>
    <s v="BF"/>
    <s v="MIX"/>
    <x v="0"/>
    <x v="2"/>
    <n v="1.7000000923872001E-2"/>
    <m/>
    <x v="0"/>
    <m/>
    <x v="0"/>
    <s v="M"/>
    <m/>
    <m/>
    <n v="0"/>
    <n v="0"/>
    <n v="0"/>
    <n v="0"/>
    <n v="0"/>
    <n v="0"/>
    <n v="2"/>
    <n v="1"/>
    <n v="-1"/>
    <n v="0"/>
    <n v="0"/>
    <n v="0"/>
    <n v="0"/>
    <n v="2"/>
    <n v="1"/>
    <n v="0"/>
    <n v="0"/>
    <n v="0"/>
    <n v="0"/>
    <n v="0"/>
    <n v="0"/>
    <n v="0"/>
    <n v="-1"/>
    <n v="0"/>
    <n v="0"/>
    <n v="0"/>
    <n v="0"/>
    <n v="0"/>
    <n v="0"/>
    <n v="0"/>
    <n v="0"/>
    <n v="0"/>
    <x v="0"/>
    <x v="0"/>
    <x v="0"/>
    <x v="0"/>
    <x v="0"/>
    <m/>
    <x v="0"/>
    <x v="0"/>
    <n v="15"/>
    <m/>
    <n v="0.66666666666666663"/>
    <n v="0.66666666666666663"/>
    <n v="0.66666666666666663"/>
    <m/>
    <m/>
    <m/>
    <m/>
    <m/>
    <m/>
    <m/>
    <m/>
    <m/>
    <m/>
    <m/>
    <m/>
    <m/>
    <m/>
    <m/>
    <m/>
    <m/>
    <n v="2"/>
    <n v="2"/>
  </r>
  <r>
    <n v="5589"/>
    <x v="2"/>
    <s v="2016/3838"/>
    <s v="Chatfield Court, 56 Chatfield Road"/>
    <m/>
    <n v="526329"/>
    <n v="175625"/>
    <x v="11"/>
    <m/>
    <m/>
    <n v="0"/>
    <n v="9"/>
    <n v="9"/>
    <n v="9"/>
    <n v="9"/>
    <x v="0"/>
    <s v="Demolition of existing roof structure and erection of four-storey extension (to create fourth, fifth, sixth and seventh floors) to provide 2 x 1-bedroom, 5 x 2-bedroom and  2 x 3-bedroom residential units, creation of balconies and roof terraces, and external alterations."/>
    <s v="PF"/>
    <d v="2016-06-30T00:00:00"/>
    <d v="2016-11-28T00:00:00"/>
    <x v="0"/>
    <s v="Nil"/>
    <m/>
    <s v="BF"/>
    <s v="EXT"/>
    <x v="0"/>
    <x v="3"/>
    <n v="2.70000007003546E-2"/>
    <m/>
    <x v="0"/>
    <m/>
    <x v="0"/>
    <s v="M"/>
    <m/>
    <m/>
    <n v="9"/>
    <n v="0"/>
    <n v="0"/>
    <n v="0"/>
    <n v="0"/>
    <n v="2"/>
    <n v="5"/>
    <n v="2"/>
    <n v="0"/>
    <n v="0"/>
    <n v="0"/>
    <n v="0"/>
    <n v="2"/>
    <n v="5"/>
    <n v="2"/>
    <n v="0"/>
    <n v="0"/>
    <n v="0"/>
    <n v="0"/>
    <n v="0"/>
    <n v="0"/>
    <n v="0"/>
    <n v="0"/>
    <n v="0"/>
    <n v="0"/>
    <n v="0"/>
    <n v="0"/>
    <n v="0"/>
    <n v="0"/>
    <n v="0"/>
    <n v="0"/>
    <n v="0"/>
    <x v="0"/>
    <x v="0"/>
    <x v="0"/>
    <x v="0"/>
    <x v="0"/>
    <m/>
    <x v="1"/>
    <x v="0"/>
    <n v="18"/>
    <m/>
    <m/>
    <n v="2.25"/>
    <n v="2.25"/>
    <n v="2.25"/>
    <n v="2.25"/>
    <m/>
    <m/>
    <m/>
    <m/>
    <m/>
    <m/>
    <m/>
    <m/>
    <m/>
    <m/>
    <m/>
    <m/>
    <m/>
    <m/>
    <m/>
    <n v="9"/>
    <n v="9"/>
  </r>
  <r>
    <n v="5589"/>
    <x v="2"/>
    <s v="2018/4579"/>
    <s v="Chatfield Court, 56 Chatfield Road"/>
    <m/>
    <n v="526329"/>
    <n v="175625"/>
    <x v="11"/>
    <m/>
    <m/>
    <n v="0"/>
    <n v="14"/>
    <n v="14"/>
    <n v="14"/>
    <n v="14"/>
    <x v="1"/>
    <s v="Determination as to whether prior approval is required for change of use from office (Class B1a) to residential (Class C3) to provide 13 x 1-bedroom and 1 x 2-bedroom flats."/>
    <s v="PAG"/>
    <d v="2018-10-01T00:00:00"/>
    <d v="2018-11-22T00:00:00"/>
    <x v="0"/>
    <s v="Nil"/>
    <m/>
    <s v="BF"/>
    <s v="COU"/>
    <x v="0"/>
    <x v="6"/>
    <n v="4.39999997615814E-2"/>
    <m/>
    <x v="0"/>
    <m/>
    <x v="0"/>
    <s v="M"/>
    <m/>
    <m/>
    <n v="0"/>
    <n v="0"/>
    <n v="0"/>
    <n v="0"/>
    <n v="0"/>
    <n v="13"/>
    <n v="1"/>
    <n v="0"/>
    <n v="0"/>
    <n v="0"/>
    <n v="0"/>
    <n v="0"/>
    <n v="13"/>
    <n v="1"/>
    <n v="0"/>
    <n v="0"/>
    <n v="0"/>
    <n v="0"/>
    <n v="0"/>
    <n v="0"/>
    <n v="0"/>
    <n v="0"/>
    <n v="0"/>
    <n v="0"/>
    <n v="0"/>
    <n v="0"/>
    <n v="0"/>
    <n v="0"/>
    <n v="0"/>
    <n v="0"/>
    <n v="0"/>
    <n v="0"/>
    <x v="0"/>
    <x v="0"/>
    <x v="0"/>
    <x v="0"/>
    <x v="0"/>
    <m/>
    <x v="1"/>
    <x v="0"/>
    <n v="18"/>
    <m/>
    <m/>
    <n v="3.5"/>
    <n v="3.5"/>
    <n v="3.5"/>
    <n v="3.5"/>
    <m/>
    <m/>
    <m/>
    <m/>
    <m/>
    <m/>
    <m/>
    <m/>
    <m/>
    <m/>
    <m/>
    <m/>
    <m/>
    <m/>
    <m/>
    <n v="14"/>
    <n v="14"/>
  </r>
  <r>
    <n v="5607"/>
    <x v="2"/>
    <s v="2019/1825"/>
    <s v="Rayne House, Sudbrooke Road"/>
    <m/>
    <n v="528038"/>
    <n v="174028"/>
    <x v="6"/>
    <m/>
    <m/>
    <n v="1"/>
    <n v="2"/>
    <n v="1"/>
    <n v="2"/>
    <n v="-1"/>
    <x v="0"/>
    <s v="Erection of replacement single storey rear extension to create 7 classrooms and staff room (use Class D1 (school)) in association with Broomwood Hall School. Use of part of basement to enlarge existing flat and roof extension with terrace to create a one-bedroom flat. Alterations and enlargement of rear lightwell and balustrade to roof."/>
    <s v="PF"/>
    <d v="2019-04-25T00:00:00"/>
    <d v="2019-10-29T00:00:00"/>
    <x v="1"/>
    <s v="Nil"/>
    <m/>
    <s v="BF"/>
    <s v="MIX"/>
    <x v="0"/>
    <x v="3"/>
    <n v="1.09999999403954E-2"/>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5607"/>
    <x v="2"/>
    <s v="2019/1825"/>
    <s v="Rayne House, Sudbrooke Road"/>
    <m/>
    <n v="528038"/>
    <n v="174028"/>
    <x v="6"/>
    <m/>
    <m/>
    <n v="2"/>
    <n v="0"/>
    <n v="-2"/>
    <n v="2"/>
    <n v="-1"/>
    <x v="0"/>
    <s v="Erection of replacement single storey rear extension to create 7 classrooms and staff room (use Class D1 (school)) in association with Broomwood Hall School. Use of part of basement to enlarge existing flat and roof extension with terrace to create a one-bedroom flat. Alterations and enlargement of rear lightwell and balustrade to roof."/>
    <s v="PF"/>
    <d v="2019-04-25T00:00:00"/>
    <d v="2019-10-29T00:00:00"/>
    <x v="1"/>
    <s v="Nil"/>
    <m/>
    <s v="BF"/>
    <s v="MIX"/>
    <x v="0"/>
    <x v="11"/>
    <n v="0"/>
    <m/>
    <x v="0"/>
    <m/>
    <x v="0"/>
    <s v="M"/>
    <m/>
    <m/>
    <n v="0"/>
    <n v="0"/>
    <n v="0"/>
    <n v="0"/>
    <n v="0"/>
    <n v="-1"/>
    <n v="0"/>
    <n v="-1"/>
    <n v="0"/>
    <n v="0"/>
    <n v="0"/>
    <n v="0"/>
    <n v="-1"/>
    <n v="0"/>
    <n v="-1"/>
    <n v="0"/>
    <n v="0"/>
    <n v="0"/>
    <n v="0"/>
    <n v="0"/>
    <n v="0"/>
    <n v="0"/>
    <n v="0"/>
    <n v="0"/>
    <n v="0"/>
    <n v="0"/>
    <n v="0"/>
    <n v="0"/>
    <n v="0"/>
    <n v="0"/>
    <n v="0"/>
    <n v="0"/>
    <x v="0"/>
    <x v="0"/>
    <x v="0"/>
    <x v="0"/>
    <x v="0"/>
    <m/>
    <x v="0"/>
    <x v="0"/>
    <n v="15"/>
    <m/>
    <n v="-0.66666666666666663"/>
    <n v="-0.66666666666666663"/>
    <n v="-0.66666666666666663"/>
    <m/>
    <m/>
    <m/>
    <m/>
    <m/>
    <m/>
    <m/>
    <m/>
    <m/>
    <m/>
    <m/>
    <m/>
    <m/>
    <m/>
    <m/>
    <m/>
    <m/>
    <n v="-2"/>
    <n v="-2"/>
  </r>
  <r>
    <n v="5634"/>
    <x v="2"/>
    <s v="2017/3103"/>
    <s v="Units 21,22 &amp; 23 Ransomes Dock, 35-37 Parkgate Road (Ransomes Dock Business Centre)"/>
    <m/>
    <n v="527292"/>
    <n v="177189"/>
    <x v="11"/>
    <m/>
    <m/>
    <n v="0"/>
    <n v="2"/>
    <n v="2"/>
    <n v="2"/>
    <n v="2"/>
    <x v="0"/>
    <s v="Determination as to whether prior approval is required for change of use of office at first floor level from (Class B1a) to residential (Class C3) to provide 1 x 2-bedroom and 1 x 1-bedroom flats."/>
    <s v="PANR"/>
    <d v="2017-06-02T00:00:00"/>
    <d v="2017-07-14T00:00:00"/>
    <x v="0"/>
    <s v="Nil"/>
    <m/>
    <s v="BF"/>
    <s v="COU"/>
    <x v="0"/>
    <x v="6"/>
    <n v="2.60000005364418E-2"/>
    <m/>
    <x v="0"/>
    <m/>
    <x v="0"/>
    <s v="M"/>
    <m/>
    <m/>
    <n v="0"/>
    <n v="0"/>
    <n v="0"/>
    <n v="0"/>
    <n v="0"/>
    <n v="1"/>
    <n v="1"/>
    <n v="0"/>
    <n v="0"/>
    <n v="0"/>
    <n v="0"/>
    <n v="0"/>
    <n v="1"/>
    <n v="1"/>
    <n v="0"/>
    <n v="0"/>
    <n v="0"/>
    <n v="0"/>
    <n v="0"/>
    <n v="0"/>
    <n v="0"/>
    <n v="0"/>
    <n v="0"/>
    <n v="0"/>
    <n v="0"/>
    <n v="0"/>
    <n v="0"/>
    <n v="0"/>
    <n v="0"/>
    <n v="0"/>
    <n v="0"/>
    <n v="0"/>
    <x v="0"/>
    <x v="0"/>
    <x v="0"/>
    <x v="0"/>
    <x v="0"/>
    <m/>
    <x v="1"/>
    <x v="0"/>
    <n v="15"/>
    <m/>
    <n v="0.66666666666666663"/>
    <n v="0.66666666666666663"/>
    <n v="0.66666666666666663"/>
    <m/>
    <m/>
    <m/>
    <m/>
    <m/>
    <m/>
    <m/>
    <m/>
    <m/>
    <m/>
    <m/>
    <m/>
    <m/>
    <m/>
    <m/>
    <m/>
    <m/>
    <n v="2"/>
    <n v="2"/>
  </r>
  <r>
    <n v="5645"/>
    <x v="2"/>
    <s v="2014/5735"/>
    <s v="Unit 17, 18 21, 22 &amp; 23 Ransomes Dock Business Centre, 35-37 Parkgate Road (Ransomes Dock Business Centre)"/>
    <s v="Apartment 18"/>
    <n v="527292"/>
    <n v="177189"/>
    <x v="11"/>
    <d v="2015-02-25T00:00:00"/>
    <m/>
    <n v="0"/>
    <n v="1"/>
    <n v="1"/>
    <n v="2"/>
    <n v="2"/>
    <x v="0"/>
    <s v="Change of use of first floor units from offices (Use Class B1) to residentail (Use Class C3) as two studio flats."/>
    <s v="PAG"/>
    <d v="2014-11-04T00:00:00"/>
    <d v="2015-02-25T00:00:00"/>
    <x v="0"/>
    <s v="Nil"/>
    <m/>
    <s v="BF"/>
    <s v="COU"/>
    <x v="0"/>
    <x v="6"/>
    <n v="1.00000004749745E-3"/>
    <m/>
    <x v="0"/>
    <m/>
    <x v="0"/>
    <s v="M"/>
    <m/>
    <m/>
    <n v="0"/>
    <n v="0"/>
    <n v="0"/>
    <n v="0"/>
    <n v="1"/>
    <n v="0"/>
    <n v="0"/>
    <n v="0"/>
    <n v="0"/>
    <n v="0"/>
    <n v="0"/>
    <n v="1"/>
    <n v="0"/>
    <n v="0"/>
    <n v="0"/>
    <n v="0"/>
    <n v="0"/>
    <n v="0"/>
    <n v="0"/>
    <n v="0"/>
    <n v="0"/>
    <n v="0"/>
    <n v="0"/>
    <n v="0"/>
    <n v="0"/>
    <n v="0"/>
    <n v="0"/>
    <n v="0"/>
    <n v="0"/>
    <n v="0"/>
    <n v="0"/>
    <n v="0"/>
    <x v="0"/>
    <x v="0"/>
    <x v="0"/>
    <x v="0"/>
    <x v="0"/>
    <m/>
    <x v="1"/>
    <x v="0"/>
    <n v="15"/>
    <m/>
    <n v="0.33333333333333331"/>
    <n v="0.33333333333333331"/>
    <n v="0.33333333333333331"/>
    <m/>
    <m/>
    <m/>
    <m/>
    <m/>
    <m/>
    <m/>
    <m/>
    <m/>
    <m/>
    <m/>
    <m/>
    <m/>
    <m/>
    <m/>
    <m/>
    <m/>
    <n v="1"/>
    <n v="1"/>
  </r>
  <r>
    <n v="5653"/>
    <x v="2"/>
    <s v="2017/3565"/>
    <s v="135 Wandsworth High Street"/>
    <m/>
    <n v="525465"/>
    <n v="174675"/>
    <x v="14"/>
    <m/>
    <m/>
    <n v="2"/>
    <n v="2"/>
    <n v="0"/>
    <n v="3"/>
    <n v="1"/>
    <x v="0"/>
    <s v="Erection of three-storey rear extension above the existing single storey rear addition with mansard roof above the existing main rear roof; erection of a three-storey rear extension;  alterations to shopfront; changes to fenestration on the side elevation;  works in connection with the enlargement of the retail unit and provision of 2 x 3 bedroom and 1 x 2 bedroom flats [REVISED DESCRIPTION]"/>
    <s v="PF"/>
    <d v="2017-07-04T00:00:00"/>
    <d v="2017-11-02T00:00:00"/>
    <x v="0"/>
    <s v="Nil"/>
    <m/>
    <s v="BF"/>
    <s v="MIX"/>
    <x v="0"/>
    <x v="0"/>
    <n v="6.0000000521540598E-3"/>
    <m/>
    <x v="0"/>
    <m/>
    <x v="0"/>
    <s v="M"/>
    <m/>
    <m/>
    <n v="0"/>
    <n v="0"/>
    <n v="0"/>
    <n v="0"/>
    <n v="0"/>
    <n v="0"/>
    <n v="-2"/>
    <n v="2"/>
    <n v="0"/>
    <n v="0"/>
    <n v="0"/>
    <n v="0"/>
    <n v="0"/>
    <n v="-2"/>
    <n v="2"/>
    <n v="0"/>
    <n v="0"/>
    <n v="0"/>
    <n v="0"/>
    <n v="0"/>
    <n v="0"/>
    <n v="0"/>
    <n v="0"/>
    <n v="0"/>
    <n v="0"/>
    <n v="0"/>
    <n v="0"/>
    <n v="0"/>
    <n v="0"/>
    <n v="0"/>
    <n v="0"/>
    <n v="0"/>
    <x v="3"/>
    <x v="0"/>
    <x v="1"/>
    <x v="0"/>
    <x v="0"/>
    <m/>
    <x v="0"/>
    <x v="0"/>
    <n v="15"/>
    <m/>
    <n v="0"/>
    <n v="0"/>
    <n v="0"/>
    <m/>
    <m/>
    <m/>
    <m/>
    <m/>
    <m/>
    <m/>
    <m/>
    <m/>
    <m/>
    <m/>
    <m/>
    <m/>
    <m/>
    <m/>
    <m/>
    <m/>
    <n v="0"/>
    <n v="0"/>
  </r>
  <r>
    <n v="5653"/>
    <x v="2"/>
    <s v="2017/3565"/>
    <s v="135 Wandsworth High Street"/>
    <m/>
    <n v="525465"/>
    <n v="174675"/>
    <x v="14"/>
    <m/>
    <m/>
    <n v="0"/>
    <n v="1"/>
    <n v="1"/>
    <n v="3"/>
    <n v="1"/>
    <x v="0"/>
    <s v="Erection of three-storey rear extension above the existing single storey rear addition with mansard roof above the existing main rear roof; erection of a three-storey rear extension;  alterations to shopfront; changes to fenestration on the side elevation;  works in connection with the enlargement of the retail unit and provision of 2 x 3 bedroom and 1 x 2 bedroom flats [REVISED DESCRIPTION]"/>
    <s v="PF"/>
    <d v="2017-07-04T00:00:00"/>
    <d v="2017-11-02T00:00:00"/>
    <x v="0"/>
    <s v="Nil"/>
    <m/>
    <s v="BF"/>
    <s v="MIX"/>
    <x v="0"/>
    <x v="5"/>
    <n v="3.0000000260770299E-3"/>
    <m/>
    <x v="0"/>
    <m/>
    <x v="0"/>
    <s v="M"/>
    <m/>
    <m/>
    <n v="0"/>
    <n v="0"/>
    <n v="0"/>
    <n v="0"/>
    <n v="0"/>
    <n v="0"/>
    <n v="1"/>
    <n v="0"/>
    <n v="0"/>
    <n v="0"/>
    <n v="0"/>
    <n v="0"/>
    <n v="0"/>
    <n v="1"/>
    <n v="0"/>
    <n v="0"/>
    <n v="0"/>
    <n v="0"/>
    <n v="0"/>
    <n v="0"/>
    <n v="0"/>
    <n v="0"/>
    <n v="0"/>
    <n v="0"/>
    <n v="0"/>
    <n v="0"/>
    <n v="0"/>
    <n v="0"/>
    <n v="0"/>
    <n v="0"/>
    <n v="0"/>
    <n v="0"/>
    <x v="3"/>
    <x v="0"/>
    <x v="1"/>
    <x v="0"/>
    <x v="0"/>
    <m/>
    <x v="0"/>
    <x v="0"/>
    <n v="15"/>
    <m/>
    <n v="0.33333333333333331"/>
    <n v="0.33333333333333331"/>
    <n v="0.33333333333333331"/>
    <m/>
    <m/>
    <m/>
    <m/>
    <m/>
    <m/>
    <m/>
    <m/>
    <m/>
    <m/>
    <m/>
    <m/>
    <m/>
    <m/>
    <m/>
    <m/>
    <m/>
    <n v="1"/>
    <n v="1"/>
  </r>
  <r>
    <n v="5684"/>
    <x v="2"/>
    <s v="2019/5524"/>
    <s v="20 Routh Road"/>
    <m/>
    <n v="527218"/>
    <n v="173669"/>
    <x v="17"/>
    <m/>
    <m/>
    <n v="1"/>
    <n v="1"/>
    <n v="0"/>
    <n v="1"/>
    <n v="0"/>
    <x v="0"/>
    <s v="Demolition of existing property; erection of replacement two-storey house with accommodation at roof level."/>
    <s v="PF"/>
    <d v="2020-01-21T00:00:00"/>
    <d v="2020-02-27T00:00:00"/>
    <x v="1"/>
    <s v="Nil"/>
    <m/>
    <s v="BF"/>
    <s v="NB"/>
    <x v="0"/>
    <x v="5"/>
    <n v="4.6999998390674598E-2"/>
    <m/>
    <x v="0"/>
    <m/>
    <x v="0"/>
    <s v="M"/>
    <m/>
    <m/>
    <n v="0"/>
    <n v="0"/>
    <n v="0"/>
    <n v="0"/>
    <n v="0"/>
    <n v="0"/>
    <n v="0"/>
    <n v="-1"/>
    <n v="1"/>
    <n v="0"/>
    <n v="0"/>
    <n v="0"/>
    <n v="0"/>
    <n v="0"/>
    <n v="0"/>
    <n v="0"/>
    <n v="0"/>
    <n v="0"/>
    <n v="0"/>
    <n v="0"/>
    <n v="0"/>
    <n v="-1"/>
    <n v="1"/>
    <n v="0"/>
    <n v="0"/>
    <n v="0"/>
    <n v="0"/>
    <n v="0"/>
    <n v="0"/>
    <n v="0"/>
    <n v="0"/>
    <n v="0"/>
    <x v="0"/>
    <x v="0"/>
    <x v="0"/>
    <x v="0"/>
    <x v="0"/>
    <m/>
    <x v="0"/>
    <x v="0"/>
    <n v="6"/>
    <m/>
    <m/>
    <n v="0"/>
    <n v="0"/>
    <n v="0"/>
    <n v="0"/>
    <m/>
    <m/>
    <m/>
    <m/>
    <m/>
    <m/>
    <m/>
    <m/>
    <m/>
    <m/>
    <m/>
    <m/>
    <m/>
    <m/>
    <m/>
    <n v="0"/>
    <n v="0"/>
  </r>
  <r>
    <n v="5699"/>
    <x v="2"/>
    <s v="2019/2929"/>
    <s v="Land Adjacent, 33 Vandyke Close"/>
    <m/>
    <n v="523902"/>
    <n v="174030"/>
    <x v="5"/>
    <m/>
    <m/>
    <n v="0"/>
    <n v="1"/>
    <n v="1"/>
    <n v="1"/>
    <n v="1"/>
    <x v="0"/>
    <s v="Erection of two storey 2-bedroom house with first floor level rear terrace, associated cycle and bin storage."/>
    <s v="PF"/>
    <d v="2019-07-17T00:00:00"/>
    <d v="2019-10-04T00:00:00"/>
    <x v="1"/>
    <s v="Nil"/>
    <m/>
    <s v="BF"/>
    <s v="NB"/>
    <x v="0"/>
    <x v="5"/>
    <n v="1.09999999403954E-2"/>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5734"/>
    <x v="2"/>
    <s v="2018/1975"/>
    <s v="1 Effort Street"/>
    <m/>
    <n v="527231"/>
    <n v="171411"/>
    <x v="1"/>
    <m/>
    <m/>
    <n v="2"/>
    <n v="5"/>
    <n v="3"/>
    <n v="5"/>
    <n v="3"/>
    <x v="0"/>
    <s v="Demolition of existing building and erection of a part two part three-storey building to provide 4 x 2-bedroom and 1 x 3-bedroom flats with associated landscaping, cycle and refuse storage."/>
    <s v="PF"/>
    <d v="2018-05-14T00:00:00"/>
    <d v="2018-07-04T00:00:00"/>
    <x v="0"/>
    <s v="Nil"/>
    <m/>
    <s v="BF"/>
    <s v="NB"/>
    <x v="0"/>
    <x v="5"/>
    <n v="2.4000000208616298E-2"/>
    <m/>
    <x v="0"/>
    <m/>
    <x v="0"/>
    <s v="M"/>
    <m/>
    <m/>
    <n v="0"/>
    <n v="0"/>
    <n v="0"/>
    <n v="0"/>
    <n v="0"/>
    <n v="0"/>
    <n v="2"/>
    <n v="1"/>
    <n v="0"/>
    <n v="0"/>
    <n v="0"/>
    <n v="0"/>
    <n v="0"/>
    <n v="2"/>
    <n v="1"/>
    <n v="0"/>
    <n v="0"/>
    <n v="0"/>
    <n v="0"/>
    <n v="0"/>
    <n v="0"/>
    <n v="0"/>
    <n v="0"/>
    <n v="0"/>
    <n v="0"/>
    <n v="0"/>
    <n v="0"/>
    <n v="0"/>
    <n v="0"/>
    <n v="0"/>
    <n v="0"/>
    <n v="0"/>
    <x v="0"/>
    <x v="0"/>
    <x v="0"/>
    <x v="0"/>
    <x v="0"/>
    <m/>
    <x v="0"/>
    <x v="0"/>
    <n v="6"/>
    <m/>
    <m/>
    <n v="0.75"/>
    <n v="0.75"/>
    <n v="0.75"/>
    <n v="0.75"/>
    <m/>
    <m/>
    <m/>
    <m/>
    <m/>
    <m/>
    <m/>
    <m/>
    <m/>
    <m/>
    <m/>
    <m/>
    <m/>
    <m/>
    <m/>
    <n v="3"/>
    <n v="3"/>
  </r>
  <r>
    <n v="5780"/>
    <x v="2"/>
    <s v="2016/7407"/>
    <s v="Land south of and west of 5 St James Drive, 124 Trinity Road"/>
    <m/>
    <n v="527671"/>
    <n v="172854"/>
    <x v="3"/>
    <m/>
    <m/>
    <n v="0"/>
    <n v="1"/>
    <n v="1"/>
    <n v="1"/>
    <n v="1"/>
    <x v="0"/>
    <s v="Erection of single-storey (plus roof level and basement level accommodation) dwellinghouse (1 x 2-bedroom) with associated alterations to Trinity Road boundary treatment and cycle and refuse storage."/>
    <s v="PF"/>
    <d v="2017-01-11T00:00:00"/>
    <d v="2017-05-19T00:00:00"/>
    <x v="0"/>
    <s v="Nil"/>
    <m/>
    <s v="BF"/>
    <s v="NB"/>
    <x v="0"/>
    <x v="5"/>
    <n v="8.0000003799796104E-3"/>
    <m/>
    <x v="0"/>
    <m/>
    <x v="0"/>
    <s v="M"/>
    <m/>
    <m/>
    <n v="1"/>
    <n v="0"/>
    <n v="0"/>
    <n v="0"/>
    <n v="0"/>
    <n v="0"/>
    <n v="1"/>
    <n v="0"/>
    <n v="0"/>
    <n v="0"/>
    <n v="0"/>
    <n v="0"/>
    <n v="0"/>
    <n v="0"/>
    <n v="0"/>
    <n v="0"/>
    <n v="0"/>
    <n v="0"/>
    <n v="0"/>
    <n v="0"/>
    <n v="1"/>
    <n v="0"/>
    <n v="0"/>
    <n v="0"/>
    <n v="0"/>
    <n v="0"/>
    <n v="0"/>
    <n v="0"/>
    <n v="0"/>
    <n v="0"/>
    <n v="0"/>
    <n v="0"/>
    <x v="0"/>
    <x v="0"/>
    <x v="0"/>
    <x v="0"/>
    <x v="0"/>
    <m/>
    <x v="0"/>
    <x v="0"/>
    <n v="6"/>
    <m/>
    <m/>
    <n v="0.25"/>
    <n v="0.25"/>
    <n v="0.25"/>
    <n v="0.25"/>
    <m/>
    <m/>
    <m/>
    <m/>
    <m/>
    <m/>
    <m/>
    <m/>
    <m/>
    <m/>
    <m/>
    <m/>
    <m/>
    <m/>
    <m/>
    <n v="1"/>
    <n v="1"/>
  </r>
  <r>
    <n v="5781"/>
    <x v="2"/>
    <s v="2014/4301"/>
    <s v="and 2-24 Mendip Road, 1-9 Chatfield Road"/>
    <m/>
    <n v="526418"/>
    <n v="175586"/>
    <x v="11"/>
    <m/>
    <m/>
    <n v="0"/>
    <n v="3"/>
    <n v="3"/>
    <n v="3"/>
    <n v="3"/>
    <x v="0"/>
    <s v="Demolition of existing building, excavation to form two floors of basement accommodation and construction of four floors above ground to create new six storey building, to be used for vehicle storage, including kitchen facility on Chatfield Road frontage and three split level ancillary residential units."/>
    <s v="PFLA"/>
    <d v="2014-08-04T00:00:00"/>
    <d v="2017-01-05T00:00:00"/>
    <x v="0"/>
    <s v="Nil"/>
    <m/>
    <s v="BF"/>
    <s v="NB"/>
    <x v="0"/>
    <x v="5"/>
    <n v="3.0999999493360499E-2"/>
    <m/>
    <x v="0"/>
    <m/>
    <x v="0"/>
    <s v="M"/>
    <s v="10.6"/>
    <m/>
    <n v="0"/>
    <n v="0"/>
    <n v="0"/>
    <n v="0"/>
    <n v="0"/>
    <n v="0"/>
    <n v="0"/>
    <n v="3"/>
    <n v="0"/>
    <n v="0"/>
    <n v="0"/>
    <n v="0"/>
    <n v="0"/>
    <n v="0"/>
    <n v="3"/>
    <n v="0"/>
    <n v="0"/>
    <n v="0"/>
    <n v="0"/>
    <n v="0"/>
    <n v="0"/>
    <n v="0"/>
    <n v="0"/>
    <n v="0"/>
    <n v="0"/>
    <n v="0"/>
    <n v="0"/>
    <n v="0"/>
    <n v="0"/>
    <n v="0"/>
    <n v="0"/>
    <n v="0"/>
    <x v="0"/>
    <x v="0"/>
    <x v="0"/>
    <x v="0"/>
    <x v="0"/>
    <m/>
    <x v="1"/>
    <x v="0"/>
    <n v="6"/>
    <m/>
    <m/>
    <n v="0.75"/>
    <n v="0.75"/>
    <n v="0.75"/>
    <n v="0.75"/>
    <m/>
    <m/>
    <m/>
    <m/>
    <m/>
    <m/>
    <m/>
    <m/>
    <m/>
    <m/>
    <m/>
    <m/>
    <m/>
    <m/>
    <m/>
    <n v="3"/>
    <n v="3"/>
  </r>
  <r>
    <n v="5782"/>
    <x v="2"/>
    <s v="2014/4665"/>
    <s v="Battersea Park East, Queenstown Road (Battersea Exchange)"/>
    <s v="Block 10"/>
    <n v="528822"/>
    <n v="176878"/>
    <x v="12"/>
    <d v="2015-09-14T00:00:00"/>
    <m/>
    <n v="0"/>
    <n v="3"/>
    <n v="3"/>
    <n v="290"/>
    <n v="290"/>
    <x v="1"/>
    <s v="Demolition of all existing buildings and structures on site with the exception of (1) railway viaducts (2) 177 Battersea Park Road (3) two-storey extension to western railway viaduct at 276 Queenstown Road and (4) Queenstown Road Train Station; redevelopment of the site to provide a mixed-use development within new buildings from 1-18 storeys (maximum 60.3m high) and refurbished railway arches; providing 290 residential units; 3,676sq.m of flexible retail, office, community use floorspace (use class A1-A3/B1/D1); a new replacement two-form primary school and nursery with multi-use games area (use class D1); new pedestrian access from Patcham Terrace into Queenstown Road Train Station, and new public space and associated landscaping and highways works. An Environmental Statement has been submitted with the application under the Town and Country Planning (Environmental Impact Assessment) Regulations 2011._x000d__x000a_Applications for listed building consent for the elements of the works concerning Queenstown Road station (ref.2014/4687), and Battersea Park Railway Bridge (ref. 2014/4688) are submitted concurrently."/>
    <s v="PFLA"/>
    <d v="2014-08-04T00:00:00"/>
    <d v="2015-03-12T00:00:00"/>
    <x v="0"/>
    <s v="Nil"/>
    <m/>
    <s v="BF"/>
    <s v="MIX"/>
    <x v="1"/>
    <x v="7"/>
    <n v="1.09999999403954E-2"/>
    <m/>
    <x v="0"/>
    <m/>
    <x v="0"/>
    <s v="M"/>
    <s v="2.1.30"/>
    <m/>
    <n v="3"/>
    <n v="0"/>
    <n v="0"/>
    <n v="0"/>
    <n v="0"/>
    <n v="3"/>
    <n v="0"/>
    <n v="0"/>
    <n v="0"/>
    <n v="0"/>
    <n v="0"/>
    <n v="0"/>
    <n v="3"/>
    <n v="0"/>
    <n v="0"/>
    <n v="0"/>
    <n v="0"/>
    <n v="0"/>
    <n v="0"/>
    <n v="0"/>
    <n v="0"/>
    <n v="0"/>
    <n v="0"/>
    <n v="0"/>
    <n v="0"/>
    <n v="0"/>
    <n v="0"/>
    <n v="0"/>
    <n v="0"/>
    <n v="0"/>
    <n v="0"/>
    <n v="0"/>
    <x v="0"/>
    <x v="1"/>
    <x v="0"/>
    <x v="0"/>
    <x v="0"/>
    <m/>
    <x v="0"/>
    <x v="0"/>
    <n v="21"/>
    <m/>
    <m/>
    <n v="3"/>
    <m/>
    <m/>
    <m/>
    <m/>
    <m/>
    <m/>
    <m/>
    <m/>
    <m/>
    <m/>
    <m/>
    <m/>
    <m/>
    <m/>
    <m/>
    <m/>
    <m/>
    <m/>
    <n v="3"/>
    <n v="3"/>
  </r>
  <r>
    <n v="5785"/>
    <x v="2"/>
    <s v="2019/0285"/>
    <s v="465 Garratt Lane"/>
    <m/>
    <n v="525932"/>
    <n v="173167"/>
    <x v="8"/>
    <m/>
    <m/>
    <n v="0"/>
    <n v="1"/>
    <n v="1"/>
    <n v="1"/>
    <n v="1"/>
    <x v="0"/>
    <s v="Determination as to whether prior approval is required for change of use of office at ground floor level from office (Class B1a) to residential (Class C3) to provide 1 x 1-bedroom flat."/>
    <s v="PANR"/>
    <d v="2019-01-21T00:00:00"/>
    <d v="2019-03-14T00:00:00"/>
    <x v="0"/>
    <s v="Nil"/>
    <m/>
    <s v="BF"/>
    <s v="COU"/>
    <x v="0"/>
    <x v="6"/>
    <n v="3.0000000260770299E-3"/>
    <m/>
    <x v="0"/>
    <m/>
    <x v="0"/>
    <s v="M"/>
    <m/>
    <m/>
    <n v="0"/>
    <n v="0"/>
    <n v="0"/>
    <n v="0"/>
    <n v="0"/>
    <n v="1"/>
    <n v="0"/>
    <n v="0"/>
    <n v="0"/>
    <n v="0"/>
    <n v="0"/>
    <n v="0"/>
    <n v="1"/>
    <n v="0"/>
    <n v="0"/>
    <n v="0"/>
    <n v="0"/>
    <n v="0"/>
    <n v="0"/>
    <n v="0"/>
    <n v="0"/>
    <n v="0"/>
    <n v="0"/>
    <n v="0"/>
    <n v="0"/>
    <n v="0"/>
    <n v="0"/>
    <n v="0"/>
    <n v="0"/>
    <n v="0"/>
    <n v="0"/>
    <n v="0"/>
    <x v="0"/>
    <x v="0"/>
    <x v="0"/>
    <x v="0"/>
    <x v="0"/>
    <m/>
    <x v="0"/>
    <x v="1"/>
    <n v="15"/>
    <m/>
    <n v="0.33333333333333331"/>
    <n v="0.33333333333333331"/>
    <n v="0.33333333333333331"/>
    <m/>
    <m/>
    <m/>
    <m/>
    <m/>
    <m/>
    <m/>
    <m/>
    <m/>
    <m/>
    <m/>
    <m/>
    <m/>
    <m/>
    <m/>
    <m/>
    <m/>
    <n v="1"/>
    <n v="1"/>
  </r>
  <r>
    <n v="5805"/>
    <x v="2"/>
    <s v="2016/2392"/>
    <s v="Units 3,4,5,6,7, &amp; 8 Windward House, Square Rigger Row (Plantation Wharf)"/>
    <m/>
    <n v="526469"/>
    <n v="175725"/>
    <x v="11"/>
    <m/>
    <m/>
    <n v="0"/>
    <n v="6"/>
    <n v="6"/>
    <n v="6"/>
    <n v="6"/>
    <x v="0"/>
    <s v="Determination as to whether prior approval is required for change of use from office (Class B1a) to 3 x 2-bedroom and 3 x 1-bedroom residential units (Class C3) at first, second and third floors."/>
    <s v="PAG"/>
    <d v="2016-04-27T00:00:00"/>
    <d v="2016-06-22T00:00:00"/>
    <x v="0"/>
    <s v="Nil"/>
    <m/>
    <s v="BF"/>
    <s v="COU"/>
    <x v="0"/>
    <x v="6"/>
    <n v="1.8999999389052401E-2"/>
    <m/>
    <x v="0"/>
    <m/>
    <x v="0"/>
    <s v="M"/>
    <s v="10.15"/>
    <m/>
    <n v="0"/>
    <n v="0"/>
    <n v="0"/>
    <n v="0"/>
    <n v="0"/>
    <n v="3"/>
    <n v="3"/>
    <n v="0"/>
    <n v="0"/>
    <n v="0"/>
    <n v="0"/>
    <n v="0"/>
    <n v="3"/>
    <n v="3"/>
    <n v="0"/>
    <n v="0"/>
    <n v="0"/>
    <n v="0"/>
    <n v="0"/>
    <n v="0"/>
    <n v="0"/>
    <n v="0"/>
    <n v="0"/>
    <n v="0"/>
    <n v="0"/>
    <n v="0"/>
    <n v="0"/>
    <n v="0"/>
    <n v="0"/>
    <n v="0"/>
    <n v="0"/>
    <n v="0"/>
    <x v="0"/>
    <x v="0"/>
    <x v="0"/>
    <x v="0"/>
    <x v="0"/>
    <m/>
    <x v="1"/>
    <x v="0"/>
    <n v="18"/>
    <m/>
    <m/>
    <n v="1.5"/>
    <n v="1.5"/>
    <n v="1.5"/>
    <n v="1.5"/>
    <m/>
    <m/>
    <m/>
    <m/>
    <m/>
    <m/>
    <m/>
    <m/>
    <m/>
    <m/>
    <m/>
    <m/>
    <m/>
    <m/>
    <m/>
    <n v="6"/>
    <n v="6"/>
  </r>
  <r>
    <n v="5830"/>
    <x v="2"/>
    <s v="2018/3068"/>
    <s v="58 Wandsworth High Street"/>
    <m/>
    <n v="525688"/>
    <n v="174648"/>
    <x v="2"/>
    <m/>
    <m/>
    <n v="0"/>
    <n v="3"/>
    <n v="3"/>
    <n v="3"/>
    <n v="3"/>
    <x v="0"/>
    <s v="Alterations including erection of roof extension to provide additional floor of accommodation in connection with formation of 1 x 1-bedroom, 1 x 2-bedroom and 1 x 3-bedroom flats."/>
    <s v="PF"/>
    <d v="2018-06-25T00:00:00"/>
    <d v="2018-09-05T00:00:00"/>
    <x v="0"/>
    <s v="Nil"/>
    <m/>
    <s v="BF"/>
    <s v="EXT"/>
    <x v="0"/>
    <x v="3"/>
    <n v="8.9999996125698107E-3"/>
    <m/>
    <x v="0"/>
    <m/>
    <x v="0"/>
    <s v="M"/>
    <m/>
    <m/>
    <n v="0"/>
    <n v="0"/>
    <n v="0"/>
    <n v="0"/>
    <n v="0"/>
    <n v="1"/>
    <n v="1"/>
    <n v="1"/>
    <n v="0"/>
    <n v="0"/>
    <n v="0"/>
    <n v="0"/>
    <n v="1"/>
    <n v="1"/>
    <n v="1"/>
    <n v="0"/>
    <n v="0"/>
    <n v="0"/>
    <n v="0"/>
    <n v="0"/>
    <n v="0"/>
    <n v="0"/>
    <n v="0"/>
    <n v="0"/>
    <n v="0"/>
    <n v="0"/>
    <n v="0"/>
    <n v="0"/>
    <n v="0"/>
    <n v="0"/>
    <n v="0"/>
    <n v="0"/>
    <x v="3"/>
    <x v="0"/>
    <x v="1"/>
    <x v="0"/>
    <x v="0"/>
    <m/>
    <x v="0"/>
    <x v="0"/>
    <n v="15"/>
    <m/>
    <n v="1"/>
    <n v="1"/>
    <n v="1"/>
    <m/>
    <m/>
    <m/>
    <m/>
    <m/>
    <m/>
    <m/>
    <m/>
    <m/>
    <m/>
    <m/>
    <m/>
    <m/>
    <m/>
    <m/>
    <m/>
    <m/>
    <n v="3"/>
    <n v="3"/>
  </r>
  <r>
    <n v="5832"/>
    <x v="2"/>
    <s v="2018/2630"/>
    <s v="Garages in, Heathwall Street"/>
    <m/>
    <n v="527798"/>
    <n v="175779"/>
    <x v="9"/>
    <m/>
    <m/>
    <n v="0"/>
    <n v="1"/>
    <n v="1"/>
    <n v="1"/>
    <n v="1"/>
    <x v="0"/>
    <s v="Demolition of existing garages and erection of a single storey residential dwelling with a basement below and off street parking."/>
    <s v="PF"/>
    <d v="2018-06-01T00:00:00"/>
    <d v="2018-08-23T00:00:00"/>
    <x v="0"/>
    <s v="Nil"/>
    <m/>
    <s v="BF"/>
    <s v="NB"/>
    <x v="0"/>
    <x v="5"/>
    <n v="8.0000003799796104E-3"/>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5855"/>
    <x v="2"/>
    <s v="2017/0406"/>
    <s v="rear of, 135 Mitcham Road"/>
    <m/>
    <n v="527771"/>
    <n v="171157"/>
    <x v="10"/>
    <m/>
    <m/>
    <n v="0"/>
    <n v="1"/>
    <n v="1"/>
    <n v="1"/>
    <n v="1"/>
    <x v="0"/>
    <s v="Change of use from office (Class B1) to 1 x 1-bedroom dwelling (Class C3) and alterations including erection of first floor extension.."/>
    <s v="PF"/>
    <d v="2017-04-11T00:00:00"/>
    <d v="2017-06-06T00:00:00"/>
    <x v="0"/>
    <s v="Nil"/>
    <m/>
    <s v="BF"/>
    <s v="MIX"/>
    <x v="0"/>
    <x v="6"/>
    <n v="8.0000003799796104E-3"/>
    <m/>
    <x v="0"/>
    <m/>
    <x v="0"/>
    <s v="M"/>
    <m/>
    <m/>
    <n v="0"/>
    <n v="0"/>
    <n v="0"/>
    <n v="0"/>
    <n v="0"/>
    <n v="1"/>
    <n v="0"/>
    <n v="0"/>
    <n v="0"/>
    <n v="0"/>
    <n v="0"/>
    <n v="0"/>
    <n v="1"/>
    <n v="0"/>
    <n v="0"/>
    <n v="0"/>
    <n v="0"/>
    <n v="0"/>
    <n v="0"/>
    <n v="0"/>
    <n v="0"/>
    <n v="0"/>
    <n v="0"/>
    <n v="0"/>
    <n v="0"/>
    <n v="0"/>
    <n v="0"/>
    <n v="0"/>
    <n v="0"/>
    <n v="0"/>
    <n v="0"/>
    <n v="0"/>
    <x v="4"/>
    <x v="0"/>
    <x v="0"/>
    <x v="0"/>
    <x v="0"/>
    <m/>
    <x v="0"/>
    <x v="0"/>
    <n v="15"/>
    <m/>
    <n v="0.33333333333333331"/>
    <n v="0.33333333333333331"/>
    <n v="0.33333333333333331"/>
    <m/>
    <m/>
    <m/>
    <m/>
    <m/>
    <m/>
    <m/>
    <m/>
    <m/>
    <m/>
    <m/>
    <m/>
    <m/>
    <m/>
    <m/>
    <m/>
    <m/>
    <n v="1"/>
    <n v="1"/>
  </r>
  <r>
    <n v="5887"/>
    <x v="2"/>
    <s v="2018/1835"/>
    <s v="2 Balham Grove"/>
    <m/>
    <n v="528584"/>
    <n v="173489"/>
    <x v="6"/>
    <m/>
    <m/>
    <n v="0"/>
    <n v="1"/>
    <n v="1"/>
    <n v="1"/>
    <n v="1"/>
    <x v="0"/>
    <s v="Erection of three-storey (plus basement and habitable roofspace] 4-bedroom house with rear terraces and associated cycle and refuse storage."/>
    <s v="PF"/>
    <d v="2018-04-27T00:00:00"/>
    <d v="2018-06-07T00:00:00"/>
    <x v="0"/>
    <s v="Nil"/>
    <m/>
    <s v="BF"/>
    <s v="NB"/>
    <x v="0"/>
    <x v="5"/>
    <n v="1.4999999664723899E-2"/>
    <m/>
    <x v="0"/>
    <m/>
    <x v="0"/>
    <s v="M"/>
    <m/>
    <m/>
    <n v="0"/>
    <n v="0"/>
    <n v="0"/>
    <n v="0"/>
    <n v="0"/>
    <n v="0"/>
    <n v="0"/>
    <n v="0"/>
    <n v="1"/>
    <n v="0"/>
    <n v="0"/>
    <n v="0"/>
    <n v="0"/>
    <n v="0"/>
    <n v="0"/>
    <n v="0"/>
    <n v="0"/>
    <n v="0"/>
    <n v="0"/>
    <n v="0"/>
    <n v="0"/>
    <n v="0"/>
    <n v="1"/>
    <n v="0"/>
    <n v="0"/>
    <n v="0"/>
    <n v="0"/>
    <n v="0"/>
    <n v="0"/>
    <n v="0"/>
    <n v="0"/>
    <n v="0"/>
    <x v="0"/>
    <x v="0"/>
    <x v="0"/>
    <x v="0"/>
    <x v="0"/>
    <m/>
    <x v="0"/>
    <x v="0"/>
    <n v="6"/>
    <m/>
    <m/>
    <n v="0.25"/>
    <n v="0.25"/>
    <n v="0.25"/>
    <n v="0.25"/>
    <m/>
    <m/>
    <m/>
    <m/>
    <m/>
    <m/>
    <m/>
    <m/>
    <m/>
    <m/>
    <m/>
    <m/>
    <m/>
    <m/>
    <m/>
    <n v="1"/>
    <n v="1"/>
  </r>
  <r>
    <n v="5894"/>
    <x v="2"/>
    <s v="2018/5226"/>
    <s v="173 Battersea Church Road (163-199)"/>
    <m/>
    <n v="526821"/>
    <n v="176772"/>
    <x v="11"/>
    <m/>
    <m/>
    <n v="0"/>
    <n v="1"/>
    <n v="1"/>
    <n v="1"/>
    <n v="1"/>
    <x v="0"/>
    <s v="Alterations including demolition of existing boiler house on roof and erection of roof extension to provide additional storey to create 1 x 2-bedroom flat with rear terrace."/>
    <s v="PF"/>
    <d v="2018-11-06T00:00:00"/>
    <d v="2018-12-21T00:00:00"/>
    <x v="0"/>
    <s v="Nil"/>
    <m/>
    <s v="BF"/>
    <s v="EXT"/>
    <x v="0"/>
    <x v="3"/>
    <n v="9.9999997764825804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5920"/>
    <x v="2"/>
    <s v="2018/6128"/>
    <s v="Bright Cook House, 139 Upper Richmond Road"/>
    <m/>
    <n v="524021"/>
    <n v="175002"/>
    <x v="5"/>
    <m/>
    <m/>
    <n v="0"/>
    <n v="3"/>
    <n v="3"/>
    <n v="3"/>
    <n v="3"/>
    <x v="0"/>
    <s v="Determination as to whether prior approval is required for change of use of office at first floor level from (Class B1a) to residential (Class C3) to provide 2 x 1-bedroom flats and 1 x 2-bedroom flat and cycle stands."/>
    <s v="PANR"/>
    <d v="2018-12-27T00:00:00"/>
    <d v="2019-01-31T00:00:00"/>
    <x v="0"/>
    <s v="Nil"/>
    <m/>
    <s v="BF"/>
    <s v="COU"/>
    <x v="0"/>
    <x v="6"/>
    <n v="3.0000000260770299E-3"/>
    <m/>
    <x v="0"/>
    <m/>
    <x v="0"/>
    <s v="M"/>
    <m/>
    <m/>
    <n v="0"/>
    <n v="0"/>
    <n v="0"/>
    <n v="0"/>
    <n v="0"/>
    <n v="2"/>
    <n v="1"/>
    <n v="0"/>
    <n v="0"/>
    <n v="0"/>
    <n v="0"/>
    <n v="0"/>
    <n v="2"/>
    <n v="1"/>
    <n v="0"/>
    <n v="0"/>
    <n v="0"/>
    <n v="0"/>
    <n v="0"/>
    <n v="0"/>
    <n v="0"/>
    <n v="0"/>
    <n v="0"/>
    <n v="0"/>
    <n v="0"/>
    <n v="0"/>
    <n v="0"/>
    <n v="0"/>
    <n v="0"/>
    <n v="0"/>
    <n v="0"/>
    <n v="0"/>
    <x v="2"/>
    <x v="0"/>
    <x v="0"/>
    <x v="0"/>
    <x v="1"/>
    <m/>
    <x v="0"/>
    <x v="0"/>
    <n v="15"/>
    <m/>
    <n v="1"/>
    <n v="1"/>
    <n v="1"/>
    <m/>
    <m/>
    <m/>
    <m/>
    <m/>
    <m/>
    <m/>
    <m/>
    <m/>
    <m/>
    <m/>
    <m/>
    <m/>
    <m/>
    <m/>
    <m/>
    <m/>
    <n v="3"/>
    <n v="3"/>
  </r>
  <r>
    <n v="5923"/>
    <x v="2"/>
    <s v="2015/1735"/>
    <s v="Queen Elizabeth House, 99 Nightingale Lane"/>
    <m/>
    <n v="528084"/>
    <n v="173918"/>
    <x v="3"/>
    <m/>
    <m/>
    <n v="1"/>
    <n v="2"/>
    <n v="1"/>
    <n v="2"/>
    <n v="1"/>
    <x v="0"/>
    <s v="Conversion of former caretakers apartment into 2 self-contained supported living studios (Class C2 use)."/>
    <s v="PF"/>
    <d v="2015-05-01T00:00:00"/>
    <d v="2015-07-22T00:00:00"/>
    <x v="0"/>
    <s v="Nil"/>
    <m/>
    <s v="BF"/>
    <s v="MIX"/>
    <x v="0"/>
    <x v="0"/>
    <n v="8.0000003799796104E-3"/>
    <m/>
    <x v="0"/>
    <m/>
    <x v="1"/>
    <s v="A/I"/>
    <m/>
    <m/>
    <n v="0"/>
    <n v="0"/>
    <n v="0"/>
    <n v="0"/>
    <n v="2"/>
    <n v="0"/>
    <n v="0"/>
    <n v="-1"/>
    <n v="0"/>
    <n v="0"/>
    <n v="0"/>
    <n v="2"/>
    <n v="0"/>
    <n v="0"/>
    <n v="-1"/>
    <n v="0"/>
    <n v="0"/>
    <n v="0"/>
    <n v="0"/>
    <n v="0"/>
    <n v="0"/>
    <n v="0"/>
    <n v="0"/>
    <n v="0"/>
    <n v="0"/>
    <n v="0"/>
    <n v="0"/>
    <n v="0"/>
    <n v="0"/>
    <n v="0"/>
    <n v="0"/>
    <n v="0"/>
    <x v="0"/>
    <x v="0"/>
    <x v="0"/>
    <x v="0"/>
    <x v="0"/>
    <m/>
    <x v="0"/>
    <x v="0"/>
    <n v="15"/>
    <m/>
    <n v="0.33333333333333331"/>
    <n v="0.33333333333333331"/>
    <n v="0.33333333333333331"/>
    <m/>
    <m/>
    <m/>
    <m/>
    <m/>
    <m/>
    <m/>
    <m/>
    <m/>
    <m/>
    <m/>
    <m/>
    <m/>
    <m/>
    <m/>
    <m/>
    <m/>
    <n v="1"/>
    <n v="1"/>
  </r>
  <r>
    <n v="5956"/>
    <x v="2"/>
    <s v="2019/3823"/>
    <s v="48 &amp; 48A, 48 Lower Richmond Road"/>
    <m/>
    <n v="523775"/>
    <n v="175783"/>
    <x v="0"/>
    <m/>
    <m/>
    <n v="1"/>
    <n v="1"/>
    <n v="0"/>
    <n v="1"/>
    <n v="0"/>
    <x v="0"/>
    <s v="Erection of part single, part three storey rear/side extension and rear dormer in connection with the use of property as 1 x 4-bedroom flat. forrmation of roof terrace at rear second floor level."/>
    <s v="PF"/>
    <d v="2019-09-23T00:00:00"/>
    <d v="2019-10-29T00:00:00"/>
    <x v="1"/>
    <s v="Nil"/>
    <m/>
    <s v="BF"/>
    <s v="CON"/>
    <x v="0"/>
    <x v="0"/>
    <n v="7.0000002160668399E-3"/>
    <m/>
    <x v="0"/>
    <m/>
    <x v="0"/>
    <s v="M"/>
    <m/>
    <m/>
    <n v="0"/>
    <n v="0"/>
    <n v="0"/>
    <n v="0"/>
    <n v="0"/>
    <n v="0"/>
    <n v="0"/>
    <n v="-1"/>
    <n v="1"/>
    <n v="0"/>
    <n v="0"/>
    <n v="0"/>
    <n v="0"/>
    <n v="0"/>
    <n v="-1"/>
    <n v="1"/>
    <n v="0"/>
    <n v="0"/>
    <n v="0"/>
    <n v="0"/>
    <n v="0"/>
    <n v="0"/>
    <n v="0"/>
    <n v="0"/>
    <n v="0"/>
    <n v="0"/>
    <n v="0"/>
    <n v="0"/>
    <n v="0"/>
    <n v="0"/>
    <n v="0"/>
    <n v="0"/>
    <x v="0"/>
    <x v="0"/>
    <x v="0"/>
    <x v="0"/>
    <x v="0"/>
    <m/>
    <x v="0"/>
    <x v="0"/>
    <n v="15"/>
    <m/>
    <n v="0"/>
    <n v="0"/>
    <n v="0"/>
    <m/>
    <m/>
    <m/>
    <m/>
    <m/>
    <m/>
    <m/>
    <m/>
    <m/>
    <m/>
    <m/>
    <m/>
    <m/>
    <m/>
    <m/>
    <m/>
    <m/>
    <n v="0"/>
    <n v="0"/>
  </r>
  <r>
    <n v="5958"/>
    <x v="2"/>
    <s v="2016/1048"/>
    <s v="250 Upper Tooting Road"/>
    <m/>
    <n v="527576"/>
    <n v="171713"/>
    <x v="1"/>
    <m/>
    <m/>
    <n v="0"/>
    <n v="2"/>
    <n v="2"/>
    <n v="4"/>
    <n v="2"/>
    <x v="0"/>
    <s v="Erection of extensions at basement and ground floor levels for restaurant (Use Class A3), refuse and cycle storage.  Erection of extension to Broadwater Road frontage at first and second floor levels, and alterations to extend and convert 2 x existing residential units to 4 x residential units (3 x 1-bedroom and 1 x 2-bedroom)."/>
    <s v="PF"/>
    <d v="2016-02-23T00:00:00"/>
    <d v="2016-04-18T00:00:00"/>
    <x v="0"/>
    <s v="Nil"/>
    <m/>
    <s v="BF"/>
    <s v="MIX"/>
    <x v="0"/>
    <x v="5"/>
    <n v="4.9999998882412902E-3"/>
    <m/>
    <x v="0"/>
    <m/>
    <x v="0"/>
    <s v="M"/>
    <m/>
    <m/>
    <n v="0"/>
    <n v="0"/>
    <n v="0"/>
    <n v="0"/>
    <n v="0"/>
    <n v="2"/>
    <n v="0"/>
    <n v="0"/>
    <n v="0"/>
    <n v="0"/>
    <n v="0"/>
    <n v="0"/>
    <n v="2"/>
    <n v="0"/>
    <n v="0"/>
    <n v="0"/>
    <n v="0"/>
    <n v="0"/>
    <n v="0"/>
    <n v="0"/>
    <n v="0"/>
    <n v="0"/>
    <n v="0"/>
    <n v="0"/>
    <n v="0"/>
    <n v="0"/>
    <n v="0"/>
    <n v="0"/>
    <n v="0"/>
    <n v="0"/>
    <n v="0"/>
    <n v="0"/>
    <x v="4"/>
    <x v="0"/>
    <x v="0"/>
    <x v="0"/>
    <x v="0"/>
    <m/>
    <x v="0"/>
    <x v="0"/>
    <n v="15"/>
    <m/>
    <n v="0.66666666666666663"/>
    <n v="0.66666666666666663"/>
    <n v="0.66666666666666663"/>
    <m/>
    <m/>
    <m/>
    <m/>
    <m/>
    <m/>
    <m/>
    <m/>
    <m/>
    <m/>
    <m/>
    <m/>
    <m/>
    <m/>
    <m/>
    <m/>
    <m/>
    <n v="2"/>
    <n v="2"/>
  </r>
  <r>
    <n v="5958"/>
    <x v="2"/>
    <s v="2016/1048"/>
    <s v="250 Upper Tooting Road"/>
    <m/>
    <n v="527576"/>
    <n v="171713"/>
    <x v="1"/>
    <m/>
    <m/>
    <n v="2"/>
    <n v="2"/>
    <n v="0"/>
    <n v="4"/>
    <n v="2"/>
    <x v="0"/>
    <s v="Erection of extensions at basement and ground floor levels for restaurant (Use Class A3), refuse and cycle storage.  Erection of extension to Broadwater Road frontage at first and second floor levels, and alterations to extend and convert 2 x existing residential units to 4 x residential units (3 x 1-bedroom and 1 x 2-bedroom)."/>
    <s v="PF"/>
    <d v="2016-02-23T00:00:00"/>
    <d v="2016-04-18T00:00:00"/>
    <x v="0"/>
    <s v="Nil"/>
    <m/>
    <s v="BF"/>
    <s v="MIX"/>
    <x v="0"/>
    <x v="0"/>
    <n v="4.9999998882412902E-3"/>
    <m/>
    <x v="0"/>
    <m/>
    <x v="0"/>
    <s v="M"/>
    <m/>
    <m/>
    <n v="0"/>
    <n v="0"/>
    <n v="0"/>
    <n v="0"/>
    <n v="0"/>
    <n v="1"/>
    <n v="-2"/>
    <n v="1"/>
    <n v="0"/>
    <n v="0"/>
    <n v="0"/>
    <n v="0"/>
    <n v="1"/>
    <n v="-2"/>
    <n v="1"/>
    <n v="0"/>
    <n v="0"/>
    <n v="0"/>
    <n v="0"/>
    <n v="0"/>
    <n v="0"/>
    <n v="0"/>
    <n v="0"/>
    <n v="0"/>
    <n v="0"/>
    <n v="0"/>
    <n v="0"/>
    <n v="0"/>
    <n v="0"/>
    <n v="0"/>
    <n v="0"/>
    <n v="0"/>
    <x v="4"/>
    <x v="0"/>
    <x v="0"/>
    <x v="0"/>
    <x v="0"/>
    <m/>
    <x v="0"/>
    <x v="0"/>
    <n v="15"/>
    <m/>
    <n v="0"/>
    <n v="0"/>
    <n v="0"/>
    <m/>
    <m/>
    <m/>
    <m/>
    <m/>
    <m/>
    <m/>
    <m/>
    <m/>
    <m/>
    <m/>
    <m/>
    <m/>
    <m/>
    <m/>
    <m/>
    <m/>
    <n v="0"/>
    <n v="0"/>
  </r>
  <r>
    <n v="5966"/>
    <x v="2"/>
    <s v="2015/7662"/>
    <s v="Unit 3 &amp; 20 Ransomes Dock Business Centre, 35-37 Parkgate Road (Ransomes Dock Business Centre)"/>
    <s v="Apartment 3"/>
    <n v="527304"/>
    <n v="177160"/>
    <x v="11"/>
    <d v="2017-03-31T00:00:00"/>
    <m/>
    <n v="0"/>
    <n v="1"/>
    <n v="1"/>
    <n v="2"/>
    <n v="2"/>
    <x v="0"/>
    <s v="Determination as to whether prior approval is required for change of use from office (Class B1a) to two residential units (Class C3)."/>
    <s v="PANR"/>
    <d v="2015-12-13T00:00:00"/>
    <d v="2016-03-14T00:00:00"/>
    <x v="0"/>
    <s v="Nil"/>
    <m/>
    <s v="BF"/>
    <s v="COU"/>
    <x v="0"/>
    <x v="6"/>
    <n v="2.0000000949949E-3"/>
    <m/>
    <x v="0"/>
    <m/>
    <x v="0"/>
    <s v="M"/>
    <m/>
    <m/>
    <n v="0"/>
    <n v="0"/>
    <n v="0"/>
    <n v="0"/>
    <n v="1"/>
    <n v="0"/>
    <n v="0"/>
    <n v="0"/>
    <n v="0"/>
    <n v="0"/>
    <n v="0"/>
    <n v="1"/>
    <n v="0"/>
    <n v="0"/>
    <n v="0"/>
    <n v="0"/>
    <n v="0"/>
    <n v="0"/>
    <n v="0"/>
    <n v="0"/>
    <n v="0"/>
    <n v="0"/>
    <n v="0"/>
    <n v="0"/>
    <n v="0"/>
    <n v="0"/>
    <n v="0"/>
    <n v="0"/>
    <n v="0"/>
    <n v="0"/>
    <n v="0"/>
    <n v="0"/>
    <x v="0"/>
    <x v="0"/>
    <x v="0"/>
    <x v="0"/>
    <x v="0"/>
    <m/>
    <x v="1"/>
    <x v="0"/>
    <n v="15"/>
    <m/>
    <n v="0.33333333333333331"/>
    <n v="0.33333333333333331"/>
    <n v="0.33333333333333331"/>
    <m/>
    <m/>
    <m/>
    <m/>
    <m/>
    <m/>
    <m/>
    <m/>
    <m/>
    <m/>
    <m/>
    <m/>
    <m/>
    <m/>
    <m/>
    <m/>
    <m/>
    <n v="1"/>
    <n v="1"/>
  </r>
  <r>
    <n v="5995"/>
    <x v="2"/>
    <s v="2019/3077"/>
    <s v="3 Roedean Crescent"/>
    <m/>
    <n v="521248"/>
    <n v="174669"/>
    <x v="13"/>
    <m/>
    <m/>
    <n v="1"/>
    <n v="1"/>
    <n v="0"/>
    <n v="1"/>
    <n v="0"/>
    <x v="0"/>
    <s v="Demolition of existing property and erection of two storey (plus roof and basement) 7-bedroom house with associated parking and boundary treatment."/>
    <s v="PF"/>
    <d v="2019-08-09T00:00:00"/>
    <d v="2019-09-26T00:00:00"/>
    <x v="1"/>
    <s v="Nil"/>
    <m/>
    <s v="BF"/>
    <s v="NB"/>
    <x v="0"/>
    <x v="5"/>
    <n v="0.123000003397465"/>
    <m/>
    <x v="0"/>
    <m/>
    <x v="0"/>
    <s v="M"/>
    <m/>
    <m/>
    <n v="0"/>
    <n v="0"/>
    <n v="0"/>
    <n v="0"/>
    <n v="0"/>
    <n v="0"/>
    <n v="0"/>
    <n v="0"/>
    <n v="0"/>
    <n v="0"/>
    <n v="0"/>
    <n v="0"/>
    <n v="0"/>
    <n v="0"/>
    <n v="0"/>
    <n v="0"/>
    <n v="0"/>
    <n v="0"/>
    <n v="0"/>
    <n v="0"/>
    <n v="0"/>
    <n v="0"/>
    <n v="0"/>
    <n v="0"/>
    <n v="0"/>
    <n v="0"/>
    <n v="0"/>
    <n v="0"/>
    <n v="0"/>
    <n v="0"/>
    <n v="0"/>
    <n v="0"/>
    <x v="0"/>
    <x v="0"/>
    <x v="0"/>
    <x v="0"/>
    <x v="0"/>
    <m/>
    <x v="0"/>
    <x v="0"/>
    <n v="6"/>
    <m/>
    <m/>
    <n v="0"/>
    <n v="0"/>
    <n v="0"/>
    <n v="0"/>
    <m/>
    <m/>
    <m/>
    <m/>
    <m/>
    <m/>
    <m/>
    <m/>
    <m/>
    <m/>
    <m/>
    <m/>
    <m/>
    <m/>
    <m/>
    <n v="0"/>
    <n v="0"/>
  </r>
  <r>
    <n v="6016"/>
    <x v="2"/>
    <s v="2019/1304"/>
    <s v="203 Replingham Road"/>
    <m/>
    <n v="525206"/>
    <n v="173428"/>
    <x v="14"/>
    <m/>
    <m/>
    <n v="0"/>
    <n v="2"/>
    <n v="2"/>
    <n v="2"/>
    <n v="2"/>
    <x v="0"/>
    <s v="Determination as to whether prior approval is required for change of use from retail (Class A1) to 2 x 1-bedroom flats (Class C3) (amended description)."/>
    <s v="PANR"/>
    <d v="2019-03-25T00:00:00"/>
    <d v="2019-05-14T00:00:00"/>
    <x v="1"/>
    <s v="Nil"/>
    <m/>
    <s v="BF"/>
    <s v="COU"/>
    <x v="0"/>
    <x v="4"/>
    <n v="3.0000000260770299E-3"/>
    <m/>
    <x v="0"/>
    <m/>
    <x v="0"/>
    <s v="M"/>
    <m/>
    <m/>
    <n v="0"/>
    <n v="0"/>
    <n v="0"/>
    <n v="0"/>
    <n v="0"/>
    <n v="2"/>
    <n v="0"/>
    <n v="0"/>
    <n v="0"/>
    <n v="0"/>
    <n v="0"/>
    <n v="0"/>
    <n v="2"/>
    <n v="0"/>
    <n v="0"/>
    <n v="0"/>
    <n v="0"/>
    <n v="0"/>
    <n v="0"/>
    <n v="0"/>
    <n v="0"/>
    <n v="0"/>
    <n v="0"/>
    <n v="0"/>
    <n v="0"/>
    <n v="0"/>
    <n v="0"/>
    <n v="0"/>
    <n v="0"/>
    <n v="0"/>
    <n v="0"/>
    <n v="0"/>
    <x v="0"/>
    <x v="0"/>
    <x v="0"/>
    <x v="0"/>
    <x v="0"/>
    <m/>
    <x v="0"/>
    <x v="0"/>
    <n v="15"/>
    <m/>
    <n v="0.66666666666666663"/>
    <n v="0.66666666666666663"/>
    <n v="0.66666666666666663"/>
    <m/>
    <m/>
    <m/>
    <m/>
    <m/>
    <m/>
    <m/>
    <m/>
    <m/>
    <m/>
    <m/>
    <m/>
    <m/>
    <m/>
    <m/>
    <m/>
    <m/>
    <n v="2"/>
    <n v="2"/>
  </r>
  <r>
    <n v="6017"/>
    <x v="2"/>
    <s v="2016/5196"/>
    <s v="Land rear of 69-75, 69-75 Upper Tooting Road"/>
    <m/>
    <n v="527837"/>
    <n v="172151"/>
    <x v="1"/>
    <m/>
    <m/>
    <n v="0"/>
    <n v="1"/>
    <n v="1"/>
    <n v="1"/>
    <n v="1"/>
    <x v="0"/>
    <s v="Erection of a one bedroom self contained unit at the rear of 69-73 Upper Tooting Road."/>
    <s v="PF"/>
    <d v="2016-09-02T00:00:00"/>
    <d v="2016-11-28T00:00:00"/>
    <x v="0"/>
    <s v="Nil"/>
    <m/>
    <s v="BF"/>
    <s v="NB"/>
    <x v="0"/>
    <x v="5"/>
    <n v="3.5999998450279201E-2"/>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6030"/>
    <x v="2"/>
    <s v="2017/1573"/>
    <s v="8 Akehurst Street"/>
    <m/>
    <n v="522262"/>
    <n v="173980"/>
    <x v="13"/>
    <m/>
    <m/>
    <n v="0"/>
    <n v="2"/>
    <n v="2"/>
    <n v="2"/>
    <n v="2"/>
    <x v="0"/>
    <s v="Erection of 2 x 5-bedroom three storey detached houses with associated landscaping, parking and cycle store."/>
    <s v="PF"/>
    <d v="2017-03-16T00:00:00"/>
    <d v="2018-06-27T00:00:00"/>
    <x v="0"/>
    <s v="Nil"/>
    <m/>
    <s v="BF"/>
    <s v="NB"/>
    <x v="0"/>
    <x v="5"/>
    <n v="6.8000003695488004E-2"/>
    <m/>
    <x v="0"/>
    <m/>
    <x v="0"/>
    <s v="M"/>
    <m/>
    <m/>
    <n v="0"/>
    <n v="0"/>
    <n v="0"/>
    <n v="0"/>
    <n v="0"/>
    <n v="0"/>
    <n v="0"/>
    <n v="0"/>
    <n v="0"/>
    <n v="2"/>
    <n v="0"/>
    <n v="0"/>
    <n v="0"/>
    <n v="0"/>
    <n v="0"/>
    <n v="0"/>
    <n v="0"/>
    <n v="0"/>
    <n v="0"/>
    <n v="0"/>
    <n v="0"/>
    <n v="0"/>
    <n v="0"/>
    <n v="2"/>
    <n v="0"/>
    <n v="0"/>
    <n v="0"/>
    <n v="0"/>
    <n v="0"/>
    <n v="0"/>
    <n v="0"/>
    <n v="0"/>
    <x v="0"/>
    <x v="0"/>
    <x v="0"/>
    <x v="0"/>
    <x v="0"/>
    <m/>
    <x v="0"/>
    <x v="0"/>
    <n v="6"/>
    <m/>
    <m/>
    <n v="0.5"/>
    <n v="0.5"/>
    <n v="0.5"/>
    <n v="0.5"/>
    <m/>
    <m/>
    <m/>
    <m/>
    <m/>
    <m/>
    <m/>
    <m/>
    <m/>
    <m/>
    <m/>
    <m/>
    <m/>
    <m/>
    <m/>
    <n v="2"/>
    <n v="2"/>
  </r>
  <r>
    <n v="6032"/>
    <x v="2"/>
    <s v="2018/3598"/>
    <s v="259 Putney Bridge Road"/>
    <m/>
    <n v="524386"/>
    <n v="175298"/>
    <x v="0"/>
    <m/>
    <m/>
    <n v="0"/>
    <n v="1"/>
    <n v="1"/>
    <n v="1"/>
    <n v="1"/>
    <x v="0"/>
    <s v="Determination as to whether prior approval is required for change of use from retail (Class A1) to 1 x 2-bedroom flat (Class C3)."/>
    <s v="PAG"/>
    <d v="2018-08-02T00:00:00"/>
    <d v="2018-09-21T00:00:00"/>
    <x v="0"/>
    <s v="Nil"/>
    <m/>
    <s v="BF"/>
    <s v="COU"/>
    <x v="0"/>
    <x v="4"/>
    <n v="8.0000003799796104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035"/>
    <x v="2"/>
    <s v="2017/0261"/>
    <s v="5 St Georges Court, 131 Putney Bridge Road"/>
    <m/>
    <n v="524786"/>
    <n v="175120"/>
    <x v="0"/>
    <m/>
    <m/>
    <n v="0"/>
    <n v="1"/>
    <n v="1"/>
    <n v="1"/>
    <n v="1"/>
    <x v="0"/>
    <s v="Determination as to whether prior approval is required for change of use from office (Class B1a) to one residential unit (Class C3)."/>
    <s v="PAG"/>
    <d v="2017-01-17T00:00:00"/>
    <d v="2017-03-14T00:00:00"/>
    <x v="0"/>
    <s v="Nil"/>
    <m/>
    <s v="BF"/>
    <s v="COU"/>
    <x v="0"/>
    <x v="6"/>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059"/>
    <x v="2"/>
    <s v="2018/4316"/>
    <s v="11 Roehampton Lane"/>
    <m/>
    <n v="522113"/>
    <n v="175402"/>
    <x v="15"/>
    <m/>
    <m/>
    <n v="1"/>
    <n v="3"/>
    <n v="2"/>
    <n v="3"/>
    <n v="2"/>
    <x v="0"/>
    <s v="Alterations including erection of hip-to-gable and rear dormer roof extensions (with french doors and safety railings), replacement single-storey rear/side extension in connection with conversion of property into 1 x 3 bedroom, 1 x 2-bedroom and 1 x 1-bedroom flats."/>
    <s v="PF"/>
    <d v="2018-09-07T00:00:00"/>
    <d v="2018-11-02T00:00:00"/>
    <x v="0"/>
    <s v="Nil"/>
    <m/>
    <s v="BF"/>
    <s v="MIX"/>
    <x v="0"/>
    <x v="2"/>
    <n v="2.8000000864267301E-2"/>
    <m/>
    <x v="0"/>
    <m/>
    <x v="0"/>
    <s v="M"/>
    <m/>
    <m/>
    <n v="0"/>
    <n v="0"/>
    <n v="0"/>
    <n v="0"/>
    <n v="0"/>
    <n v="1"/>
    <n v="1"/>
    <n v="1"/>
    <n v="0"/>
    <n v="-1"/>
    <n v="0"/>
    <n v="0"/>
    <n v="1"/>
    <n v="1"/>
    <n v="1"/>
    <n v="0"/>
    <n v="0"/>
    <n v="0"/>
    <n v="0"/>
    <n v="0"/>
    <n v="0"/>
    <n v="0"/>
    <n v="0"/>
    <n v="-1"/>
    <n v="0"/>
    <n v="0"/>
    <n v="0"/>
    <n v="0"/>
    <n v="0"/>
    <n v="0"/>
    <n v="0"/>
    <n v="0"/>
    <x v="0"/>
    <x v="0"/>
    <x v="0"/>
    <x v="0"/>
    <x v="0"/>
    <m/>
    <x v="0"/>
    <x v="0"/>
    <n v="15"/>
    <m/>
    <n v="0.66666666666666663"/>
    <n v="0.66666666666666663"/>
    <n v="0.66666666666666663"/>
    <m/>
    <m/>
    <m/>
    <m/>
    <m/>
    <m/>
    <m/>
    <m/>
    <m/>
    <m/>
    <m/>
    <m/>
    <m/>
    <m/>
    <m/>
    <m/>
    <m/>
    <n v="2"/>
    <n v="2"/>
  </r>
  <r>
    <n v="6088"/>
    <x v="2"/>
    <s v="2019/2116"/>
    <s v="118 Upper Tooting Road"/>
    <m/>
    <n v="527736"/>
    <n v="172067"/>
    <x v="1"/>
    <m/>
    <m/>
    <n v="0"/>
    <n v="1"/>
    <n v="1"/>
    <n v="1"/>
    <n v="1"/>
    <x v="0"/>
    <s v="Alterations in connection with change of use of part of ground floor from retail (Class A1) to residential (Class C3) to provide 1 x studio flat with associated cycle and refuse storage."/>
    <s v="PF"/>
    <d v="2019-05-15T00:00:00"/>
    <d v="2019-11-19T00:00:00"/>
    <x v="1"/>
    <s v="Nil"/>
    <m/>
    <s v="BF"/>
    <s v="COU"/>
    <x v="0"/>
    <x v="4"/>
    <n v="3.0000000260770299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6149"/>
    <x v="2"/>
    <s v="2018/0563"/>
    <s v="8 Ravensbury Terrace"/>
    <m/>
    <n v="525867"/>
    <n v="172948"/>
    <x v="14"/>
    <m/>
    <m/>
    <n v="0"/>
    <n v="9"/>
    <n v="9"/>
    <n v="9"/>
    <n v="9"/>
    <x v="0"/>
    <s v="Demolition of existing buildings and erection of a part 1, part 3, part 4-storey building to accommodate 9 residential dwellings (1x 1-bedroom, 7 x 2-bedroom and 1 x 3-bedroom units) and 344sq.m  of business floorspace (Class B1 use), with associated landscaping, cycle and refuse storage, and works to the river wall"/>
    <s v="PFLA"/>
    <d v="2018-02-15T00:00:00"/>
    <d v="2019-03-29T00:00:00"/>
    <x v="0"/>
    <s v="Nil"/>
    <m/>
    <s v="BF"/>
    <s v="NB"/>
    <x v="0"/>
    <x v="5"/>
    <n v="5.0999999999999997E-2"/>
    <m/>
    <x v="0"/>
    <m/>
    <x v="0"/>
    <s v="M"/>
    <m/>
    <m/>
    <n v="0"/>
    <n v="8"/>
    <n v="0"/>
    <n v="1"/>
    <n v="0"/>
    <n v="1"/>
    <n v="7"/>
    <n v="1"/>
    <n v="0"/>
    <n v="0"/>
    <n v="0"/>
    <n v="0"/>
    <n v="1"/>
    <n v="7"/>
    <n v="1"/>
    <n v="0"/>
    <n v="0"/>
    <n v="0"/>
    <n v="0"/>
    <n v="0"/>
    <n v="0"/>
    <n v="0"/>
    <n v="0"/>
    <n v="0"/>
    <n v="0"/>
    <n v="0"/>
    <n v="0"/>
    <n v="0"/>
    <n v="0"/>
    <n v="0"/>
    <n v="0"/>
    <n v="0"/>
    <x v="0"/>
    <x v="0"/>
    <x v="0"/>
    <x v="0"/>
    <x v="0"/>
    <m/>
    <x v="0"/>
    <x v="1"/>
    <n v="9"/>
    <m/>
    <m/>
    <m/>
    <m/>
    <n v="3"/>
    <n v="3"/>
    <n v="3"/>
    <m/>
    <m/>
    <m/>
    <m/>
    <m/>
    <m/>
    <m/>
    <m/>
    <m/>
    <m/>
    <m/>
    <m/>
    <m/>
    <m/>
    <n v="6"/>
    <n v="9"/>
  </r>
  <r>
    <n v="6161"/>
    <x v="2"/>
    <s v="2015/6454"/>
    <s v="72 Girdwood Road"/>
    <m/>
    <n v="524221"/>
    <n v="173791"/>
    <x v="18"/>
    <m/>
    <m/>
    <n v="1"/>
    <n v="2"/>
    <n v="1"/>
    <n v="2"/>
    <n v="1"/>
    <x v="0"/>
    <s v="Conversion of property into two self-contained flats."/>
    <s v="PF"/>
    <d v="2016-01-06T00:00:00"/>
    <d v="2016-08-18T00:00:00"/>
    <x v="0"/>
    <s v="Nil"/>
    <m/>
    <s v="BF"/>
    <s v="CON"/>
    <x v="0"/>
    <x v="2"/>
    <n v="4.6999998390674598E-2"/>
    <m/>
    <x v="0"/>
    <m/>
    <x v="0"/>
    <s v="M"/>
    <m/>
    <m/>
    <n v="0"/>
    <n v="0"/>
    <n v="0"/>
    <n v="0"/>
    <n v="0"/>
    <n v="1"/>
    <n v="0"/>
    <n v="0"/>
    <n v="0"/>
    <n v="0"/>
    <n v="0"/>
    <n v="0"/>
    <n v="1"/>
    <n v="0"/>
    <n v="0"/>
    <n v="0"/>
    <n v="1"/>
    <n v="0"/>
    <n v="0"/>
    <n v="0"/>
    <n v="0"/>
    <n v="0"/>
    <n v="0"/>
    <n v="-1"/>
    <n v="0"/>
    <n v="0"/>
    <n v="0"/>
    <n v="0"/>
    <n v="0"/>
    <n v="0"/>
    <n v="0"/>
    <n v="0"/>
    <x v="0"/>
    <x v="0"/>
    <x v="0"/>
    <x v="0"/>
    <x v="0"/>
    <m/>
    <x v="0"/>
    <x v="0"/>
    <n v="15"/>
    <m/>
    <n v="0.33333333333333331"/>
    <n v="0.33333333333333331"/>
    <n v="0.33333333333333331"/>
    <m/>
    <m/>
    <m/>
    <m/>
    <m/>
    <m/>
    <m/>
    <m/>
    <m/>
    <m/>
    <m/>
    <m/>
    <m/>
    <m/>
    <m/>
    <m/>
    <m/>
    <n v="1"/>
    <n v="1"/>
  </r>
  <r>
    <n v="6166"/>
    <x v="2"/>
    <s v="2019/3235"/>
    <s v="958 Garratt Lane"/>
    <m/>
    <n v="527326"/>
    <n v="171532"/>
    <x v="1"/>
    <m/>
    <m/>
    <n v="0"/>
    <n v="1"/>
    <n v="1"/>
    <n v="1"/>
    <n v="1"/>
    <x v="0"/>
    <s v="Erection of a two-storey 3-bedroom house fronting Garratt Terrace, with single-storey rear extension and the subdivision of the garden of 958 Garratt Lane and associated refuse and cycle storage."/>
    <s v="PF"/>
    <d v="2019-08-13T00:00:00"/>
    <d v="2019-09-25T00:00:00"/>
    <x v="1"/>
    <s v="Nil"/>
    <m/>
    <s v="Gdn"/>
    <s v="NB"/>
    <x v="0"/>
    <x v="5"/>
    <n v="8.9999996125698107E-3"/>
    <m/>
    <x v="0"/>
    <m/>
    <x v="0"/>
    <s v="M"/>
    <m/>
    <m/>
    <n v="0"/>
    <n v="0"/>
    <n v="0"/>
    <n v="0"/>
    <n v="0"/>
    <n v="0"/>
    <n v="0"/>
    <n v="1"/>
    <n v="0"/>
    <n v="0"/>
    <n v="0"/>
    <n v="0"/>
    <n v="0"/>
    <n v="0"/>
    <n v="0"/>
    <n v="0"/>
    <n v="0"/>
    <n v="0"/>
    <n v="0"/>
    <n v="0"/>
    <n v="0"/>
    <n v="1"/>
    <n v="0"/>
    <n v="0"/>
    <n v="0"/>
    <n v="0"/>
    <n v="0"/>
    <n v="0"/>
    <n v="0"/>
    <n v="0"/>
    <n v="0"/>
    <n v="0"/>
    <x v="0"/>
    <x v="0"/>
    <x v="0"/>
    <x v="0"/>
    <x v="0"/>
    <m/>
    <x v="0"/>
    <x v="0"/>
    <n v="6"/>
    <m/>
    <m/>
    <n v="0.25"/>
    <n v="0.25"/>
    <n v="0.25"/>
    <n v="0.25"/>
    <m/>
    <m/>
    <m/>
    <m/>
    <m/>
    <m/>
    <m/>
    <m/>
    <m/>
    <m/>
    <m/>
    <m/>
    <m/>
    <m/>
    <m/>
    <n v="1"/>
    <n v="1"/>
  </r>
  <r>
    <n v="6167"/>
    <x v="2"/>
    <s v="2018/5658"/>
    <s v="Garages between 23 &amp; 25, Darley Road"/>
    <m/>
    <n v="527551"/>
    <n v="174388"/>
    <x v="4"/>
    <m/>
    <m/>
    <n v="0"/>
    <n v="1"/>
    <n v="1"/>
    <n v="1"/>
    <n v="1"/>
    <x v="0"/>
    <s v="Demolition of existing garages and erection of two-storey(plus basement) 4-bedroom house with associated refuse and cycle storage."/>
    <s v="PF"/>
    <d v="2018-12-05T00:00:00"/>
    <d v="2019-05-02T00:00:00"/>
    <x v="1"/>
    <s v="Nil"/>
    <m/>
    <s v="BF"/>
    <s v="NB"/>
    <x v="0"/>
    <x v="5"/>
    <n v="1.7999999225139601E-2"/>
    <m/>
    <x v="0"/>
    <m/>
    <x v="0"/>
    <s v="M"/>
    <m/>
    <m/>
    <n v="0"/>
    <n v="0"/>
    <n v="0"/>
    <n v="0"/>
    <n v="0"/>
    <n v="0"/>
    <n v="0"/>
    <n v="0"/>
    <n v="1"/>
    <n v="0"/>
    <n v="0"/>
    <n v="0"/>
    <n v="0"/>
    <n v="0"/>
    <n v="0"/>
    <n v="0"/>
    <n v="0"/>
    <n v="0"/>
    <n v="0"/>
    <n v="0"/>
    <n v="0"/>
    <n v="0"/>
    <n v="1"/>
    <n v="0"/>
    <n v="0"/>
    <n v="0"/>
    <n v="0"/>
    <n v="0"/>
    <n v="0"/>
    <n v="0"/>
    <n v="0"/>
    <n v="0"/>
    <x v="0"/>
    <x v="0"/>
    <x v="0"/>
    <x v="0"/>
    <x v="0"/>
    <m/>
    <x v="0"/>
    <x v="0"/>
    <n v="6"/>
    <m/>
    <m/>
    <n v="0.25"/>
    <n v="0.25"/>
    <n v="0.25"/>
    <n v="0.25"/>
    <m/>
    <m/>
    <m/>
    <m/>
    <m/>
    <m/>
    <m/>
    <m/>
    <m/>
    <m/>
    <m/>
    <m/>
    <m/>
    <m/>
    <m/>
    <n v="1"/>
    <n v="1"/>
  </r>
  <r>
    <n v="6176"/>
    <x v="2"/>
    <s v="2015/7497"/>
    <s v="31 Eckstein Road"/>
    <m/>
    <n v="527289"/>
    <n v="175257"/>
    <x v="4"/>
    <m/>
    <m/>
    <n v="1"/>
    <n v="3"/>
    <n v="2"/>
    <n v="3"/>
    <n v="2"/>
    <x v="0"/>
    <s v="Extensions and alterations in connection with the use of property as 1 x one-bedroom and 2 x three-bedroom flats. Erection of mansard roof extension to main rear roof (with French doors and safety railings) and above part of two-storey back addition, formation of roof terrace above two-storey back addition with 1.7m high screen surround, erection of single-storey rear/side extension."/>
    <s v="PF"/>
    <d v="2016-01-26T00:00:00"/>
    <d v="2016-07-19T00:00:00"/>
    <x v="0"/>
    <s v="Nil"/>
    <m/>
    <s v="BF"/>
    <s v="MIX"/>
    <x v="0"/>
    <x v="2"/>
    <n v="1.30000002682209E-2"/>
    <m/>
    <x v="0"/>
    <m/>
    <x v="0"/>
    <s v="M"/>
    <m/>
    <m/>
    <n v="0"/>
    <n v="0"/>
    <n v="0"/>
    <n v="0"/>
    <n v="0"/>
    <n v="1"/>
    <n v="0"/>
    <n v="2"/>
    <n v="0"/>
    <n v="-1"/>
    <n v="0"/>
    <n v="0"/>
    <n v="1"/>
    <n v="0"/>
    <n v="2"/>
    <n v="0"/>
    <n v="0"/>
    <n v="0"/>
    <n v="0"/>
    <n v="0"/>
    <n v="0"/>
    <n v="0"/>
    <n v="0"/>
    <n v="-1"/>
    <n v="0"/>
    <n v="0"/>
    <n v="0"/>
    <n v="0"/>
    <n v="0"/>
    <n v="0"/>
    <n v="0"/>
    <n v="0"/>
    <x v="0"/>
    <x v="0"/>
    <x v="0"/>
    <x v="0"/>
    <x v="0"/>
    <m/>
    <x v="0"/>
    <x v="0"/>
    <n v="15"/>
    <m/>
    <n v="0.66666666666666663"/>
    <n v="0.66666666666666663"/>
    <n v="0.66666666666666663"/>
    <m/>
    <m/>
    <m/>
    <m/>
    <m/>
    <m/>
    <m/>
    <m/>
    <m/>
    <m/>
    <m/>
    <m/>
    <m/>
    <m/>
    <m/>
    <m/>
    <m/>
    <n v="2"/>
    <n v="2"/>
  </r>
  <r>
    <n v="6177"/>
    <x v="2"/>
    <s v="2018/0255"/>
    <s v="47 Yvon House, Alexandra Avenue"/>
    <m/>
    <n v="528158"/>
    <n v="176681"/>
    <x v="12"/>
    <m/>
    <m/>
    <n v="1"/>
    <n v="2"/>
    <n v="1"/>
    <n v="2"/>
    <n v="1"/>
    <x v="0"/>
    <s v="Alterations in connection with conversion of existing flat into 1 x  2-bedroom and 1 x 3-bedroom flats and the creation of a roof terrace at third floor level."/>
    <s v="PF"/>
    <d v="2018-01-26T00:00:00"/>
    <d v="2018-03-23T00:00:00"/>
    <x v="0"/>
    <s v="Nil"/>
    <m/>
    <s v="BF"/>
    <s v="CON"/>
    <x v="0"/>
    <x v="0"/>
    <n v="1.30000002682209E-2"/>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180"/>
    <x v="2"/>
    <s v="2015/6929"/>
    <s v="Ground floor, 72 Upper Tooting Road"/>
    <m/>
    <n v="527804"/>
    <n v="172172"/>
    <x v="1"/>
    <m/>
    <m/>
    <n v="0"/>
    <n v="1"/>
    <n v="1"/>
    <n v="1"/>
    <n v="1"/>
    <x v="0"/>
    <s v="Erection of single-storey rear extension to create 1 x 2-bedroom flat (Corresponding Listed Building Reference Number 2016/0793)."/>
    <s v="PF"/>
    <d v="2016-02-09T00:00:00"/>
    <d v="2016-06-14T00:00:00"/>
    <x v="0"/>
    <s v="Nil"/>
    <m/>
    <s v="BF"/>
    <s v="MIX"/>
    <x v="0"/>
    <x v="4"/>
    <n v="6.0000000521540598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188"/>
    <x v="2"/>
    <s v="2017/4253"/>
    <s v="Earlsfield House, 1 Swaffield Road"/>
    <m/>
    <n v="525924"/>
    <n v="173800"/>
    <x v="8"/>
    <m/>
    <m/>
    <n v="0"/>
    <n v="4"/>
    <n v="4"/>
    <n v="5"/>
    <n v="5"/>
    <x v="0"/>
    <s v="Erection of a three-storey side extension to provide a 3-bedroom town house with alterations as part of change of use of Earlsfield House to provide 4 x 2-bedroom residential units."/>
    <s v="PF"/>
    <d v="2017-08-14T00:00:00"/>
    <d v="2017-10-19T00:00:00"/>
    <x v="0"/>
    <s v="Nil"/>
    <m/>
    <s v="BF"/>
    <s v="MIX"/>
    <x v="0"/>
    <x v="6"/>
    <n v="2.60000005364418E-2"/>
    <m/>
    <x v="0"/>
    <m/>
    <x v="0"/>
    <s v="M"/>
    <m/>
    <m/>
    <n v="0"/>
    <n v="0"/>
    <n v="0"/>
    <n v="0"/>
    <n v="0"/>
    <n v="0"/>
    <n v="4"/>
    <n v="0"/>
    <n v="0"/>
    <n v="0"/>
    <n v="0"/>
    <n v="0"/>
    <n v="0"/>
    <n v="4"/>
    <n v="0"/>
    <n v="0"/>
    <n v="0"/>
    <n v="0"/>
    <n v="0"/>
    <n v="0"/>
    <n v="0"/>
    <n v="0"/>
    <n v="0"/>
    <n v="0"/>
    <n v="0"/>
    <n v="0"/>
    <n v="0"/>
    <n v="0"/>
    <n v="0"/>
    <n v="0"/>
    <n v="0"/>
    <n v="0"/>
    <x v="0"/>
    <x v="0"/>
    <x v="0"/>
    <x v="0"/>
    <x v="0"/>
    <m/>
    <x v="0"/>
    <x v="1"/>
    <n v="15"/>
    <m/>
    <n v="1.3333333333333333"/>
    <n v="1.3333333333333333"/>
    <n v="1.3333333333333333"/>
    <m/>
    <m/>
    <m/>
    <m/>
    <m/>
    <m/>
    <m/>
    <m/>
    <m/>
    <m/>
    <m/>
    <m/>
    <m/>
    <m/>
    <m/>
    <m/>
    <m/>
    <n v="4"/>
    <n v="4"/>
  </r>
  <r>
    <n v="6188"/>
    <x v="2"/>
    <s v="2017/4253"/>
    <s v="Earlsfield House, 1 Swaffield Road"/>
    <m/>
    <n v="525924"/>
    <n v="173800"/>
    <x v="8"/>
    <m/>
    <m/>
    <n v="0"/>
    <n v="1"/>
    <n v="1"/>
    <n v="5"/>
    <n v="5"/>
    <x v="0"/>
    <s v="Erection of a three-storey side extension to provide a 3-bedroom town house with alterations as part of change of use of Earlsfield House to provide 4 x 2-bedroom residential units."/>
    <s v="PF"/>
    <d v="2017-08-14T00:00:00"/>
    <d v="2017-10-19T00:00:00"/>
    <x v="0"/>
    <s v="Nil"/>
    <m/>
    <s v="BF"/>
    <s v="MIX"/>
    <x v="0"/>
    <x v="5"/>
    <n v="1.2000000104308101E-2"/>
    <m/>
    <x v="0"/>
    <m/>
    <x v="0"/>
    <s v="M"/>
    <m/>
    <m/>
    <n v="0"/>
    <n v="0"/>
    <n v="0"/>
    <n v="0"/>
    <n v="0"/>
    <n v="0"/>
    <n v="0"/>
    <n v="1"/>
    <n v="0"/>
    <n v="0"/>
    <n v="0"/>
    <n v="0"/>
    <n v="0"/>
    <n v="0"/>
    <n v="0"/>
    <n v="0"/>
    <n v="0"/>
    <n v="0"/>
    <n v="0"/>
    <n v="0"/>
    <n v="0"/>
    <n v="1"/>
    <n v="0"/>
    <n v="0"/>
    <n v="0"/>
    <n v="0"/>
    <n v="0"/>
    <n v="0"/>
    <n v="0"/>
    <n v="0"/>
    <n v="0"/>
    <n v="0"/>
    <x v="0"/>
    <x v="0"/>
    <x v="0"/>
    <x v="0"/>
    <x v="0"/>
    <m/>
    <x v="0"/>
    <x v="1"/>
    <n v="15"/>
    <m/>
    <n v="0.33333333333333331"/>
    <n v="0.33333333333333331"/>
    <n v="0.33333333333333331"/>
    <m/>
    <m/>
    <m/>
    <m/>
    <m/>
    <m/>
    <m/>
    <m/>
    <m/>
    <m/>
    <m/>
    <m/>
    <m/>
    <m/>
    <m/>
    <m/>
    <m/>
    <n v="1"/>
    <n v="1"/>
  </r>
  <r>
    <n v="6196"/>
    <x v="2"/>
    <s v="2018/0917"/>
    <s v="Land adjacent, 80 Manville Road"/>
    <m/>
    <n v="528701"/>
    <n v="172342"/>
    <x v="19"/>
    <m/>
    <m/>
    <n v="0"/>
    <n v="1"/>
    <n v="1"/>
    <n v="1"/>
    <n v="1"/>
    <x v="0"/>
    <s v="Demolition of existing garage and erection of part single, part two-storey (plus basement) 3-bedroom detached house with associated landscaping, boundary treatment, cycle, refuse storage and car parking."/>
    <s v="PF"/>
    <d v="2018-03-06T00:00:00"/>
    <d v="2018-05-30T00:00:00"/>
    <x v="0"/>
    <s v="Nil"/>
    <m/>
    <s v="BF"/>
    <s v="NB"/>
    <x v="0"/>
    <x v="5"/>
    <n v="8.9999996125698107E-3"/>
    <m/>
    <x v="0"/>
    <m/>
    <x v="0"/>
    <s v="M"/>
    <m/>
    <m/>
    <n v="0"/>
    <n v="0"/>
    <n v="0"/>
    <n v="0"/>
    <n v="0"/>
    <n v="0"/>
    <n v="0"/>
    <n v="1"/>
    <n v="0"/>
    <n v="0"/>
    <n v="0"/>
    <n v="0"/>
    <n v="0"/>
    <n v="0"/>
    <n v="0"/>
    <n v="0"/>
    <n v="0"/>
    <n v="0"/>
    <n v="0"/>
    <n v="0"/>
    <n v="0"/>
    <n v="1"/>
    <n v="0"/>
    <n v="0"/>
    <n v="0"/>
    <n v="0"/>
    <n v="0"/>
    <n v="0"/>
    <n v="0"/>
    <n v="0"/>
    <n v="0"/>
    <n v="0"/>
    <x v="0"/>
    <x v="0"/>
    <x v="0"/>
    <x v="0"/>
    <x v="0"/>
    <m/>
    <x v="0"/>
    <x v="0"/>
    <n v="6"/>
    <m/>
    <m/>
    <n v="0.25"/>
    <n v="0.25"/>
    <n v="0.25"/>
    <n v="0.25"/>
    <m/>
    <m/>
    <m/>
    <m/>
    <m/>
    <m/>
    <m/>
    <m/>
    <m/>
    <m/>
    <m/>
    <m/>
    <m/>
    <m/>
    <m/>
    <n v="1"/>
    <n v="1"/>
  </r>
  <r>
    <n v="6198"/>
    <x v="2"/>
    <s v="2018/5492"/>
    <s v="34 Roehampton Gate"/>
    <m/>
    <n v="521202"/>
    <n v="174373"/>
    <x v="13"/>
    <m/>
    <m/>
    <n v="1"/>
    <n v="1"/>
    <n v="0"/>
    <n v="1"/>
    <n v="0"/>
    <x v="0"/>
    <s v="Demolition of existing dwelling and erection of a two-storey house with additional accommodation within the roofspace and at basement level."/>
    <s v="PF"/>
    <d v="2018-11-19T00:00:00"/>
    <d v="2019-01-21T00:00:00"/>
    <x v="0"/>
    <s v="Nil"/>
    <m/>
    <s v="BF"/>
    <s v="NB"/>
    <x v="0"/>
    <x v="5"/>
    <n v="6.4999997615814195E-2"/>
    <m/>
    <x v="0"/>
    <m/>
    <x v="0"/>
    <s v="M"/>
    <m/>
    <m/>
    <n v="0"/>
    <n v="0"/>
    <n v="0"/>
    <n v="0"/>
    <n v="0"/>
    <n v="0"/>
    <n v="0"/>
    <n v="0"/>
    <n v="-1"/>
    <n v="1"/>
    <n v="0"/>
    <n v="0"/>
    <n v="0"/>
    <n v="0"/>
    <n v="0"/>
    <n v="0"/>
    <n v="0"/>
    <n v="0"/>
    <n v="0"/>
    <n v="0"/>
    <n v="0"/>
    <n v="0"/>
    <n v="-1"/>
    <n v="1"/>
    <n v="0"/>
    <n v="0"/>
    <n v="0"/>
    <n v="0"/>
    <n v="0"/>
    <n v="0"/>
    <n v="0"/>
    <n v="0"/>
    <x v="0"/>
    <x v="0"/>
    <x v="0"/>
    <x v="0"/>
    <x v="0"/>
    <m/>
    <x v="0"/>
    <x v="0"/>
    <n v="6"/>
    <m/>
    <m/>
    <n v="0"/>
    <n v="0"/>
    <n v="0"/>
    <n v="0"/>
    <m/>
    <m/>
    <m/>
    <m/>
    <m/>
    <m/>
    <m/>
    <m/>
    <m/>
    <m/>
    <m/>
    <m/>
    <m/>
    <m/>
    <m/>
    <n v="0"/>
    <n v="0"/>
  </r>
  <r>
    <n v="6212"/>
    <x v="2"/>
    <s v="2016/2408"/>
    <s v="Land rear of, 117 Fernlea Road"/>
    <m/>
    <n v="529084"/>
    <n v="173102"/>
    <x v="6"/>
    <m/>
    <m/>
    <n v="1"/>
    <n v="3"/>
    <n v="2"/>
    <n v="3"/>
    <n v="2"/>
    <x v="0"/>
    <s v="Alterations including erection of dormer roof extension to main rear roof and formation of rear roof terrace above three storey back addition with 1.7m high screen surround; erection of two-storey rear extension; erection of single storey side/rear extension; alterations to front lightwell and rear lightwell; installation of side access staircase and conversion of property to 1 x 4-bedroom, 1 x 2-bedroom and 1 x 1-bedroom flats."/>
    <s v="PF"/>
    <d v="2016-04-26T00:00:00"/>
    <d v="2016-06-21T00:00:00"/>
    <x v="0"/>
    <s v="Nil"/>
    <m/>
    <s v="BF"/>
    <s v="MIX"/>
    <x v="0"/>
    <x v="2"/>
    <n v="2.5000000372528999E-2"/>
    <m/>
    <x v="0"/>
    <m/>
    <x v="0"/>
    <s v="M"/>
    <m/>
    <m/>
    <n v="0"/>
    <n v="0"/>
    <n v="0"/>
    <n v="0"/>
    <n v="0"/>
    <n v="1"/>
    <n v="1"/>
    <n v="1"/>
    <n v="-1"/>
    <n v="0"/>
    <n v="0"/>
    <n v="0"/>
    <n v="1"/>
    <n v="1"/>
    <n v="1"/>
    <n v="0"/>
    <n v="0"/>
    <n v="0"/>
    <n v="0"/>
    <n v="0"/>
    <n v="0"/>
    <n v="0"/>
    <n v="-1"/>
    <n v="0"/>
    <n v="0"/>
    <n v="0"/>
    <n v="0"/>
    <n v="0"/>
    <n v="0"/>
    <n v="0"/>
    <n v="0"/>
    <n v="0"/>
    <x v="0"/>
    <x v="0"/>
    <x v="0"/>
    <x v="0"/>
    <x v="0"/>
    <m/>
    <x v="0"/>
    <x v="0"/>
    <n v="15"/>
    <m/>
    <n v="0.66666666666666663"/>
    <n v="0.66666666666666663"/>
    <n v="0.66666666666666663"/>
    <m/>
    <m/>
    <m/>
    <m/>
    <m/>
    <m/>
    <m/>
    <m/>
    <m/>
    <m/>
    <m/>
    <m/>
    <m/>
    <m/>
    <m/>
    <m/>
    <m/>
    <n v="2"/>
    <n v="2"/>
  </r>
  <r>
    <n v="6212"/>
    <x v="2"/>
    <s v="2018/0885"/>
    <s v="Land rear of, 117 Fernlea Road"/>
    <m/>
    <n v="529084"/>
    <n v="173102"/>
    <x v="6"/>
    <m/>
    <m/>
    <n v="0"/>
    <n v="1"/>
    <n v="1"/>
    <n v="1"/>
    <n v="1"/>
    <x v="0"/>
    <s v="Demolition of existing garage fronting Cavendish Road and erection of a single storey (plus basement and roof) 3-bedroom detached house, formation of lightwells and refuse storage."/>
    <s v="PF"/>
    <d v="2018-03-01T00:00:00"/>
    <d v="2018-04-20T00:00:00"/>
    <x v="0"/>
    <s v="Nil"/>
    <m/>
    <s v="BF"/>
    <s v="NB"/>
    <x v="0"/>
    <x v="5"/>
    <n v="2.5000000372528999E-2"/>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6214"/>
    <x v="2"/>
    <s v="2016/1299"/>
    <s v="14 Roedean Crescent"/>
    <m/>
    <n v="521143"/>
    <n v="174601"/>
    <x v="13"/>
    <m/>
    <m/>
    <n v="1"/>
    <n v="1"/>
    <n v="0"/>
    <n v="1"/>
    <n v="0"/>
    <x v="0"/>
    <s v="Demolition of existing house and erection of a two-storey 6-bedroom detached house with accommodation at roof level. New front boundary treatment."/>
    <s v="PF"/>
    <d v="2016-04-28T00:00:00"/>
    <d v="2016-06-23T00:00:00"/>
    <x v="0"/>
    <s v="Nil"/>
    <m/>
    <s v="BF"/>
    <s v="NB"/>
    <x v="0"/>
    <x v="5"/>
    <n v="0.125"/>
    <m/>
    <x v="0"/>
    <m/>
    <x v="0"/>
    <s v="M"/>
    <m/>
    <m/>
    <n v="1"/>
    <n v="0"/>
    <n v="0"/>
    <n v="0"/>
    <n v="0"/>
    <n v="0"/>
    <n v="0"/>
    <n v="0"/>
    <n v="0"/>
    <n v="0"/>
    <n v="0"/>
    <n v="0"/>
    <n v="0"/>
    <n v="0"/>
    <n v="0"/>
    <n v="0"/>
    <n v="0"/>
    <n v="0"/>
    <n v="0"/>
    <n v="0"/>
    <n v="0"/>
    <n v="0"/>
    <n v="0"/>
    <n v="0"/>
    <n v="0"/>
    <n v="0"/>
    <n v="0"/>
    <n v="0"/>
    <n v="0"/>
    <n v="0"/>
    <n v="0"/>
    <n v="0"/>
    <x v="0"/>
    <x v="0"/>
    <x v="0"/>
    <x v="0"/>
    <x v="0"/>
    <m/>
    <x v="0"/>
    <x v="0"/>
    <n v="6"/>
    <m/>
    <m/>
    <n v="0"/>
    <n v="0"/>
    <n v="0"/>
    <n v="0"/>
    <m/>
    <m/>
    <m/>
    <m/>
    <m/>
    <m/>
    <m/>
    <m/>
    <m/>
    <m/>
    <m/>
    <m/>
    <m/>
    <m/>
    <m/>
    <n v="0"/>
    <n v="0"/>
  </r>
  <r>
    <n v="6218"/>
    <x v="2"/>
    <s v="2019/4845"/>
    <s v="Land rear of 20-28, Taybridge Road"/>
    <m/>
    <n v="528378"/>
    <n v="175632"/>
    <x v="9"/>
    <m/>
    <m/>
    <n v="0"/>
    <n v="1"/>
    <n v="1"/>
    <n v="1"/>
    <n v="1"/>
    <x v="0"/>
    <s v="Erection of 1 x 6-bedroom single storey dwellinghouse (plus basement level and lightwells), with vehicle access and front boundary treatment, garden room/cycle store (amendments to planning permissions ref. 2016/7269)."/>
    <s v="PF"/>
    <d v="2019-12-05T00:00:00"/>
    <d v="2020-01-24T00:00:00"/>
    <x v="1"/>
    <s v="Nil"/>
    <m/>
    <s v="BF"/>
    <s v="NB"/>
    <x v="0"/>
    <x v="5"/>
    <n v="5.2999999374151202E-2"/>
    <m/>
    <x v="0"/>
    <m/>
    <x v="0"/>
    <s v="M"/>
    <m/>
    <m/>
    <n v="1"/>
    <n v="0"/>
    <n v="0"/>
    <n v="0"/>
    <n v="0"/>
    <n v="0"/>
    <n v="0"/>
    <n v="0"/>
    <n v="0"/>
    <n v="1"/>
    <n v="0"/>
    <n v="0"/>
    <n v="0"/>
    <n v="0"/>
    <n v="0"/>
    <n v="0"/>
    <n v="0"/>
    <n v="0"/>
    <n v="0"/>
    <n v="0"/>
    <n v="0"/>
    <n v="0"/>
    <n v="0"/>
    <n v="1"/>
    <n v="0"/>
    <n v="0"/>
    <n v="0"/>
    <n v="0"/>
    <n v="0"/>
    <n v="0"/>
    <n v="0"/>
    <n v="0"/>
    <x v="0"/>
    <x v="0"/>
    <x v="0"/>
    <x v="0"/>
    <x v="0"/>
    <m/>
    <x v="0"/>
    <x v="0"/>
    <n v="6"/>
    <m/>
    <m/>
    <n v="0.25"/>
    <n v="0.25"/>
    <n v="0.25"/>
    <n v="0.25"/>
    <m/>
    <m/>
    <m/>
    <m/>
    <m/>
    <m/>
    <m/>
    <m/>
    <m/>
    <m/>
    <m/>
    <m/>
    <m/>
    <m/>
    <m/>
    <n v="1"/>
    <n v="1"/>
  </r>
  <r>
    <n v="6221"/>
    <x v="2"/>
    <s v="2019/2479"/>
    <s v="67-85 Aslett Street"/>
    <m/>
    <n v="526099"/>
    <n v="173957"/>
    <x v="17"/>
    <m/>
    <m/>
    <n v="0"/>
    <n v="7"/>
    <n v="7"/>
    <n v="11"/>
    <n v="7"/>
    <x v="1"/>
    <s v="Erection of front and rear roof extensions with terrace to rear to 67 - 85 Aslett Street, in connection with the creation of 7 additional 2-bedroom units. Other alterations to include relocation of existing rear windows at first floor level; installation of new entrance door and timber pedestrian gate at ground floor level and replacement of existing metal gates to electronic gates to match existing) and amendment ot the rear obscure glass balustrade from 1.1 m to 1.7 m in height (same description as application ref: 2016/1393)"/>
    <s v="PF"/>
    <d v="2019-06-27T00:00:00"/>
    <d v="2019-08-23T00:00:00"/>
    <x v="1"/>
    <s v="Nil"/>
    <m/>
    <s v="BF"/>
    <s v="MIX"/>
    <x v="0"/>
    <x v="3"/>
    <n v="3.20000015199184E-2"/>
    <m/>
    <x v="0"/>
    <m/>
    <x v="0"/>
    <s v="M"/>
    <m/>
    <m/>
    <n v="0"/>
    <n v="0"/>
    <n v="0"/>
    <n v="0"/>
    <n v="0"/>
    <n v="0"/>
    <n v="7"/>
    <n v="0"/>
    <n v="0"/>
    <n v="0"/>
    <n v="0"/>
    <n v="0"/>
    <n v="0"/>
    <n v="7"/>
    <n v="0"/>
    <n v="0"/>
    <n v="0"/>
    <n v="0"/>
    <n v="0"/>
    <n v="0"/>
    <n v="0"/>
    <n v="0"/>
    <n v="0"/>
    <n v="0"/>
    <n v="0"/>
    <n v="0"/>
    <n v="0"/>
    <n v="0"/>
    <n v="0"/>
    <n v="0"/>
    <n v="0"/>
    <n v="0"/>
    <x v="0"/>
    <x v="0"/>
    <x v="0"/>
    <x v="0"/>
    <x v="0"/>
    <m/>
    <x v="0"/>
    <x v="0"/>
    <n v="18"/>
    <m/>
    <m/>
    <n v="1.75"/>
    <n v="1.75"/>
    <n v="1.75"/>
    <n v="1.75"/>
    <m/>
    <m/>
    <m/>
    <m/>
    <m/>
    <m/>
    <m/>
    <m/>
    <m/>
    <m/>
    <m/>
    <m/>
    <m/>
    <m/>
    <m/>
    <n v="7"/>
    <n v="7"/>
  </r>
  <r>
    <n v="6221"/>
    <x v="2"/>
    <s v="2019/2479"/>
    <s v="67-85 Aslett Street"/>
    <m/>
    <n v="526099"/>
    <n v="173957"/>
    <x v="17"/>
    <m/>
    <m/>
    <n v="4"/>
    <n v="4"/>
    <n v="0"/>
    <n v="11"/>
    <n v="7"/>
    <x v="1"/>
    <s v="Erection of front and rear roof extensions with terrace to rear to 67 - 85 Aslett Street, in connection with the creation of 7 additional 2-bedroom units. Other alterations to include relocation of existing rear windows at first floor level; installation of new entrance door and timber pedestrian gate at ground floor level and replacement of existing metal gates to electronic gates to match existing) and amendment ot the rear obscure glass balustrade from 1.1 m to 1.7 m in height (same description as application ref: 2016/1393)"/>
    <s v="PF"/>
    <d v="2019-06-27T00:00:00"/>
    <d v="2019-08-23T00:00:00"/>
    <x v="1"/>
    <s v="Nil"/>
    <m/>
    <s v="BF"/>
    <s v="MIX"/>
    <x v="0"/>
    <x v="10"/>
    <n v="1.8999999389052401E-2"/>
    <m/>
    <x v="0"/>
    <m/>
    <x v="0"/>
    <s v="M"/>
    <m/>
    <m/>
    <n v="0"/>
    <n v="0"/>
    <n v="0"/>
    <n v="0"/>
    <n v="4"/>
    <n v="-4"/>
    <n v="0"/>
    <n v="0"/>
    <n v="0"/>
    <n v="0"/>
    <n v="0"/>
    <n v="4"/>
    <n v="-4"/>
    <n v="0"/>
    <n v="0"/>
    <n v="0"/>
    <n v="0"/>
    <n v="0"/>
    <n v="0"/>
    <n v="0"/>
    <n v="0"/>
    <n v="0"/>
    <n v="0"/>
    <n v="0"/>
    <n v="0"/>
    <n v="0"/>
    <n v="0"/>
    <n v="0"/>
    <n v="0"/>
    <n v="0"/>
    <n v="0"/>
    <n v="0"/>
    <x v="0"/>
    <x v="0"/>
    <x v="0"/>
    <x v="0"/>
    <x v="0"/>
    <m/>
    <x v="0"/>
    <x v="0"/>
    <n v="18"/>
    <m/>
    <m/>
    <n v="0"/>
    <n v="0"/>
    <n v="0"/>
    <n v="0"/>
    <m/>
    <m/>
    <m/>
    <m/>
    <m/>
    <m/>
    <m/>
    <m/>
    <m/>
    <m/>
    <m/>
    <m/>
    <m/>
    <m/>
    <m/>
    <n v="0"/>
    <n v="0"/>
  </r>
  <r>
    <n v="6223"/>
    <x v="2"/>
    <s v="2016/4839"/>
    <s v="Units 5, 6 and 14 Ransomes Dock Business Centre, 35-37 Parkgate Road (Ransomes Dock Business Centre)"/>
    <m/>
    <n v="527302"/>
    <n v="177164"/>
    <x v="11"/>
    <m/>
    <m/>
    <n v="0"/>
    <n v="4"/>
    <n v="4"/>
    <n v="4"/>
    <n v="4"/>
    <x v="0"/>
    <s v="Determination as to whether prior approval is required for change of use of office  from (Class B1a) to 2 x 2-bedroom and 2 x 1-bedroom residential units (Class C3)."/>
    <s v="PANR"/>
    <d v="2016-08-18T00:00:00"/>
    <d v="2016-10-13T00:00:00"/>
    <x v="0"/>
    <s v="Nil"/>
    <m/>
    <s v="BF"/>
    <s v="COU"/>
    <x v="0"/>
    <x v="6"/>
    <n v="2.19999998807907E-2"/>
    <m/>
    <x v="0"/>
    <m/>
    <x v="0"/>
    <s v="M"/>
    <m/>
    <m/>
    <n v="0"/>
    <n v="0"/>
    <n v="0"/>
    <n v="0"/>
    <n v="0"/>
    <n v="2"/>
    <n v="2"/>
    <n v="0"/>
    <n v="0"/>
    <n v="0"/>
    <n v="0"/>
    <n v="0"/>
    <n v="2"/>
    <n v="2"/>
    <n v="0"/>
    <n v="0"/>
    <n v="0"/>
    <n v="0"/>
    <n v="0"/>
    <n v="0"/>
    <n v="0"/>
    <n v="0"/>
    <n v="0"/>
    <n v="0"/>
    <n v="0"/>
    <n v="0"/>
    <n v="0"/>
    <n v="0"/>
    <n v="0"/>
    <n v="0"/>
    <n v="0"/>
    <n v="0"/>
    <x v="0"/>
    <x v="0"/>
    <x v="0"/>
    <x v="0"/>
    <x v="0"/>
    <m/>
    <x v="1"/>
    <x v="0"/>
    <n v="15"/>
    <m/>
    <n v="1.3333333333333333"/>
    <n v="1.3333333333333333"/>
    <n v="1.3333333333333333"/>
    <m/>
    <m/>
    <m/>
    <m/>
    <m/>
    <m/>
    <m/>
    <m/>
    <m/>
    <m/>
    <m/>
    <m/>
    <m/>
    <m/>
    <m/>
    <m/>
    <m/>
    <n v="4"/>
    <n v="4"/>
  </r>
  <r>
    <n v="6251"/>
    <x v="2"/>
    <s v="2016/1240"/>
    <s v="13 Granard Avenue"/>
    <m/>
    <n v="522836"/>
    <n v="174659"/>
    <x v="15"/>
    <m/>
    <m/>
    <n v="1"/>
    <n v="1"/>
    <n v="0"/>
    <n v="1"/>
    <n v="0"/>
    <x v="0"/>
    <s v="Demolition of existing building and erection of a three-storey (plus basement level) 6-bedroom detached house with front and rear first and second level terraces and associated landscaping. Rebuilding part of front boundary wall including new pedestrian access and associated landscaping."/>
    <s v="PF"/>
    <d v="2016-05-16T00:00:00"/>
    <d v="2016-07-11T00:00:00"/>
    <x v="0"/>
    <s v="Nil"/>
    <m/>
    <s v="BF"/>
    <s v="NB"/>
    <x v="0"/>
    <x v="5"/>
    <n v="5.0999999046325697E-2"/>
    <m/>
    <x v="0"/>
    <m/>
    <x v="0"/>
    <s v="M"/>
    <m/>
    <m/>
    <n v="0"/>
    <n v="0"/>
    <n v="1"/>
    <n v="0"/>
    <n v="0"/>
    <n v="0"/>
    <n v="0"/>
    <n v="-1"/>
    <n v="0"/>
    <n v="1"/>
    <n v="0"/>
    <n v="0"/>
    <n v="0"/>
    <n v="0"/>
    <n v="0"/>
    <n v="0"/>
    <n v="0"/>
    <n v="0"/>
    <n v="0"/>
    <n v="0"/>
    <n v="0"/>
    <n v="-1"/>
    <n v="0"/>
    <n v="1"/>
    <n v="0"/>
    <n v="0"/>
    <n v="0"/>
    <n v="0"/>
    <n v="0"/>
    <n v="0"/>
    <n v="0"/>
    <n v="0"/>
    <x v="0"/>
    <x v="0"/>
    <x v="0"/>
    <x v="0"/>
    <x v="0"/>
    <m/>
    <x v="0"/>
    <x v="0"/>
    <n v="6"/>
    <m/>
    <m/>
    <n v="0"/>
    <n v="0"/>
    <n v="0"/>
    <n v="0"/>
    <m/>
    <m/>
    <m/>
    <m/>
    <m/>
    <m/>
    <m/>
    <m/>
    <m/>
    <m/>
    <m/>
    <m/>
    <m/>
    <m/>
    <m/>
    <n v="0"/>
    <n v="0"/>
  </r>
  <r>
    <n v="6256"/>
    <x v="2"/>
    <s v="2017/0240"/>
    <s v="339 Battersea Park Road"/>
    <m/>
    <n v="528092"/>
    <n v="176612"/>
    <x v="16"/>
    <m/>
    <m/>
    <n v="0"/>
    <n v="3"/>
    <n v="3"/>
    <n v="3"/>
    <n v="3"/>
    <x v="0"/>
    <s v="Demolition of two storey back addition and alterations to rear of public house, erection of 3 storey (plus basement) building at the rear to provide 3 x 2-bedroom and roof terrace (amendments to withdrawn application ref. 2016/6171 to reduce the height of the rear building by one storey and remove previously proposed flats at first floor level of public house)."/>
    <s v="PF"/>
    <d v="2017-01-17T00:00:00"/>
    <d v="2017-02-27T00:00:00"/>
    <x v="0"/>
    <s v="Nil"/>
    <m/>
    <s v="BF"/>
    <s v="NB"/>
    <x v="0"/>
    <x v="5"/>
    <n v="1.4000000432133701E-2"/>
    <m/>
    <x v="0"/>
    <m/>
    <x v="0"/>
    <s v="M"/>
    <m/>
    <m/>
    <n v="0"/>
    <n v="0"/>
    <n v="0"/>
    <n v="0"/>
    <n v="0"/>
    <n v="0"/>
    <n v="3"/>
    <n v="0"/>
    <n v="0"/>
    <n v="0"/>
    <n v="0"/>
    <n v="0"/>
    <n v="0"/>
    <n v="3"/>
    <n v="0"/>
    <n v="0"/>
    <n v="0"/>
    <n v="0"/>
    <n v="0"/>
    <n v="0"/>
    <n v="0"/>
    <n v="0"/>
    <n v="0"/>
    <n v="0"/>
    <n v="0"/>
    <n v="0"/>
    <n v="0"/>
    <n v="0"/>
    <n v="0"/>
    <n v="0"/>
    <n v="0"/>
    <n v="0"/>
    <x v="0"/>
    <x v="0"/>
    <x v="0"/>
    <x v="0"/>
    <x v="0"/>
    <m/>
    <x v="0"/>
    <x v="0"/>
    <n v="6"/>
    <m/>
    <m/>
    <n v="0.75"/>
    <n v="0.75"/>
    <n v="0.75"/>
    <n v="0.75"/>
    <m/>
    <m/>
    <m/>
    <m/>
    <m/>
    <m/>
    <m/>
    <m/>
    <m/>
    <m/>
    <m/>
    <m/>
    <m/>
    <m/>
    <m/>
    <n v="3"/>
    <n v="3"/>
  </r>
  <r>
    <n v="6279"/>
    <x v="2"/>
    <s v="2016/4830"/>
    <s v="6 Princes Way"/>
    <m/>
    <n v="523783"/>
    <n v="173677"/>
    <x v="18"/>
    <m/>
    <m/>
    <n v="0"/>
    <n v="1"/>
    <n v="1"/>
    <n v="1"/>
    <n v="1"/>
    <x v="0"/>
    <s v="Alterations including erection of side and rear roof extensions to main roof including raising the ridge by 0.6m. in connection with the use as 1 x 1-bedroom flat"/>
    <s v="PF"/>
    <d v="2016-10-03T00:00:00"/>
    <d v="2016-12-15T00:00:00"/>
    <x v="0"/>
    <s v="Nil"/>
    <m/>
    <s v="BF"/>
    <s v="EXT"/>
    <x v="0"/>
    <x v="3"/>
    <n v="7.000000216066839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284"/>
    <x v="2"/>
    <s v="2017/1458"/>
    <s v="1-9 Church row (part of Phase 3 Ram Brewery), Wandsworth Plain"/>
    <m/>
    <n v="525537"/>
    <n v="174739"/>
    <x v="2"/>
    <m/>
    <m/>
    <n v="0"/>
    <n v="34"/>
    <n v="34"/>
    <n v="50"/>
    <n v="50"/>
    <x v="1"/>
    <s v="Demolition of existing warehouse buildings and erection of a 2 - 6 storey building comprising 34 x residential (Class C3) units, flexible commercial floorspace (Class A1/A2/A3/A4) and office space (Class B1a) at ground floor; restoration works, alterations and rear extensions to existing 1-9 Church Row Listed Buildings to enable the change of use from office (Class B1) to residential (Class C3) comprising 1 x dwellinghouse and 15 x flats; provision of associated landscaping, refuse storage and cycle parking; and public access to the River Wandle from Wandsworth Plain._x000d__x000a__x000d__x000a_For Listed Building Consent refer to planning application reference number: 2017/1847."/>
    <s v="PFLA"/>
    <d v="2017-03-10T00:00:00"/>
    <d v="2017-11-30T00:00:00"/>
    <x v="0"/>
    <s v="Nil"/>
    <m/>
    <s v="BF"/>
    <s v="NB"/>
    <x v="1"/>
    <x v="7"/>
    <n v="0.17499999701976801"/>
    <m/>
    <x v="0"/>
    <m/>
    <x v="0"/>
    <s v="M"/>
    <s v="3.1.2"/>
    <m/>
    <n v="50"/>
    <n v="27"/>
    <n v="5"/>
    <n v="5"/>
    <n v="8"/>
    <n v="26"/>
    <n v="0"/>
    <n v="0"/>
    <n v="0"/>
    <n v="0"/>
    <n v="0"/>
    <n v="6"/>
    <n v="26"/>
    <n v="0"/>
    <n v="0"/>
    <n v="0"/>
    <n v="0"/>
    <n v="0"/>
    <n v="0"/>
    <n v="0"/>
    <n v="0"/>
    <n v="0"/>
    <n v="0"/>
    <n v="0"/>
    <n v="0"/>
    <n v="2"/>
    <n v="0"/>
    <n v="0"/>
    <n v="0"/>
    <n v="0"/>
    <n v="0"/>
    <n v="0"/>
    <x v="3"/>
    <x v="0"/>
    <x v="1"/>
    <x v="0"/>
    <x v="0"/>
    <m/>
    <x v="0"/>
    <x v="0"/>
    <n v="9"/>
    <m/>
    <m/>
    <m/>
    <m/>
    <n v="11.333333333333334"/>
    <n v="11.333333333333334"/>
    <n v="11.333333333333334"/>
    <m/>
    <m/>
    <m/>
    <m/>
    <m/>
    <m/>
    <m/>
    <m/>
    <m/>
    <m/>
    <m/>
    <m/>
    <m/>
    <m/>
    <n v="22.666666666666668"/>
    <n v="34"/>
  </r>
  <r>
    <n v="6284"/>
    <x v="2"/>
    <s v="2017/1458"/>
    <s v="1-9 Church row (part of Phase 3 Ram Brewery), Wandsworth Plain"/>
    <m/>
    <n v="525537"/>
    <n v="174739"/>
    <x v="2"/>
    <m/>
    <m/>
    <n v="0"/>
    <n v="16"/>
    <n v="16"/>
    <n v="50"/>
    <n v="50"/>
    <x v="1"/>
    <s v="Demolition of existing warehouse buildings and erection of a 2 - 6 storey building comprising 34 x residential (Class C3) units, flexible commercial floorspace (Class A1/A2/A3/A4) and office space (Class B1a) at ground floor; restoration works, alterations and rear extensions to existing 1-9 Church Row Listed Buildings to enable the change of use from office (Class B1) to residential (Class C3) comprising 1 x dwellinghouse and 15 x flats; provision of associated landscaping, refuse storage and cycle parking; and public access to the River Wandle from Wandsworth Plain._x000d__x000a__x000d__x000a_For Listed Building Consent refer to planning application reference number: 2017/1847."/>
    <s v="PFLA"/>
    <d v="2017-03-10T00:00:00"/>
    <d v="2017-11-30T00:00:00"/>
    <x v="0"/>
    <s v="Nil"/>
    <m/>
    <s v="BF"/>
    <s v="NB"/>
    <x v="2"/>
    <x v="7"/>
    <n v="8.2999996840953799E-2"/>
    <m/>
    <x v="0"/>
    <m/>
    <x v="0"/>
    <s v="M"/>
    <s v="3.1.2"/>
    <m/>
    <n v="0"/>
    <n v="16"/>
    <n v="0"/>
    <n v="0"/>
    <n v="0"/>
    <n v="0"/>
    <n v="12"/>
    <n v="4"/>
    <n v="0"/>
    <n v="0"/>
    <n v="0"/>
    <n v="0"/>
    <n v="0"/>
    <n v="12"/>
    <n v="3"/>
    <n v="0"/>
    <n v="0"/>
    <n v="0"/>
    <n v="0"/>
    <n v="0"/>
    <n v="0"/>
    <n v="1"/>
    <n v="0"/>
    <n v="0"/>
    <n v="0"/>
    <n v="0"/>
    <n v="0"/>
    <n v="0"/>
    <n v="0"/>
    <n v="0"/>
    <n v="0"/>
    <n v="0"/>
    <x v="3"/>
    <x v="0"/>
    <x v="1"/>
    <x v="0"/>
    <x v="0"/>
    <m/>
    <x v="0"/>
    <x v="0"/>
    <n v="9"/>
    <m/>
    <m/>
    <m/>
    <m/>
    <n v="5.333333333333333"/>
    <n v="5.333333333333333"/>
    <n v="5.333333333333333"/>
    <m/>
    <m/>
    <m/>
    <m/>
    <m/>
    <m/>
    <m/>
    <m/>
    <m/>
    <m/>
    <m/>
    <m/>
    <m/>
    <m/>
    <n v="10.666666666666666"/>
    <n v="16"/>
  </r>
  <r>
    <n v="6293"/>
    <x v="2"/>
    <s v="2016/3841"/>
    <s v="Ground Floor, 83 Mitcham Lane"/>
    <m/>
    <n v="529372"/>
    <n v="171169"/>
    <x v="7"/>
    <m/>
    <m/>
    <n v="0"/>
    <n v="1"/>
    <n v="1"/>
    <n v="1"/>
    <n v="1"/>
    <x v="0"/>
    <s v="Change of use of the front part of the ground floor from retail (Class A1) to financial and professional services (Class A2) and change of use of the rear part to residential (Class C3) to provide 1 x 1-bedroom flat."/>
    <s v="PF"/>
    <d v="2016-06-29T00:00:00"/>
    <d v="2016-08-24T00:00:00"/>
    <x v="0"/>
    <s v="Nil"/>
    <m/>
    <s v="BF"/>
    <s v="COU"/>
    <x v="0"/>
    <x v="4"/>
    <n v="8.9999996125698107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304"/>
    <x v="2"/>
    <s v="2016/3940"/>
    <s v="1 Groom Crescent"/>
    <m/>
    <n v="526579"/>
    <n v="173879"/>
    <x v="17"/>
    <m/>
    <m/>
    <n v="0"/>
    <n v="1"/>
    <n v="1"/>
    <n v="1"/>
    <n v="1"/>
    <x v="0"/>
    <s v="Demolition of existing garden shed and erection of a two-storey (plus accommodation at roof level)  house within side garden."/>
    <s v="RP"/>
    <d v="2016-07-18T00:00:00"/>
    <d v="2017-03-01T00:00:00"/>
    <x v="0"/>
    <s v="APG"/>
    <d v="2017-11-09T00:00:00"/>
    <s v="Gdn"/>
    <s v="NB"/>
    <x v="0"/>
    <x v="5"/>
    <n v="1.7999999225139601E-2"/>
    <m/>
    <x v="0"/>
    <m/>
    <x v="0"/>
    <s v="M"/>
    <m/>
    <m/>
    <n v="1"/>
    <n v="0"/>
    <n v="0"/>
    <n v="0"/>
    <n v="0"/>
    <n v="0"/>
    <n v="0"/>
    <n v="0"/>
    <n v="0"/>
    <n v="1"/>
    <n v="0"/>
    <n v="0"/>
    <n v="0"/>
    <n v="0"/>
    <n v="0"/>
    <n v="0"/>
    <n v="0"/>
    <n v="0"/>
    <n v="0"/>
    <n v="0"/>
    <n v="0"/>
    <n v="0"/>
    <n v="0"/>
    <n v="1"/>
    <n v="0"/>
    <n v="0"/>
    <n v="0"/>
    <n v="0"/>
    <n v="0"/>
    <n v="0"/>
    <n v="0"/>
    <n v="0"/>
    <x v="0"/>
    <x v="0"/>
    <x v="0"/>
    <x v="0"/>
    <x v="0"/>
    <m/>
    <x v="0"/>
    <x v="0"/>
    <n v="6"/>
    <m/>
    <m/>
    <n v="0.25"/>
    <n v="0.25"/>
    <n v="0.25"/>
    <n v="0.25"/>
    <m/>
    <m/>
    <m/>
    <m/>
    <m/>
    <m/>
    <m/>
    <m/>
    <m/>
    <m/>
    <m/>
    <m/>
    <m/>
    <m/>
    <m/>
    <n v="1"/>
    <n v="1"/>
  </r>
  <r>
    <n v="6305"/>
    <x v="2"/>
    <s v="2016/3307"/>
    <s v="29 Roehampton Lane"/>
    <m/>
    <n v="522122"/>
    <n v="175335"/>
    <x v="15"/>
    <m/>
    <m/>
    <n v="0"/>
    <n v="4"/>
    <n v="4"/>
    <n v="4"/>
    <n v="4"/>
    <x v="0"/>
    <s v="Alterations including erection of rear and side dormers (with French doors and safety railings to rear); installation of french doors and safety railings at rear of ground and first floors. excavation to create basement including formation of front and rear lightwells; formation of secure bin and cycle storage at rear; formation of front hardstanding area (with retention of existing front boundary wall) in connection with conversion of single dwellinghouse into 2 x 3-bedroom, 1 x 2-bedroom and 1 x 1-bedroom flats."/>
    <s v="PF"/>
    <d v="2016-07-05T00:00:00"/>
    <d v="2016-09-13T00:00:00"/>
    <x v="0"/>
    <s v="Nil"/>
    <m/>
    <s v="BF"/>
    <s v="MIX"/>
    <x v="0"/>
    <x v="2"/>
    <n v="4.39999997615814E-2"/>
    <m/>
    <x v="0"/>
    <m/>
    <x v="0"/>
    <s v="M"/>
    <m/>
    <m/>
    <n v="0"/>
    <n v="0"/>
    <n v="0"/>
    <n v="0"/>
    <n v="0"/>
    <n v="1"/>
    <n v="1"/>
    <n v="2"/>
    <n v="0"/>
    <n v="0"/>
    <n v="0"/>
    <n v="0"/>
    <n v="1"/>
    <n v="1"/>
    <n v="2"/>
    <n v="0"/>
    <n v="0"/>
    <n v="0"/>
    <n v="0"/>
    <n v="0"/>
    <n v="0"/>
    <n v="0"/>
    <n v="0"/>
    <n v="0"/>
    <n v="0"/>
    <n v="0"/>
    <n v="0"/>
    <n v="0"/>
    <n v="0"/>
    <n v="0"/>
    <n v="0"/>
    <n v="0"/>
    <x v="0"/>
    <x v="0"/>
    <x v="0"/>
    <x v="0"/>
    <x v="0"/>
    <m/>
    <x v="0"/>
    <x v="0"/>
    <n v="15"/>
    <m/>
    <n v="1.3333333333333333"/>
    <n v="1.3333333333333333"/>
    <n v="1.3333333333333333"/>
    <m/>
    <m/>
    <m/>
    <m/>
    <m/>
    <m/>
    <m/>
    <m/>
    <m/>
    <m/>
    <m/>
    <m/>
    <m/>
    <m/>
    <m/>
    <m/>
    <m/>
    <n v="4"/>
    <n v="4"/>
  </r>
  <r>
    <n v="6307"/>
    <x v="2"/>
    <s v="2019/3061"/>
    <s v="Public House, 39 Balham High Road"/>
    <m/>
    <n v="528749"/>
    <n v="173608"/>
    <x v="6"/>
    <m/>
    <m/>
    <n v="0"/>
    <n v="1"/>
    <n v="1"/>
    <n v="1"/>
    <n v="1"/>
    <x v="0"/>
    <s v="Determination as to whether prior approval is required for part change of use from retail (Class A1) to 1 x studio flat (Class C3)."/>
    <s v="PANR"/>
    <d v="2019-07-18T00:00:00"/>
    <d v="2019-09-10T00:00:00"/>
    <x v="1"/>
    <s v="Nil"/>
    <m/>
    <s v="BF"/>
    <s v="COU"/>
    <x v="0"/>
    <x v="4"/>
    <n v="1.20000005699694E-3"/>
    <m/>
    <x v="0"/>
    <m/>
    <x v="0"/>
    <s v="M"/>
    <m/>
    <m/>
    <n v="0"/>
    <n v="0"/>
    <n v="0"/>
    <n v="0"/>
    <n v="1"/>
    <n v="0"/>
    <n v="0"/>
    <n v="0"/>
    <n v="0"/>
    <n v="0"/>
    <n v="0"/>
    <n v="1"/>
    <n v="0"/>
    <n v="0"/>
    <n v="0"/>
    <n v="0"/>
    <n v="0"/>
    <n v="0"/>
    <n v="0"/>
    <n v="0"/>
    <n v="0"/>
    <n v="0"/>
    <n v="0"/>
    <n v="0"/>
    <n v="0"/>
    <n v="0"/>
    <n v="0"/>
    <n v="0"/>
    <n v="0"/>
    <n v="0"/>
    <n v="0"/>
    <n v="0"/>
    <x v="5"/>
    <x v="0"/>
    <x v="0"/>
    <x v="0"/>
    <x v="0"/>
    <m/>
    <x v="0"/>
    <x v="0"/>
    <n v="15"/>
    <m/>
    <n v="0.33333333333333331"/>
    <n v="0.33333333333333331"/>
    <n v="0.33333333333333331"/>
    <m/>
    <m/>
    <m/>
    <m/>
    <m/>
    <m/>
    <m/>
    <m/>
    <m/>
    <m/>
    <m/>
    <m/>
    <m/>
    <m/>
    <m/>
    <m/>
    <m/>
    <n v="1"/>
    <n v="1"/>
  </r>
  <r>
    <n v="6317"/>
    <x v="2"/>
    <s v="2018/3122"/>
    <s v="Garages rear of 21, Granard Avenue"/>
    <m/>
    <n v="522879"/>
    <n v="174549"/>
    <x v="15"/>
    <m/>
    <m/>
    <n v="0"/>
    <n v="4"/>
    <n v="4"/>
    <n v="4"/>
    <n v="4"/>
    <x v="0"/>
    <s v="Demolition of existing garages and construction of 4 x 2-bedroom houses ground and first floors with part basement."/>
    <s v="PF"/>
    <d v="2018-06-25T00:00:00"/>
    <d v="2018-10-23T00:00:00"/>
    <x v="0"/>
    <s v="Nil"/>
    <m/>
    <s v="BF"/>
    <s v="NB"/>
    <x v="0"/>
    <x v="5"/>
    <n v="5.6000001728534698E-2"/>
    <m/>
    <x v="0"/>
    <m/>
    <x v="0"/>
    <s v="M"/>
    <m/>
    <m/>
    <n v="0"/>
    <n v="0"/>
    <n v="0"/>
    <n v="0"/>
    <n v="0"/>
    <n v="0"/>
    <n v="4"/>
    <n v="0"/>
    <n v="0"/>
    <n v="0"/>
    <n v="0"/>
    <n v="0"/>
    <n v="0"/>
    <n v="0"/>
    <n v="0"/>
    <n v="0"/>
    <n v="0"/>
    <n v="0"/>
    <n v="0"/>
    <n v="0"/>
    <n v="4"/>
    <n v="0"/>
    <n v="0"/>
    <n v="0"/>
    <n v="0"/>
    <n v="0"/>
    <n v="0"/>
    <n v="0"/>
    <n v="0"/>
    <n v="0"/>
    <n v="0"/>
    <n v="0"/>
    <x v="0"/>
    <x v="0"/>
    <x v="0"/>
    <x v="0"/>
    <x v="0"/>
    <m/>
    <x v="0"/>
    <x v="0"/>
    <n v="6"/>
    <m/>
    <m/>
    <n v="1"/>
    <n v="1"/>
    <n v="1"/>
    <n v="1"/>
    <m/>
    <m/>
    <m/>
    <m/>
    <m/>
    <m/>
    <m/>
    <m/>
    <m/>
    <m/>
    <m/>
    <m/>
    <m/>
    <m/>
    <m/>
    <n v="4"/>
    <n v="4"/>
  </r>
  <r>
    <n v="6318"/>
    <x v="2"/>
    <s v="2017/3137"/>
    <s v="37 Oldridge Road"/>
    <m/>
    <n v="528567"/>
    <n v="173770"/>
    <x v="6"/>
    <m/>
    <m/>
    <n v="1"/>
    <n v="5"/>
    <n v="4"/>
    <n v="5"/>
    <n v="4"/>
    <x v="0"/>
    <s v="Demolition of existing building and erection of a four-storey building to provide 1 x studio, 1 x 1-bedroom and 2 x 2 bedroom flats, the erection of  a single-storey (plus basement) 1-bedroom house; associated cycle and refuse storage."/>
    <s v="PF"/>
    <d v="2017-06-05T00:00:00"/>
    <d v="2017-10-24T00:00:00"/>
    <x v="0"/>
    <s v="Nil"/>
    <m/>
    <s v="BF"/>
    <s v="NB"/>
    <x v="0"/>
    <x v="5"/>
    <n v="9.9999997764825804E-3"/>
    <m/>
    <x v="0"/>
    <m/>
    <x v="0"/>
    <s v="M"/>
    <m/>
    <m/>
    <n v="0"/>
    <n v="0"/>
    <n v="0"/>
    <n v="0"/>
    <n v="1"/>
    <n v="2"/>
    <n v="1"/>
    <n v="0"/>
    <n v="0"/>
    <n v="0"/>
    <n v="0"/>
    <n v="1"/>
    <n v="1"/>
    <n v="2"/>
    <n v="0"/>
    <n v="0"/>
    <n v="0"/>
    <n v="0"/>
    <n v="0"/>
    <n v="1"/>
    <n v="-1"/>
    <n v="0"/>
    <n v="0"/>
    <n v="0"/>
    <n v="0"/>
    <n v="0"/>
    <n v="0"/>
    <n v="0"/>
    <n v="0"/>
    <n v="0"/>
    <n v="0"/>
    <n v="0"/>
    <x v="0"/>
    <x v="0"/>
    <x v="0"/>
    <x v="0"/>
    <x v="0"/>
    <m/>
    <x v="0"/>
    <x v="0"/>
    <n v="6"/>
    <m/>
    <m/>
    <n v="1"/>
    <n v="1"/>
    <n v="1"/>
    <n v="1"/>
    <m/>
    <m/>
    <m/>
    <m/>
    <m/>
    <m/>
    <m/>
    <m/>
    <m/>
    <m/>
    <m/>
    <m/>
    <m/>
    <m/>
    <m/>
    <n v="4"/>
    <n v="4"/>
  </r>
  <r>
    <n v="6326"/>
    <x v="2"/>
    <s v="2016/4104"/>
    <s v="17 Woodborough Road"/>
    <m/>
    <n v="522791"/>
    <n v="175064"/>
    <x v="15"/>
    <m/>
    <m/>
    <n v="4"/>
    <n v="4"/>
    <n v="0"/>
    <n v="4"/>
    <n v="0"/>
    <x v="0"/>
    <s v="Alterations including erection of two-storey side (west) extension with accommodation at roof level and pitched roof over; erection of single-storey front/side extension with roof level accommodation; extension of basement area with walkover rooflights, enlarged main roof including various dormers and rooflights; in connection with use as  2 x 3-bedroom and 2 x 1-bedroom flats; formation of four parking spaces, erection of refuse store in front garden and changes to front boundary treatment"/>
    <s v="PF"/>
    <d v="2016-07-13T00:00:00"/>
    <d v="2016-11-15T00:00:00"/>
    <x v="0"/>
    <s v="Nil"/>
    <m/>
    <s v="BF"/>
    <s v="MIX"/>
    <x v="0"/>
    <x v="10"/>
    <n v="6.1000000685453401E-2"/>
    <m/>
    <x v="0"/>
    <m/>
    <x v="0"/>
    <s v="M"/>
    <m/>
    <m/>
    <n v="0"/>
    <n v="0"/>
    <n v="0"/>
    <n v="0"/>
    <n v="0"/>
    <n v="1"/>
    <n v="-2"/>
    <n v="2"/>
    <n v="-1"/>
    <n v="0"/>
    <n v="0"/>
    <n v="0"/>
    <n v="1"/>
    <n v="-2"/>
    <n v="2"/>
    <n v="-1"/>
    <n v="0"/>
    <n v="0"/>
    <n v="0"/>
    <n v="0"/>
    <n v="0"/>
    <n v="0"/>
    <n v="0"/>
    <n v="0"/>
    <n v="0"/>
    <n v="0"/>
    <n v="0"/>
    <n v="0"/>
    <n v="0"/>
    <n v="0"/>
    <n v="0"/>
    <n v="0"/>
    <x v="0"/>
    <x v="0"/>
    <x v="0"/>
    <x v="0"/>
    <x v="0"/>
    <m/>
    <x v="0"/>
    <x v="0"/>
    <n v="15"/>
    <m/>
    <n v="0"/>
    <n v="0"/>
    <n v="0"/>
    <m/>
    <m/>
    <m/>
    <m/>
    <m/>
    <m/>
    <m/>
    <m/>
    <m/>
    <m/>
    <m/>
    <m/>
    <m/>
    <m/>
    <m/>
    <m/>
    <m/>
    <n v="0"/>
    <n v="0"/>
  </r>
  <r>
    <n v="6332"/>
    <x v="2"/>
    <s v="2016/4253"/>
    <s v="Units 14 to 19 Blades Court, 121 Deodar Road"/>
    <m/>
    <n v="524599"/>
    <n v="175302"/>
    <x v="0"/>
    <m/>
    <m/>
    <n v="0"/>
    <n v="6"/>
    <n v="6"/>
    <n v="6"/>
    <n v="6"/>
    <x v="0"/>
    <s v="Determination as to whether prior approval is required for change of use of office at first floor level from (Class B1a) to 6 x 2-bedroom residential units (Class C3)."/>
    <s v="PAG"/>
    <d v="2016-07-22T00:00:00"/>
    <d v="2016-09-16T00:00:00"/>
    <x v="0"/>
    <s v="Nil"/>
    <m/>
    <s v="BF"/>
    <s v="COU"/>
    <x v="0"/>
    <x v="6"/>
    <n v="2.0999999716877899E-2"/>
    <m/>
    <x v="0"/>
    <m/>
    <x v="0"/>
    <s v="M"/>
    <m/>
    <m/>
    <n v="0"/>
    <n v="0"/>
    <n v="0"/>
    <n v="0"/>
    <n v="0"/>
    <n v="0"/>
    <n v="6"/>
    <n v="0"/>
    <n v="0"/>
    <n v="0"/>
    <n v="0"/>
    <n v="0"/>
    <n v="0"/>
    <n v="6"/>
    <n v="0"/>
    <n v="0"/>
    <n v="0"/>
    <n v="0"/>
    <n v="0"/>
    <n v="0"/>
    <n v="0"/>
    <n v="0"/>
    <n v="0"/>
    <n v="0"/>
    <n v="0"/>
    <n v="0"/>
    <n v="0"/>
    <n v="0"/>
    <n v="0"/>
    <n v="0"/>
    <n v="0"/>
    <n v="0"/>
    <x v="0"/>
    <x v="0"/>
    <x v="0"/>
    <x v="0"/>
    <x v="0"/>
    <m/>
    <x v="1"/>
    <x v="0"/>
    <n v="18"/>
    <m/>
    <m/>
    <n v="1.5"/>
    <n v="1.5"/>
    <n v="1.5"/>
    <n v="1.5"/>
    <m/>
    <m/>
    <m/>
    <m/>
    <m/>
    <m/>
    <m/>
    <m/>
    <m/>
    <m/>
    <m/>
    <m/>
    <m/>
    <m/>
    <m/>
    <n v="6"/>
    <n v="6"/>
  </r>
  <r>
    <n v="6335"/>
    <x v="2"/>
    <s v="2018/0806"/>
    <s v="Unit 33 Ransomes Dock Business Centre, 35-37 Parkgate Road (Ransomes Dock Business Centre)"/>
    <m/>
    <n v="527310"/>
    <n v="177196"/>
    <x v="11"/>
    <m/>
    <m/>
    <n v="0"/>
    <n v="2"/>
    <n v="2"/>
    <n v="2"/>
    <n v="2"/>
    <x v="0"/>
    <s v="Determination as to whether prior approval is required for change of use from office at second floor level (Use Class B1(a)) to residential (Use Class C3) to provide 2 x 3 bedroom flats."/>
    <s v="PANR"/>
    <d v="2018-02-20T00:00:00"/>
    <d v="2018-04-05T00:00:00"/>
    <x v="0"/>
    <s v="Nil"/>
    <m/>
    <s v="BF"/>
    <s v="COU"/>
    <x v="0"/>
    <x v="6"/>
    <n v="6.0000000521540598E-3"/>
    <m/>
    <x v="0"/>
    <m/>
    <x v="0"/>
    <s v="M"/>
    <s v="10.1.1"/>
    <m/>
    <n v="0"/>
    <n v="0"/>
    <n v="0"/>
    <n v="0"/>
    <n v="0"/>
    <n v="0"/>
    <n v="0"/>
    <n v="2"/>
    <n v="0"/>
    <n v="0"/>
    <n v="0"/>
    <n v="0"/>
    <n v="0"/>
    <n v="0"/>
    <n v="2"/>
    <n v="0"/>
    <n v="0"/>
    <n v="0"/>
    <n v="0"/>
    <n v="0"/>
    <n v="0"/>
    <n v="0"/>
    <n v="0"/>
    <n v="0"/>
    <n v="0"/>
    <n v="0"/>
    <n v="0"/>
    <n v="0"/>
    <n v="0"/>
    <n v="0"/>
    <n v="0"/>
    <n v="0"/>
    <x v="0"/>
    <x v="0"/>
    <x v="0"/>
    <x v="0"/>
    <x v="0"/>
    <m/>
    <x v="1"/>
    <x v="0"/>
    <n v="15"/>
    <m/>
    <n v="0.66666666666666663"/>
    <n v="0.66666666666666663"/>
    <n v="0.66666666666666663"/>
    <m/>
    <m/>
    <m/>
    <m/>
    <m/>
    <m/>
    <m/>
    <m/>
    <m/>
    <m/>
    <m/>
    <m/>
    <m/>
    <m/>
    <m/>
    <m/>
    <m/>
    <n v="2"/>
    <n v="2"/>
  </r>
  <r>
    <n v="6337"/>
    <x v="2"/>
    <s v="2016/5215"/>
    <s v="Studio 2 Dovedale Studios, 465 Battersea Park Road"/>
    <m/>
    <n v="527649"/>
    <n v="176406"/>
    <x v="16"/>
    <m/>
    <m/>
    <n v="0"/>
    <n v="1"/>
    <n v="1"/>
    <n v="1"/>
    <n v="1"/>
    <x v="0"/>
    <s v="Determination as to whether prior approval is required for change of use from office (Class B1a) to 1 x 3-bedroom residential unit (Class C3)."/>
    <s v="PAG"/>
    <d v="2016-09-14T00:00:00"/>
    <d v="2016-11-09T00:00:00"/>
    <x v="0"/>
    <s v="Nil"/>
    <m/>
    <s v="BF"/>
    <s v="COU"/>
    <x v="0"/>
    <x v="6"/>
    <n v="9.9999997764825804E-3"/>
    <m/>
    <x v="0"/>
    <m/>
    <x v="0"/>
    <s v="M"/>
    <m/>
    <m/>
    <n v="0"/>
    <n v="0"/>
    <n v="0"/>
    <n v="0"/>
    <n v="0"/>
    <n v="0"/>
    <n v="0"/>
    <n v="1"/>
    <n v="0"/>
    <n v="0"/>
    <n v="0"/>
    <n v="0"/>
    <n v="0"/>
    <n v="0"/>
    <n v="1"/>
    <n v="0"/>
    <n v="0"/>
    <n v="0"/>
    <n v="0"/>
    <n v="0"/>
    <n v="0"/>
    <n v="0"/>
    <n v="0"/>
    <n v="0"/>
    <n v="0"/>
    <n v="0"/>
    <n v="0"/>
    <n v="0"/>
    <n v="0"/>
    <n v="0"/>
    <n v="0"/>
    <n v="0"/>
    <x v="0"/>
    <x v="0"/>
    <x v="0"/>
    <x v="0"/>
    <x v="0"/>
    <m/>
    <x v="0"/>
    <x v="0"/>
    <n v="15"/>
    <m/>
    <n v="0.33333333333333331"/>
    <n v="0.33333333333333331"/>
    <n v="0.33333333333333331"/>
    <m/>
    <m/>
    <m/>
    <m/>
    <m/>
    <m/>
    <m/>
    <m/>
    <m/>
    <m/>
    <m/>
    <m/>
    <m/>
    <m/>
    <m/>
    <m/>
    <m/>
    <n v="1"/>
    <n v="1"/>
  </r>
  <r>
    <n v="6338"/>
    <x v="2"/>
    <s v="2016/5216"/>
    <s v="Studio 4 Dovedale Studios, 465 Battersea Park Road"/>
    <m/>
    <n v="527649"/>
    <n v="176406"/>
    <x v="16"/>
    <m/>
    <m/>
    <n v="0"/>
    <n v="1"/>
    <n v="1"/>
    <n v="1"/>
    <n v="1"/>
    <x v="0"/>
    <s v="Determination as to whether prior approval is required for change of use from office (Class B1a) to 1 x 2-bedroom residential unit (Class C3)."/>
    <s v="PAG"/>
    <d v="2016-09-14T00:00:00"/>
    <d v="2016-11-09T00:00:00"/>
    <x v="0"/>
    <s v="Nil"/>
    <m/>
    <s v="BF"/>
    <s v="COU"/>
    <x v="0"/>
    <x v="6"/>
    <n v="6.0000000521540598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339"/>
    <x v="2"/>
    <s v="2016/5219"/>
    <s v="Studio 5 Dovedale Studios, 465 Battersea Park Road"/>
    <m/>
    <n v="527649"/>
    <n v="176406"/>
    <x v="16"/>
    <m/>
    <m/>
    <n v="0"/>
    <n v="1"/>
    <n v="1"/>
    <n v="1"/>
    <n v="1"/>
    <x v="0"/>
    <s v="Determination as to whether prior approval is required for change of use from office (Class B1a) to 1 x 2-bedroom residential unit (Class C3)."/>
    <s v="PAG"/>
    <d v="2016-09-14T00:00:00"/>
    <d v="2016-11-09T00:00:00"/>
    <x v="0"/>
    <s v="Nil"/>
    <m/>
    <s v="BF"/>
    <s v="COU"/>
    <x v="0"/>
    <x v="6"/>
    <n v="6.0000000521540598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357"/>
    <x v="2"/>
    <s v="2016/4888"/>
    <s v="66 North Side Wandsworth Common"/>
    <m/>
    <n v="526523"/>
    <n v="174841"/>
    <x v="2"/>
    <m/>
    <m/>
    <n v="1"/>
    <n v="2"/>
    <n v="1"/>
    <n v="2"/>
    <n v="1"/>
    <x v="0"/>
    <s v="Conversion of property to 1 x 1-bedroom and 1 x 5-bedroom flats."/>
    <s v="PF"/>
    <d v="2016-08-25T00:00:00"/>
    <d v="2016-10-18T00:00:00"/>
    <x v="0"/>
    <s v="Nil"/>
    <m/>
    <s v="BF"/>
    <s v="CON"/>
    <x v="0"/>
    <x v="2"/>
    <n v="6.0000000521540598E-3"/>
    <m/>
    <x v="0"/>
    <m/>
    <x v="0"/>
    <s v="M"/>
    <m/>
    <m/>
    <n v="0"/>
    <n v="0"/>
    <n v="0"/>
    <n v="0"/>
    <n v="0"/>
    <n v="1"/>
    <n v="0"/>
    <n v="0"/>
    <n v="0"/>
    <n v="0"/>
    <n v="0"/>
    <n v="0"/>
    <n v="1"/>
    <n v="0"/>
    <n v="0"/>
    <n v="0"/>
    <n v="1"/>
    <n v="0"/>
    <n v="0"/>
    <n v="0"/>
    <n v="0"/>
    <n v="0"/>
    <n v="0"/>
    <n v="-1"/>
    <n v="0"/>
    <n v="0"/>
    <n v="0"/>
    <n v="0"/>
    <n v="0"/>
    <n v="0"/>
    <n v="0"/>
    <n v="0"/>
    <x v="0"/>
    <x v="0"/>
    <x v="0"/>
    <x v="0"/>
    <x v="0"/>
    <m/>
    <x v="0"/>
    <x v="0"/>
    <n v="15"/>
    <m/>
    <n v="0.33333333333333331"/>
    <n v="0.33333333333333331"/>
    <n v="0.33333333333333331"/>
    <m/>
    <m/>
    <m/>
    <m/>
    <m/>
    <m/>
    <m/>
    <m/>
    <m/>
    <m/>
    <m/>
    <m/>
    <m/>
    <m/>
    <m/>
    <m/>
    <m/>
    <n v="1"/>
    <n v="1"/>
  </r>
  <r>
    <n v="6365"/>
    <x v="2"/>
    <s v="2017/0975"/>
    <s v="501 Battersea Park Road"/>
    <m/>
    <n v="527536"/>
    <n v="176382"/>
    <x v="16"/>
    <m/>
    <m/>
    <n v="1"/>
    <n v="5"/>
    <n v="4"/>
    <n v="5"/>
    <n v="4"/>
    <x v="0"/>
    <s v="Alterations including erection of mansard roof extension to main roof and erection of part two, part three, part four-storey rear extension to provide 5 new residential units ( 2 x 1 and 2 x 2 and a studio) including formation of roof terrace with safety screen at 2nd floor level."/>
    <s v="PF"/>
    <d v="2017-03-30T00:00:00"/>
    <d v="2017-09-25T00:00:00"/>
    <x v="0"/>
    <s v="Nil"/>
    <m/>
    <s v="BF"/>
    <s v="MIX"/>
    <x v="0"/>
    <x v="5"/>
    <n v="1.09999999403954E-2"/>
    <m/>
    <x v="0"/>
    <m/>
    <x v="0"/>
    <s v="M"/>
    <m/>
    <m/>
    <n v="0"/>
    <n v="0"/>
    <n v="0"/>
    <n v="0"/>
    <n v="1"/>
    <n v="2"/>
    <n v="1"/>
    <n v="0"/>
    <n v="0"/>
    <n v="0"/>
    <n v="0"/>
    <n v="1"/>
    <n v="2"/>
    <n v="1"/>
    <n v="0"/>
    <n v="0"/>
    <n v="0"/>
    <n v="0"/>
    <n v="0"/>
    <n v="0"/>
    <n v="0"/>
    <n v="0"/>
    <n v="0"/>
    <n v="0"/>
    <n v="0"/>
    <n v="0"/>
    <n v="0"/>
    <n v="0"/>
    <n v="0"/>
    <n v="0"/>
    <n v="0"/>
    <n v="0"/>
    <x v="0"/>
    <x v="0"/>
    <x v="0"/>
    <x v="0"/>
    <x v="0"/>
    <m/>
    <x v="0"/>
    <x v="0"/>
    <n v="15"/>
    <m/>
    <n v="1.3333333333333333"/>
    <n v="1.3333333333333333"/>
    <n v="1.3333333333333333"/>
    <m/>
    <m/>
    <m/>
    <m/>
    <m/>
    <m/>
    <m/>
    <m/>
    <m/>
    <m/>
    <m/>
    <m/>
    <m/>
    <m/>
    <m/>
    <m/>
    <m/>
    <n v="4"/>
    <n v="4"/>
  </r>
  <r>
    <n v="6379"/>
    <x v="2"/>
    <s v="2016/5474"/>
    <s v="102 Wakehurst Road"/>
    <m/>
    <n v="528016"/>
    <n v="174865"/>
    <x v="4"/>
    <m/>
    <m/>
    <n v="2"/>
    <n v="1"/>
    <n v="-1"/>
    <n v="1"/>
    <n v="-1"/>
    <x v="0"/>
    <s v="Use of building as single dwelling (Class C3)."/>
    <s v="PF"/>
    <d v="2016-09-20T00:00:00"/>
    <d v="2016-11-14T00:00:00"/>
    <x v="0"/>
    <s v="Nil"/>
    <m/>
    <s v="BF"/>
    <s v="CON"/>
    <x v="0"/>
    <x v="8"/>
    <n v="1.09999999403954E-2"/>
    <m/>
    <x v="0"/>
    <m/>
    <x v="0"/>
    <s v="M"/>
    <m/>
    <m/>
    <n v="0"/>
    <n v="0"/>
    <n v="0"/>
    <n v="0"/>
    <n v="0"/>
    <n v="-1"/>
    <n v="-1"/>
    <n v="0"/>
    <n v="1"/>
    <n v="0"/>
    <n v="0"/>
    <n v="0"/>
    <n v="-1"/>
    <n v="-1"/>
    <n v="0"/>
    <n v="0"/>
    <n v="0"/>
    <n v="0"/>
    <n v="0"/>
    <n v="0"/>
    <n v="0"/>
    <n v="0"/>
    <n v="1"/>
    <n v="0"/>
    <n v="0"/>
    <n v="0"/>
    <n v="0"/>
    <n v="0"/>
    <n v="0"/>
    <n v="0"/>
    <n v="0"/>
    <n v="0"/>
    <x v="0"/>
    <x v="0"/>
    <x v="0"/>
    <x v="0"/>
    <x v="0"/>
    <m/>
    <x v="0"/>
    <x v="0"/>
    <n v="15"/>
    <m/>
    <n v="-0.33333333333333331"/>
    <n v="-0.33333333333333331"/>
    <n v="-0.33333333333333331"/>
    <m/>
    <m/>
    <m/>
    <m/>
    <m/>
    <m/>
    <m/>
    <m/>
    <m/>
    <m/>
    <m/>
    <m/>
    <m/>
    <m/>
    <m/>
    <m/>
    <m/>
    <n v="-1"/>
    <n v="-1"/>
  </r>
  <r>
    <n v="6381"/>
    <x v="2"/>
    <s v="2016/5804"/>
    <s v="189b Balham High Road"/>
    <m/>
    <n v="528420"/>
    <n v="173036"/>
    <x v="19"/>
    <m/>
    <m/>
    <n v="0"/>
    <n v="1"/>
    <n v="1"/>
    <n v="1"/>
    <n v="1"/>
    <x v="0"/>
    <s v="Change of use from storage facility (Class B8) to a single family dwelling house (Class C3) including external alterations."/>
    <s v="PF"/>
    <d v="2016-10-05T00:00:00"/>
    <d v="2016-11-30T00:00:00"/>
    <x v="0"/>
    <s v="Nil"/>
    <m/>
    <s v="BF"/>
    <s v="COU"/>
    <x v="0"/>
    <x v="1"/>
    <n v="6.0000000521540598E-3"/>
    <m/>
    <x v="0"/>
    <m/>
    <x v="0"/>
    <s v="M"/>
    <m/>
    <m/>
    <n v="0"/>
    <n v="0"/>
    <n v="0"/>
    <n v="0"/>
    <n v="0"/>
    <n v="0"/>
    <n v="0"/>
    <n v="1"/>
    <n v="0"/>
    <n v="0"/>
    <n v="0"/>
    <n v="0"/>
    <n v="0"/>
    <n v="0"/>
    <n v="0"/>
    <n v="0"/>
    <n v="0"/>
    <n v="0"/>
    <n v="0"/>
    <n v="0"/>
    <n v="0"/>
    <n v="1"/>
    <n v="0"/>
    <n v="0"/>
    <n v="0"/>
    <n v="0"/>
    <n v="0"/>
    <n v="0"/>
    <n v="0"/>
    <n v="0"/>
    <n v="0"/>
    <n v="0"/>
    <x v="0"/>
    <x v="0"/>
    <x v="0"/>
    <x v="0"/>
    <x v="0"/>
    <m/>
    <x v="0"/>
    <x v="0"/>
    <n v="15"/>
    <m/>
    <n v="0.33333333333333331"/>
    <n v="0.33333333333333331"/>
    <n v="0.33333333333333331"/>
    <m/>
    <m/>
    <m/>
    <m/>
    <m/>
    <m/>
    <m/>
    <m/>
    <m/>
    <m/>
    <m/>
    <m/>
    <m/>
    <m/>
    <m/>
    <m/>
    <m/>
    <n v="1"/>
    <n v="1"/>
  </r>
  <r>
    <n v="6384"/>
    <x v="2"/>
    <s v="2016/5759"/>
    <s v="197a Wandsworth High Street"/>
    <m/>
    <n v="525320"/>
    <n v="174642"/>
    <x v="14"/>
    <d v="2019-12-07T00:00:00"/>
    <m/>
    <n v="1"/>
    <n v="1"/>
    <n v="0"/>
    <n v="2"/>
    <n v="1"/>
    <x v="0"/>
    <s v="Erection of front and rear mansard roof extensions to provide additional floor of accommodation; erection of first floor rear extension and formation of rear roof terrace at rear of first floor; use of upper floors as 2 x 1-bedroom flats."/>
    <s v="PF"/>
    <d v="2016-10-12T00:00:00"/>
    <d v="2016-12-07T00:00:00"/>
    <x v="0"/>
    <s v="Nil"/>
    <m/>
    <s v="BF"/>
    <s v="MIX"/>
    <x v="0"/>
    <x v="0"/>
    <n v="3.0000000260770299E-3"/>
    <m/>
    <x v="0"/>
    <m/>
    <x v="0"/>
    <s v="M"/>
    <m/>
    <m/>
    <n v="0"/>
    <n v="0"/>
    <n v="0"/>
    <n v="0"/>
    <n v="0"/>
    <n v="1"/>
    <n v="-1"/>
    <n v="0"/>
    <n v="0"/>
    <n v="0"/>
    <n v="0"/>
    <n v="0"/>
    <n v="1"/>
    <n v="-1"/>
    <n v="0"/>
    <n v="0"/>
    <n v="0"/>
    <n v="0"/>
    <n v="0"/>
    <n v="0"/>
    <n v="0"/>
    <n v="0"/>
    <n v="0"/>
    <n v="0"/>
    <n v="0"/>
    <n v="0"/>
    <n v="0"/>
    <n v="0"/>
    <n v="0"/>
    <n v="0"/>
    <n v="0"/>
    <n v="0"/>
    <x v="3"/>
    <x v="0"/>
    <x v="1"/>
    <x v="0"/>
    <x v="0"/>
    <m/>
    <x v="0"/>
    <x v="0"/>
    <n v="15"/>
    <m/>
    <n v="0"/>
    <n v="0"/>
    <n v="0"/>
    <m/>
    <m/>
    <m/>
    <m/>
    <m/>
    <m/>
    <m/>
    <m/>
    <m/>
    <m/>
    <m/>
    <m/>
    <m/>
    <m/>
    <m/>
    <m/>
    <m/>
    <n v="0"/>
    <n v="0"/>
  </r>
  <r>
    <n v="6384"/>
    <x v="2"/>
    <s v="2016/5759"/>
    <s v="197a Wandsworth High Street"/>
    <m/>
    <n v="525320"/>
    <n v="174642"/>
    <x v="14"/>
    <d v="2019-12-07T00:00:00"/>
    <m/>
    <n v="0"/>
    <n v="1"/>
    <n v="1"/>
    <n v="2"/>
    <n v="1"/>
    <x v="0"/>
    <s v="Erection of front and rear mansard roof extensions to provide additional floor of accommodation; erection of first floor rear extension and formation of rear roof terrace at rear of first floor; use of upper floors as 2 x 1-bedroom flats."/>
    <s v="PF"/>
    <d v="2016-10-12T00:00:00"/>
    <d v="2016-12-07T00:00:00"/>
    <x v="0"/>
    <s v="Nil"/>
    <m/>
    <s v="BF"/>
    <s v="MIX"/>
    <x v="0"/>
    <x v="5"/>
    <n v="2.0000000949949E-3"/>
    <m/>
    <x v="0"/>
    <m/>
    <x v="0"/>
    <s v="M"/>
    <m/>
    <m/>
    <n v="0"/>
    <n v="0"/>
    <n v="0"/>
    <n v="0"/>
    <n v="0"/>
    <n v="1"/>
    <n v="0"/>
    <n v="0"/>
    <n v="0"/>
    <n v="0"/>
    <n v="0"/>
    <n v="0"/>
    <n v="1"/>
    <n v="0"/>
    <n v="0"/>
    <n v="0"/>
    <n v="0"/>
    <n v="0"/>
    <n v="0"/>
    <n v="0"/>
    <n v="0"/>
    <n v="0"/>
    <n v="0"/>
    <n v="0"/>
    <n v="0"/>
    <n v="0"/>
    <n v="0"/>
    <n v="0"/>
    <n v="0"/>
    <n v="0"/>
    <n v="0"/>
    <n v="0"/>
    <x v="3"/>
    <x v="0"/>
    <x v="1"/>
    <x v="0"/>
    <x v="0"/>
    <m/>
    <x v="0"/>
    <x v="0"/>
    <n v="15"/>
    <m/>
    <n v="0.33333333333333331"/>
    <n v="0.33333333333333331"/>
    <n v="0.33333333333333331"/>
    <m/>
    <m/>
    <m/>
    <m/>
    <m/>
    <m/>
    <m/>
    <m/>
    <m/>
    <m/>
    <m/>
    <m/>
    <m/>
    <m/>
    <m/>
    <m/>
    <m/>
    <n v="1"/>
    <n v="1"/>
  </r>
  <r>
    <n v="6390"/>
    <x v="2"/>
    <s v="2016/6187"/>
    <s v="28 Harvard Mansions, St Johns Hill"/>
    <m/>
    <n v="526853"/>
    <n v="175074"/>
    <x v="2"/>
    <m/>
    <m/>
    <n v="1"/>
    <n v="2"/>
    <n v="1"/>
    <n v="2"/>
    <n v="1"/>
    <x v="0"/>
    <s v="Conversion of existing 4-bedroom flat into 1 x 1-bedroom flat and 1 x studio apartment."/>
    <s v="PF"/>
    <d v="2016-10-27T00:00:00"/>
    <d v="2016-12-21T00:00:00"/>
    <x v="0"/>
    <s v="Nil"/>
    <m/>
    <s v="BF"/>
    <s v="CON"/>
    <x v="0"/>
    <x v="0"/>
    <n v="8.0000003799796104E-3"/>
    <m/>
    <x v="0"/>
    <m/>
    <x v="0"/>
    <s v="M"/>
    <m/>
    <m/>
    <n v="0"/>
    <n v="0"/>
    <n v="0"/>
    <n v="0"/>
    <n v="1"/>
    <n v="1"/>
    <n v="0"/>
    <n v="0"/>
    <n v="-1"/>
    <n v="0"/>
    <n v="0"/>
    <n v="1"/>
    <n v="1"/>
    <n v="0"/>
    <n v="0"/>
    <n v="-1"/>
    <n v="0"/>
    <n v="0"/>
    <n v="0"/>
    <n v="0"/>
    <n v="0"/>
    <n v="0"/>
    <n v="0"/>
    <n v="0"/>
    <n v="0"/>
    <n v="0"/>
    <n v="0"/>
    <n v="0"/>
    <n v="0"/>
    <n v="0"/>
    <n v="0"/>
    <n v="0"/>
    <x v="0"/>
    <x v="0"/>
    <x v="0"/>
    <x v="0"/>
    <x v="0"/>
    <m/>
    <x v="0"/>
    <x v="0"/>
    <n v="15"/>
    <m/>
    <n v="0.33333333333333331"/>
    <n v="0.33333333333333331"/>
    <n v="0.33333333333333331"/>
    <m/>
    <m/>
    <m/>
    <m/>
    <m/>
    <m/>
    <m/>
    <m/>
    <m/>
    <m/>
    <m/>
    <m/>
    <m/>
    <m/>
    <m/>
    <m/>
    <m/>
    <n v="1"/>
    <n v="1"/>
  </r>
  <r>
    <n v="6391"/>
    <x v="2"/>
    <s v="2016/6206"/>
    <s v="26 Harvard Mansions, St Johns Hill"/>
    <m/>
    <n v="526853"/>
    <n v="175074"/>
    <x v="2"/>
    <m/>
    <m/>
    <n v="1"/>
    <n v="2"/>
    <n v="1"/>
    <n v="2"/>
    <n v="1"/>
    <x v="0"/>
    <s v="Conversion of existing 4-bedroom flat into 1 x 1-bedroom flat and 1 x studio apartment."/>
    <s v="PF"/>
    <d v="2016-10-27T00:00:00"/>
    <d v="2016-12-21T00:00:00"/>
    <x v="0"/>
    <s v="Nil"/>
    <m/>
    <s v="BF"/>
    <s v="CON"/>
    <x v="0"/>
    <x v="0"/>
    <n v="6.0000000521540598E-3"/>
    <m/>
    <x v="0"/>
    <m/>
    <x v="0"/>
    <s v="M"/>
    <m/>
    <m/>
    <n v="0"/>
    <n v="0"/>
    <n v="0"/>
    <n v="0"/>
    <n v="1"/>
    <n v="1"/>
    <n v="0"/>
    <n v="0"/>
    <n v="-1"/>
    <n v="0"/>
    <n v="0"/>
    <n v="1"/>
    <n v="1"/>
    <n v="0"/>
    <n v="0"/>
    <n v="-1"/>
    <n v="0"/>
    <n v="0"/>
    <n v="0"/>
    <n v="0"/>
    <n v="0"/>
    <n v="0"/>
    <n v="0"/>
    <n v="0"/>
    <n v="0"/>
    <n v="0"/>
    <n v="0"/>
    <n v="0"/>
    <n v="0"/>
    <n v="0"/>
    <n v="0"/>
    <n v="0"/>
    <x v="0"/>
    <x v="0"/>
    <x v="0"/>
    <x v="0"/>
    <x v="0"/>
    <m/>
    <x v="0"/>
    <x v="0"/>
    <n v="15"/>
    <m/>
    <n v="0.33333333333333331"/>
    <n v="0.33333333333333331"/>
    <n v="0.33333333333333331"/>
    <m/>
    <m/>
    <m/>
    <m/>
    <m/>
    <m/>
    <m/>
    <m/>
    <m/>
    <m/>
    <m/>
    <m/>
    <m/>
    <m/>
    <m/>
    <m/>
    <m/>
    <n v="1"/>
    <n v="1"/>
  </r>
  <r>
    <n v="6395"/>
    <x v="2"/>
    <s v="2017/5378"/>
    <s v="14 Gayville Road"/>
    <m/>
    <n v="527848"/>
    <n v="174152"/>
    <x v="4"/>
    <m/>
    <m/>
    <n v="1"/>
    <n v="2"/>
    <n v="1"/>
    <n v="2"/>
    <n v="1"/>
    <x v="0"/>
    <s v="Alterations including erection of mansard roof extension to main rear roof including formation of roof terrace with 1.7m high screen surround. Erection of single-storey rear/side extension and excavation to enlarge basement including formation of front, rear and side lightwells with grilles over in connection with the conversion of property into 2 x-3 bedroom flats with associated cycle and refuse storage."/>
    <s v="PF"/>
    <d v="2017-09-28T00:00:00"/>
    <d v="2017-11-14T00:00:00"/>
    <x v="0"/>
    <s v="Nil"/>
    <m/>
    <s v="BF"/>
    <s v="MIX"/>
    <x v="0"/>
    <x v="2"/>
    <n v="1.30000002682209E-2"/>
    <m/>
    <x v="0"/>
    <m/>
    <x v="0"/>
    <s v="M"/>
    <m/>
    <m/>
    <n v="0"/>
    <n v="0"/>
    <n v="0"/>
    <n v="0"/>
    <n v="0"/>
    <n v="0"/>
    <n v="0"/>
    <n v="2"/>
    <n v="-1"/>
    <n v="0"/>
    <n v="0"/>
    <n v="0"/>
    <n v="0"/>
    <n v="0"/>
    <n v="2"/>
    <n v="0"/>
    <n v="0"/>
    <n v="0"/>
    <n v="0"/>
    <n v="0"/>
    <n v="0"/>
    <n v="0"/>
    <n v="-1"/>
    <n v="0"/>
    <n v="0"/>
    <n v="0"/>
    <n v="0"/>
    <n v="0"/>
    <n v="0"/>
    <n v="0"/>
    <n v="0"/>
    <n v="0"/>
    <x v="0"/>
    <x v="0"/>
    <x v="0"/>
    <x v="0"/>
    <x v="0"/>
    <m/>
    <x v="0"/>
    <x v="0"/>
    <n v="15"/>
    <m/>
    <n v="0.33333333333333331"/>
    <n v="0.33333333333333331"/>
    <n v="0.33333333333333331"/>
    <m/>
    <m/>
    <m/>
    <m/>
    <m/>
    <m/>
    <m/>
    <m/>
    <m/>
    <m/>
    <m/>
    <m/>
    <m/>
    <m/>
    <m/>
    <m/>
    <m/>
    <n v="1"/>
    <n v="1"/>
  </r>
  <r>
    <n v="6400"/>
    <x v="2"/>
    <s v="2019/3354"/>
    <s v="127 Mitcham Lane"/>
    <m/>
    <n v="529268"/>
    <n v="171015"/>
    <x v="7"/>
    <m/>
    <m/>
    <n v="0"/>
    <n v="3"/>
    <n v="3"/>
    <n v="4"/>
    <n v="4"/>
    <x v="0"/>
    <s v="Alterations including conversion of part of ground floor from Class A1 (retail) to Class C3 (residential). Erection of a two-storey extension with habitable roofspace above the existing single-storey rear addition to provide 1 x 2-bedroom and 2 x 1-bedroom units and 1 studio with access from Blegborough Road and associated cycle and refuse storage."/>
    <s v="PF"/>
    <d v="2019-09-11T00:00:00"/>
    <d v="2019-11-04T00:00:00"/>
    <x v="1"/>
    <s v="Nil"/>
    <m/>
    <s v="BF"/>
    <s v="MIX"/>
    <x v="0"/>
    <x v="3"/>
    <n v="8.0000003799796104E-3"/>
    <m/>
    <x v="0"/>
    <m/>
    <x v="0"/>
    <s v="M"/>
    <m/>
    <m/>
    <n v="0"/>
    <n v="0"/>
    <n v="0"/>
    <n v="0"/>
    <n v="0"/>
    <n v="2"/>
    <n v="1"/>
    <n v="0"/>
    <n v="0"/>
    <n v="0"/>
    <n v="0"/>
    <n v="0"/>
    <n v="2"/>
    <n v="1"/>
    <n v="0"/>
    <n v="0"/>
    <n v="0"/>
    <n v="0"/>
    <n v="0"/>
    <n v="0"/>
    <n v="0"/>
    <n v="0"/>
    <n v="0"/>
    <n v="0"/>
    <n v="0"/>
    <n v="0"/>
    <n v="0"/>
    <n v="0"/>
    <n v="0"/>
    <n v="0"/>
    <n v="0"/>
    <n v="0"/>
    <x v="0"/>
    <x v="0"/>
    <x v="0"/>
    <x v="0"/>
    <x v="0"/>
    <m/>
    <x v="0"/>
    <x v="0"/>
    <n v="15"/>
    <m/>
    <n v="1"/>
    <n v="1"/>
    <n v="1"/>
    <m/>
    <m/>
    <m/>
    <m/>
    <m/>
    <m/>
    <m/>
    <m/>
    <m/>
    <m/>
    <m/>
    <m/>
    <m/>
    <m/>
    <m/>
    <m/>
    <m/>
    <n v="3"/>
    <n v="3"/>
  </r>
  <r>
    <n v="6400"/>
    <x v="2"/>
    <s v="2019/3354"/>
    <s v="127 Mitcham Lane"/>
    <m/>
    <n v="529268"/>
    <n v="171015"/>
    <x v="7"/>
    <m/>
    <m/>
    <n v="0"/>
    <n v="1"/>
    <n v="1"/>
    <n v="4"/>
    <n v="4"/>
    <x v="0"/>
    <s v="Alterations including conversion of part of ground floor from Class A1 (retail) to Class C3 (residential). Erection of a two-storey extension with habitable roofspace above the existing single-storey rear addition to provide 1 x 2-bedroom and 2 x 1-bedroom units and 1 studio with access from Blegborough Road and associated cycle and refuse storage."/>
    <s v="PF"/>
    <d v="2019-09-11T00:00:00"/>
    <d v="2019-11-04T00:00:00"/>
    <x v="1"/>
    <s v="Nil"/>
    <m/>
    <s v="BF"/>
    <s v="MIX"/>
    <x v="0"/>
    <x v="4"/>
    <n v="3.0000000260770299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6414"/>
    <x v="2"/>
    <s v="2016/6524"/>
    <s v="78 Earlsfield Road"/>
    <m/>
    <n v="526402"/>
    <n v="173902"/>
    <x v="17"/>
    <m/>
    <m/>
    <n v="1"/>
    <n v="1"/>
    <n v="0"/>
    <n v="1"/>
    <n v="0"/>
    <x v="0"/>
    <s v="Alterations in connection with the conversion of the property into 1x2 and 1x3 bedroom flats with associated cycle storage; installation of external staircase from first floor to rear garden."/>
    <s v="PF"/>
    <d v="2016-12-12T00:00:00"/>
    <d v="2017-02-06T00:00:00"/>
    <x v="0"/>
    <s v="Nil"/>
    <m/>
    <s v="BF"/>
    <s v="CON"/>
    <x v="0"/>
    <x v="2"/>
    <n v="1.9999999552965199E-2"/>
    <m/>
    <x v="0"/>
    <m/>
    <x v="0"/>
    <s v="M"/>
    <m/>
    <m/>
    <n v="0"/>
    <n v="0"/>
    <n v="0"/>
    <n v="0"/>
    <n v="0"/>
    <n v="0"/>
    <n v="1"/>
    <n v="0"/>
    <n v="0"/>
    <n v="-1"/>
    <n v="0"/>
    <n v="0"/>
    <n v="0"/>
    <n v="1"/>
    <n v="0"/>
    <n v="0"/>
    <n v="0"/>
    <n v="0"/>
    <n v="0"/>
    <n v="0"/>
    <n v="0"/>
    <n v="0"/>
    <n v="0"/>
    <n v="-1"/>
    <n v="0"/>
    <n v="0"/>
    <n v="0"/>
    <n v="0"/>
    <n v="0"/>
    <n v="0"/>
    <n v="0"/>
    <n v="0"/>
    <x v="0"/>
    <x v="0"/>
    <x v="0"/>
    <x v="0"/>
    <x v="0"/>
    <m/>
    <x v="0"/>
    <x v="0"/>
    <n v="15"/>
    <m/>
    <n v="0"/>
    <n v="0"/>
    <n v="0"/>
    <m/>
    <m/>
    <m/>
    <m/>
    <m/>
    <m/>
    <m/>
    <m/>
    <m/>
    <m/>
    <m/>
    <m/>
    <m/>
    <m/>
    <m/>
    <m/>
    <m/>
    <n v="0"/>
    <n v="0"/>
  </r>
  <r>
    <n v="6481"/>
    <x v="2"/>
    <s v="2016/6122"/>
    <s v="189 Balham High Road"/>
    <m/>
    <n v="528408"/>
    <n v="173055"/>
    <x v="19"/>
    <m/>
    <m/>
    <n v="0"/>
    <n v="3"/>
    <n v="3"/>
    <n v="3"/>
    <n v="3"/>
    <x v="0"/>
    <s v="Extensions and alterations in connection with the change of use of first floor from an office (Class Use B1) to residential (Class Use C3) to create 2 x 1-bedroom flats. Erection of mansard roof extension to create an additional floor of accommodation to facilitate the creation of a 2-bedroom flat with a side roof terrace. Further external alterations include the increased height to rear additions."/>
    <s v="PF"/>
    <d v="2016-10-20T00:00:00"/>
    <d v="2017-05-24T00:00:00"/>
    <x v="0"/>
    <s v="Nil"/>
    <m/>
    <s v="BF"/>
    <s v="MIX"/>
    <x v="0"/>
    <x v="6"/>
    <n v="1.30000002682209E-2"/>
    <m/>
    <x v="0"/>
    <m/>
    <x v="0"/>
    <s v="M"/>
    <m/>
    <m/>
    <n v="0"/>
    <n v="0"/>
    <n v="0"/>
    <n v="0"/>
    <n v="0"/>
    <n v="2"/>
    <n v="1"/>
    <n v="0"/>
    <n v="0"/>
    <n v="0"/>
    <n v="0"/>
    <n v="0"/>
    <n v="2"/>
    <n v="1"/>
    <n v="0"/>
    <n v="0"/>
    <n v="0"/>
    <n v="0"/>
    <n v="0"/>
    <n v="0"/>
    <n v="0"/>
    <n v="0"/>
    <n v="0"/>
    <n v="0"/>
    <n v="0"/>
    <n v="0"/>
    <n v="0"/>
    <n v="0"/>
    <n v="0"/>
    <n v="0"/>
    <n v="0"/>
    <n v="0"/>
    <x v="0"/>
    <x v="0"/>
    <x v="0"/>
    <x v="0"/>
    <x v="0"/>
    <m/>
    <x v="0"/>
    <x v="0"/>
    <n v="15"/>
    <m/>
    <n v="1"/>
    <n v="1"/>
    <n v="1"/>
    <m/>
    <m/>
    <m/>
    <m/>
    <m/>
    <m/>
    <m/>
    <m/>
    <m/>
    <m/>
    <m/>
    <m/>
    <m/>
    <m/>
    <m/>
    <m/>
    <m/>
    <n v="3"/>
    <n v="3"/>
  </r>
  <r>
    <n v="6481"/>
    <x v="2"/>
    <s v="2019/1895"/>
    <s v="189 Balham High Road"/>
    <m/>
    <n v="528408"/>
    <n v="173055"/>
    <x v="19"/>
    <m/>
    <m/>
    <n v="0"/>
    <n v="7"/>
    <n v="7"/>
    <n v="7"/>
    <n v="7"/>
    <x v="0"/>
    <s v="Demolition of existing garages and erection of 7 x 3-storey (plus basement) 3-bedroom houses with associated landscaping, car and cycle parking."/>
    <s v="PF"/>
    <d v="2019-05-16T00:00:00"/>
    <d v="2019-07-30T00:00:00"/>
    <x v="1"/>
    <s v="Nil"/>
    <m/>
    <s v="BF"/>
    <s v="NB"/>
    <x v="0"/>
    <x v="5"/>
    <n v="1.4000000432133701E-2"/>
    <m/>
    <x v="0"/>
    <m/>
    <x v="0"/>
    <s v="M"/>
    <m/>
    <m/>
    <n v="0"/>
    <n v="0"/>
    <n v="0"/>
    <n v="0"/>
    <n v="0"/>
    <n v="0"/>
    <n v="0"/>
    <n v="7"/>
    <n v="0"/>
    <n v="0"/>
    <n v="0"/>
    <n v="0"/>
    <n v="0"/>
    <n v="0"/>
    <n v="0"/>
    <n v="0"/>
    <n v="0"/>
    <n v="0"/>
    <n v="0"/>
    <n v="0"/>
    <n v="0"/>
    <n v="7"/>
    <n v="0"/>
    <n v="0"/>
    <n v="0"/>
    <n v="0"/>
    <n v="0"/>
    <n v="0"/>
    <n v="0"/>
    <n v="0"/>
    <n v="0"/>
    <n v="0"/>
    <x v="0"/>
    <x v="0"/>
    <x v="0"/>
    <x v="0"/>
    <x v="0"/>
    <m/>
    <x v="0"/>
    <x v="0"/>
    <n v="9"/>
    <m/>
    <m/>
    <m/>
    <m/>
    <n v="2.3333333333333335"/>
    <n v="2.3333333333333335"/>
    <n v="2.3333333333333335"/>
    <m/>
    <m/>
    <m/>
    <m/>
    <m/>
    <m/>
    <m/>
    <m/>
    <m/>
    <m/>
    <m/>
    <m/>
    <m/>
    <m/>
    <n v="4.666666666666667"/>
    <n v="7"/>
  </r>
  <r>
    <n v="6487"/>
    <x v="2"/>
    <s v="2017/0870"/>
    <s v="Apartments 57 &amp; 58, 5 Riverlight Quay"/>
    <m/>
    <n v="529348"/>
    <n v="177574"/>
    <x v="12"/>
    <m/>
    <m/>
    <n v="2"/>
    <n v="1"/>
    <n v="-1"/>
    <n v="1"/>
    <n v="-1"/>
    <x v="0"/>
    <s v="Conversion of two flats into one 5 bedroom unit"/>
    <s v="PF"/>
    <d v="2017-03-02T00:00:00"/>
    <d v="2017-04-06T00:00:00"/>
    <x v="0"/>
    <s v="Nil"/>
    <m/>
    <s v="BF"/>
    <s v="CON"/>
    <x v="0"/>
    <x v="10"/>
    <n v="9.9999997764825804E-3"/>
    <m/>
    <x v="0"/>
    <m/>
    <x v="0"/>
    <s v="M"/>
    <s v="2.1.9"/>
    <m/>
    <n v="0"/>
    <n v="0"/>
    <n v="0"/>
    <n v="0"/>
    <n v="0"/>
    <n v="0"/>
    <n v="0"/>
    <n v="-2"/>
    <n v="0"/>
    <n v="1"/>
    <n v="0"/>
    <n v="0"/>
    <n v="0"/>
    <n v="0"/>
    <n v="-2"/>
    <n v="0"/>
    <n v="1"/>
    <n v="0"/>
    <n v="0"/>
    <n v="0"/>
    <n v="0"/>
    <n v="0"/>
    <n v="0"/>
    <n v="0"/>
    <n v="0"/>
    <n v="0"/>
    <n v="0"/>
    <n v="0"/>
    <n v="0"/>
    <n v="0"/>
    <n v="0"/>
    <n v="0"/>
    <x v="0"/>
    <x v="1"/>
    <x v="0"/>
    <x v="0"/>
    <x v="0"/>
    <m/>
    <x v="0"/>
    <x v="0"/>
    <n v="15"/>
    <m/>
    <n v="-0.33333333333333331"/>
    <n v="-0.33333333333333331"/>
    <n v="-0.33333333333333331"/>
    <m/>
    <m/>
    <m/>
    <m/>
    <m/>
    <m/>
    <m/>
    <m/>
    <m/>
    <m/>
    <m/>
    <m/>
    <m/>
    <m/>
    <m/>
    <m/>
    <m/>
    <n v="-1"/>
    <n v="-1"/>
  </r>
  <r>
    <n v="6489"/>
    <x v="2"/>
    <s v="2017/0769"/>
    <s v="22 Kersley Street"/>
    <m/>
    <n v="527608"/>
    <n v="176466"/>
    <x v="16"/>
    <m/>
    <m/>
    <n v="2"/>
    <n v="1"/>
    <n v="-1"/>
    <n v="1"/>
    <n v="-1"/>
    <x v="0"/>
    <s v="Erection of a three-storey extension and conversion of property into single family dwelling. Formation of roof terrace over rear addition, and installation of front railings."/>
    <s v="PF"/>
    <d v="2017-02-23T00:00:00"/>
    <d v="2017-04-20T00:00:00"/>
    <x v="0"/>
    <s v="Nil"/>
    <m/>
    <s v="BF"/>
    <s v="MIX"/>
    <x v="0"/>
    <x v="8"/>
    <n v="1.4000000432133701E-2"/>
    <m/>
    <x v="0"/>
    <m/>
    <x v="0"/>
    <s v="M"/>
    <m/>
    <m/>
    <n v="0"/>
    <n v="0"/>
    <n v="0"/>
    <n v="0"/>
    <n v="0"/>
    <n v="-1"/>
    <n v="-1"/>
    <n v="0"/>
    <n v="0"/>
    <n v="1"/>
    <n v="0"/>
    <n v="0"/>
    <n v="-1"/>
    <n v="-1"/>
    <n v="0"/>
    <n v="0"/>
    <n v="0"/>
    <n v="0"/>
    <n v="0"/>
    <n v="0"/>
    <n v="0"/>
    <n v="0"/>
    <n v="0"/>
    <n v="1"/>
    <n v="0"/>
    <n v="0"/>
    <n v="0"/>
    <n v="0"/>
    <n v="0"/>
    <n v="0"/>
    <n v="0"/>
    <n v="0"/>
    <x v="0"/>
    <x v="0"/>
    <x v="0"/>
    <x v="0"/>
    <x v="0"/>
    <m/>
    <x v="0"/>
    <x v="0"/>
    <n v="15"/>
    <m/>
    <n v="-0.33333333333333331"/>
    <n v="-0.33333333333333331"/>
    <n v="-0.33333333333333331"/>
    <m/>
    <m/>
    <m/>
    <m/>
    <m/>
    <m/>
    <m/>
    <m/>
    <m/>
    <m/>
    <m/>
    <m/>
    <m/>
    <m/>
    <m/>
    <m/>
    <m/>
    <n v="-1"/>
    <n v="-1"/>
  </r>
  <r>
    <n v="6490"/>
    <x v="2"/>
    <s v="2019/3275"/>
    <s v="153-159 Putney High Street"/>
    <m/>
    <n v="523997"/>
    <n v="175115"/>
    <x v="0"/>
    <m/>
    <m/>
    <n v="0"/>
    <n v="7"/>
    <n v="7"/>
    <n v="9"/>
    <n v="9"/>
    <x v="0"/>
    <s v="Alterations including erection of rear extensions at lower ground, first, second and third floors, and fourth storey roof top extension; use of part lower ground, ground and first floors for offices (Class B1a); enlargement of some existing residential units at first, second and third floor level, and provision of 9 new residential units (Class C3) at second, third and fourth floor levels, including change of use of some existing Class A2 (financial and professional services) floorspace, with provision of associated roof terraces, refuse and cycle storage."/>
    <s v="PF"/>
    <d v="2019-08-15T00:00:00"/>
    <d v="2019-10-30T00:00:00"/>
    <x v="1"/>
    <s v="Nil"/>
    <m/>
    <s v="BF"/>
    <s v="MIX"/>
    <x v="0"/>
    <x v="5"/>
    <n v="1.2000000104308101E-2"/>
    <m/>
    <x v="0"/>
    <m/>
    <x v="0"/>
    <s v="M"/>
    <m/>
    <m/>
    <n v="0"/>
    <n v="0"/>
    <n v="0"/>
    <n v="0"/>
    <n v="0"/>
    <n v="0"/>
    <n v="6"/>
    <n v="1"/>
    <n v="0"/>
    <n v="0"/>
    <n v="0"/>
    <n v="0"/>
    <n v="0"/>
    <n v="6"/>
    <n v="1"/>
    <n v="0"/>
    <n v="0"/>
    <n v="0"/>
    <n v="0"/>
    <n v="0"/>
    <n v="0"/>
    <n v="0"/>
    <n v="0"/>
    <n v="0"/>
    <n v="0"/>
    <n v="0"/>
    <n v="0"/>
    <n v="0"/>
    <n v="0"/>
    <n v="0"/>
    <n v="0"/>
    <n v="0"/>
    <x v="2"/>
    <x v="0"/>
    <x v="0"/>
    <x v="0"/>
    <x v="0"/>
    <m/>
    <x v="0"/>
    <x v="0"/>
    <n v="16"/>
    <m/>
    <m/>
    <m/>
    <n v="7"/>
    <m/>
    <m/>
    <m/>
    <m/>
    <m/>
    <m/>
    <m/>
    <m/>
    <m/>
    <m/>
    <m/>
    <m/>
    <m/>
    <m/>
    <m/>
    <m/>
    <m/>
    <n v="7"/>
    <n v="7"/>
  </r>
  <r>
    <n v="6490"/>
    <x v="2"/>
    <s v="2019/3275"/>
    <s v="153-159 Putney High Street"/>
    <m/>
    <n v="523997"/>
    <n v="175115"/>
    <x v="0"/>
    <m/>
    <m/>
    <n v="0"/>
    <n v="2"/>
    <n v="2"/>
    <n v="9"/>
    <n v="9"/>
    <x v="0"/>
    <s v="Alterations including erection of rear extensions at lower ground, first, second and third floors, and fourth storey roof top extension; use of part lower ground, ground and first floors for offices (Class B1a); enlargement of some existing residential units at first, second and third floor level, and provision of 9 new residential units (Class C3) at second, third and fourth floor levels, including change of use of some existing Class A2 (financial and professional services) floorspace, with provision of associated roof terraces, refuse and cycle storage."/>
    <s v="PF"/>
    <d v="2019-08-15T00:00:00"/>
    <d v="2019-10-30T00:00:00"/>
    <x v="1"/>
    <s v="Nil"/>
    <m/>
    <s v="BF"/>
    <s v="MIX"/>
    <x v="0"/>
    <x v="6"/>
    <n v="3.0000000260770299E-3"/>
    <m/>
    <x v="0"/>
    <m/>
    <x v="0"/>
    <s v="M"/>
    <m/>
    <m/>
    <n v="0"/>
    <n v="0"/>
    <n v="0"/>
    <n v="0"/>
    <n v="0"/>
    <n v="2"/>
    <n v="0"/>
    <n v="0"/>
    <n v="0"/>
    <n v="0"/>
    <n v="0"/>
    <n v="0"/>
    <n v="2"/>
    <n v="0"/>
    <n v="0"/>
    <n v="0"/>
    <n v="0"/>
    <n v="0"/>
    <n v="0"/>
    <n v="0"/>
    <n v="0"/>
    <n v="0"/>
    <n v="0"/>
    <n v="0"/>
    <n v="0"/>
    <n v="0"/>
    <n v="0"/>
    <n v="0"/>
    <n v="0"/>
    <n v="0"/>
    <n v="0"/>
    <n v="0"/>
    <x v="2"/>
    <x v="0"/>
    <x v="0"/>
    <x v="0"/>
    <x v="0"/>
    <m/>
    <x v="0"/>
    <x v="0"/>
    <n v="16"/>
    <m/>
    <m/>
    <m/>
    <n v="2"/>
    <m/>
    <m/>
    <m/>
    <m/>
    <m/>
    <m/>
    <m/>
    <m/>
    <m/>
    <m/>
    <m/>
    <m/>
    <m/>
    <m/>
    <m/>
    <m/>
    <m/>
    <n v="2"/>
    <n v="2"/>
  </r>
  <r>
    <n v="6495"/>
    <x v="2"/>
    <s v="2019/4645"/>
    <s v="Garage rear of, 130 Wimbledon Park Road"/>
    <m/>
    <n v="524891"/>
    <n v="173680"/>
    <x v="14"/>
    <m/>
    <m/>
    <n v="0"/>
    <n v="1"/>
    <n v="1"/>
    <n v="1"/>
    <n v="1"/>
    <x v="0"/>
    <s v="Demolition of existing garage and erection of a single-storey (plus basement and attic accommodation) 3-bedroom detached house with rear lightwell and associated cycle and refuse storage"/>
    <s v="PF"/>
    <d v="2019-11-27T00:00:00"/>
    <d v="2020-01-14T00:00:00"/>
    <x v="1"/>
    <s v="Nil"/>
    <m/>
    <s v="BF"/>
    <s v="NB"/>
    <x v="0"/>
    <x v="5"/>
    <n v="9.9999997764825804E-3"/>
    <m/>
    <x v="0"/>
    <m/>
    <x v="0"/>
    <s v="M"/>
    <m/>
    <m/>
    <n v="0"/>
    <n v="0"/>
    <n v="0"/>
    <n v="0"/>
    <n v="0"/>
    <n v="0"/>
    <n v="0"/>
    <n v="1"/>
    <n v="0"/>
    <n v="0"/>
    <n v="0"/>
    <n v="0"/>
    <n v="0"/>
    <n v="0"/>
    <n v="0"/>
    <n v="0"/>
    <n v="0"/>
    <n v="0"/>
    <n v="0"/>
    <n v="0"/>
    <n v="0"/>
    <n v="1"/>
    <n v="0"/>
    <n v="0"/>
    <n v="0"/>
    <n v="0"/>
    <n v="0"/>
    <n v="0"/>
    <n v="0"/>
    <n v="0"/>
    <n v="0"/>
    <n v="0"/>
    <x v="0"/>
    <x v="0"/>
    <x v="0"/>
    <x v="0"/>
    <x v="0"/>
    <m/>
    <x v="0"/>
    <x v="0"/>
    <n v="6"/>
    <m/>
    <m/>
    <n v="0.25"/>
    <n v="0.25"/>
    <n v="0.25"/>
    <n v="0.25"/>
    <m/>
    <m/>
    <m/>
    <m/>
    <m/>
    <m/>
    <m/>
    <m/>
    <m/>
    <m/>
    <m/>
    <m/>
    <m/>
    <m/>
    <m/>
    <n v="1"/>
    <n v="1"/>
  </r>
  <r>
    <n v="6497"/>
    <x v="2"/>
    <s v="2017/0153"/>
    <s v="64-64c Battersea Rise"/>
    <m/>
    <n v="527487"/>
    <n v="175150"/>
    <x v="4"/>
    <m/>
    <m/>
    <n v="2"/>
    <n v="0"/>
    <n v="-2"/>
    <n v="0"/>
    <n v="-2"/>
    <x v="0"/>
    <s v="Excavation to extend basement and alterations to ground floor level of restaurant (Class A3). Change of use of first, second and third floor from two flats (Class C3) to a House in Multiple Occupation (HMO - 13 tenancy units) with shared faciliites.  Extensions to rear at first floor and second floor (including french doors) and to roof level (including changes to front roof pitch, side roof extension and third floor extension), and creation of roof terraces at second and third floor levels.  Replacement extract flue."/>
    <s v="PF"/>
    <d v="2017-01-17T00:00:00"/>
    <d v="2017-05-02T00:00:00"/>
    <x v="0"/>
    <s v="Nil"/>
    <m/>
    <s v="BF"/>
    <s v="MIX"/>
    <x v="0"/>
    <x v="11"/>
    <n v="0"/>
    <m/>
    <x v="0"/>
    <m/>
    <x v="0"/>
    <s v="M"/>
    <m/>
    <m/>
    <n v="0"/>
    <n v="0"/>
    <n v="0"/>
    <n v="0"/>
    <n v="0"/>
    <n v="0"/>
    <n v="-2"/>
    <n v="0"/>
    <n v="0"/>
    <n v="0"/>
    <n v="0"/>
    <n v="0"/>
    <n v="0"/>
    <n v="-2"/>
    <n v="0"/>
    <n v="0"/>
    <n v="0"/>
    <n v="0"/>
    <n v="0"/>
    <n v="0"/>
    <n v="0"/>
    <n v="0"/>
    <n v="0"/>
    <n v="0"/>
    <n v="0"/>
    <n v="0"/>
    <n v="0"/>
    <n v="0"/>
    <n v="0"/>
    <n v="0"/>
    <n v="0"/>
    <n v="0"/>
    <x v="1"/>
    <x v="0"/>
    <x v="0"/>
    <x v="0"/>
    <x v="0"/>
    <m/>
    <x v="0"/>
    <x v="0"/>
    <n v="15"/>
    <m/>
    <n v="-0.66666666666666663"/>
    <n v="-0.66666666666666663"/>
    <n v="-0.66666666666666663"/>
    <m/>
    <m/>
    <m/>
    <m/>
    <m/>
    <m/>
    <m/>
    <m/>
    <m/>
    <m/>
    <m/>
    <m/>
    <m/>
    <m/>
    <m/>
    <m/>
    <m/>
    <n v="-2"/>
    <n v="-2"/>
  </r>
  <r>
    <n v="6501"/>
    <x v="2"/>
    <s v="2019/0866"/>
    <s v="1023-1025 Garratt Lane"/>
    <m/>
    <n v="527304"/>
    <n v="171639"/>
    <x v="1"/>
    <m/>
    <m/>
    <n v="0"/>
    <n v="17"/>
    <n v="17"/>
    <n v="17"/>
    <n v="17"/>
    <x v="1"/>
    <s v="Variation of conditions 2, 3 and 7 (in accordance with approved drawings) pursuant to planning permission dated 14/11/2017 ref 2016/5209 (Demolition of the existing builder and timber merchant building (Class B1) and redevelopment with a part 2, part 3 storey building plus basement level comprising 17 apartments (Class C3) (2 x 1 beds, 12 x 2 beds and 3 x 3 beds) and associated landscaping, car and cycle parking)  to allow reconfiguration of internal layouts and subsequent alteratons to boundaries and cycle parking."/>
    <s v="S73"/>
    <d v="2019-03-15T00:00:00"/>
    <d v="2019-11-14T00:00:00"/>
    <x v="1"/>
    <s v="Nil"/>
    <m/>
    <s v="BF"/>
    <s v="NB"/>
    <x v="1"/>
    <x v="7"/>
    <n v="0.15600000321865101"/>
    <m/>
    <x v="0"/>
    <m/>
    <x v="0"/>
    <s v="M"/>
    <m/>
    <m/>
    <n v="0"/>
    <n v="15"/>
    <n v="0"/>
    <n v="2"/>
    <n v="0"/>
    <n v="4"/>
    <n v="10"/>
    <n v="3"/>
    <n v="0"/>
    <n v="0"/>
    <n v="0"/>
    <n v="0"/>
    <n v="4"/>
    <n v="10"/>
    <n v="3"/>
    <n v="0"/>
    <n v="0"/>
    <n v="0"/>
    <n v="0"/>
    <n v="0"/>
    <n v="0"/>
    <n v="0"/>
    <n v="0"/>
    <n v="0"/>
    <n v="0"/>
    <n v="0"/>
    <n v="0"/>
    <n v="0"/>
    <n v="0"/>
    <n v="0"/>
    <n v="0"/>
    <n v="0"/>
    <x v="0"/>
    <x v="0"/>
    <x v="0"/>
    <x v="0"/>
    <x v="0"/>
    <m/>
    <x v="0"/>
    <x v="0"/>
    <n v="7"/>
    <m/>
    <m/>
    <m/>
    <n v="17"/>
    <m/>
    <m/>
    <m/>
    <m/>
    <m/>
    <m/>
    <m/>
    <m/>
    <m/>
    <m/>
    <m/>
    <m/>
    <m/>
    <m/>
    <m/>
    <m/>
    <m/>
    <n v="17"/>
    <n v="17"/>
  </r>
  <r>
    <n v="6503"/>
    <x v="2"/>
    <s v="2018/5195"/>
    <s v="Land rear of 79, 79 Falcon Road"/>
    <m/>
    <n v="527225"/>
    <n v="175866"/>
    <x v="16"/>
    <m/>
    <m/>
    <n v="0"/>
    <n v="1"/>
    <n v="1"/>
    <n v="1"/>
    <n v="1"/>
    <x v="0"/>
    <s v="Erection of two-storey 3 bedroom house (accessed from Falcon Grove) with associated boundary treatment and vehicle access."/>
    <s v="PF"/>
    <d v="2018-11-02T00:00:00"/>
    <d v="2019-03-29T00:00:00"/>
    <x v="0"/>
    <s v="Nil"/>
    <m/>
    <s v="BF"/>
    <s v="NB"/>
    <x v="0"/>
    <x v="5"/>
    <n v="3.5000000149011598E-2"/>
    <m/>
    <x v="0"/>
    <m/>
    <x v="0"/>
    <s v="M"/>
    <m/>
    <m/>
    <n v="0"/>
    <n v="1"/>
    <n v="0"/>
    <n v="0"/>
    <n v="0"/>
    <n v="0"/>
    <n v="0"/>
    <n v="1"/>
    <n v="0"/>
    <n v="0"/>
    <n v="0"/>
    <n v="0"/>
    <n v="0"/>
    <n v="0"/>
    <n v="0"/>
    <n v="0"/>
    <n v="0"/>
    <n v="0"/>
    <n v="0"/>
    <n v="0"/>
    <n v="0"/>
    <n v="1"/>
    <n v="0"/>
    <n v="0"/>
    <n v="0"/>
    <n v="0"/>
    <n v="0"/>
    <n v="0"/>
    <n v="0"/>
    <n v="0"/>
    <n v="0"/>
    <n v="0"/>
    <x v="0"/>
    <x v="0"/>
    <x v="0"/>
    <x v="0"/>
    <x v="0"/>
    <m/>
    <x v="0"/>
    <x v="0"/>
    <n v="6"/>
    <m/>
    <m/>
    <n v="0.25"/>
    <n v="0.25"/>
    <n v="0.25"/>
    <n v="0.25"/>
    <m/>
    <m/>
    <m/>
    <m/>
    <m/>
    <m/>
    <m/>
    <m/>
    <m/>
    <m/>
    <m/>
    <m/>
    <m/>
    <m/>
    <m/>
    <n v="1"/>
    <n v="1"/>
  </r>
  <r>
    <n v="6508"/>
    <x v="2"/>
    <s v="2016/2396"/>
    <s v="Spice Court, Ivory Square (Plantation Wharf)"/>
    <s v="Former Units 14, 15, 16 and 17"/>
    <n v="526400"/>
    <n v="175699"/>
    <x v="11"/>
    <m/>
    <m/>
    <n v="0"/>
    <n v="4"/>
    <n v="4"/>
    <n v="4"/>
    <n v="4"/>
    <x v="0"/>
    <s v="Determination as to whether prior approval is required for change of use from office (Class B1a) to 1 x 2-bedroom and 3 x 1-bedroom residential units (Class C3) at third floor level."/>
    <s v="PAG"/>
    <d v="2016-04-27T00:00:00"/>
    <d v="2016-06-22T00:00:00"/>
    <x v="0"/>
    <s v="Nil"/>
    <m/>
    <s v="BF"/>
    <s v="COU"/>
    <x v="0"/>
    <x v="6"/>
    <n v="8.0000003799796104E-3"/>
    <m/>
    <x v="0"/>
    <m/>
    <x v="0"/>
    <s v="M"/>
    <m/>
    <m/>
    <n v="0"/>
    <n v="0"/>
    <n v="0"/>
    <n v="0"/>
    <n v="0"/>
    <n v="3"/>
    <n v="1"/>
    <n v="0"/>
    <n v="0"/>
    <n v="0"/>
    <n v="0"/>
    <n v="0"/>
    <n v="3"/>
    <n v="1"/>
    <n v="0"/>
    <n v="0"/>
    <n v="0"/>
    <n v="0"/>
    <n v="0"/>
    <n v="0"/>
    <n v="0"/>
    <n v="0"/>
    <n v="0"/>
    <n v="0"/>
    <n v="0"/>
    <n v="0"/>
    <n v="0"/>
    <n v="0"/>
    <n v="0"/>
    <n v="0"/>
    <n v="0"/>
    <n v="0"/>
    <x v="0"/>
    <x v="0"/>
    <x v="0"/>
    <x v="0"/>
    <x v="0"/>
    <m/>
    <x v="1"/>
    <x v="0"/>
    <n v="15"/>
    <m/>
    <n v="1.3333333333333333"/>
    <n v="1.3333333333333333"/>
    <n v="1.3333333333333333"/>
    <m/>
    <m/>
    <m/>
    <m/>
    <m/>
    <m/>
    <m/>
    <m/>
    <m/>
    <m/>
    <m/>
    <m/>
    <m/>
    <m/>
    <m/>
    <m/>
    <m/>
    <n v="4"/>
    <n v="4"/>
  </r>
  <r>
    <n v="6508"/>
    <x v="2"/>
    <s v="2016/3445"/>
    <s v="Spice Court, Ivory Square (Plantation Wharf)"/>
    <s v="Former Units 2, 3 and 4"/>
    <n v="526400"/>
    <n v="175699"/>
    <x v="11"/>
    <m/>
    <m/>
    <n v="0"/>
    <n v="3"/>
    <n v="3"/>
    <n v="3"/>
    <n v="3"/>
    <x v="0"/>
    <s v="Determination as to whether prior approval is required for change of use of office at ground floor level (Class B1a) to residential (Class C3)  to provide 2 x 2-bedroom and 1 x 1-bedroom residential flats."/>
    <s v="PAG"/>
    <d v="2016-06-27T00:00:00"/>
    <d v="2016-08-22T00:00:00"/>
    <x v="0"/>
    <s v="Nil"/>
    <m/>
    <s v="BF"/>
    <s v="COU"/>
    <x v="0"/>
    <x v="6"/>
    <n v="1.30000002682209E-2"/>
    <m/>
    <x v="0"/>
    <m/>
    <x v="0"/>
    <s v="M"/>
    <m/>
    <m/>
    <n v="0"/>
    <n v="0"/>
    <n v="0"/>
    <n v="0"/>
    <n v="0"/>
    <n v="1"/>
    <n v="2"/>
    <n v="0"/>
    <n v="0"/>
    <n v="0"/>
    <n v="0"/>
    <n v="0"/>
    <n v="1"/>
    <n v="2"/>
    <n v="0"/>
    <n v="0"/>
    <n v="0"/>
    <n v="0"/>
    <n v="0"/>
    <n v="0"/>
    <n v="0"/>
    <n v="0"/>
    <n v="0"/>
    <n v="0"/>
    <n v="0"/>
    <n v="0"/>
    <n v="0"/>
    <n v="0"/>
    <n v="0"/>
    <n v="0"/>
    <n v="0"/>
    <n v="0"/>
    <x v="0"/>
    <x v="0"/>
    <x v="0"/>
    <x v="0"/>
    <x v="0"/>
    <m/>
    <x v="1"/>
    <x v="0"/>
    <n v="15"/>
    <m/>
    <n v="1"/>
    <n v="1"/>
    <n v="1"/>
    <m/>
    <m/>
    <m/>
    <m/>
    <m/>
    <m/>
    <m/>
    <m/>
    <m/>
    <m/>
    <m/>
    <m/>
    <m/>
    <m/>
    <m/>
    <m/>
    <m/>
    <n v="3"/>
    <n v="3"/>
  </r>
  <r>
    <n v="6508"/>
    <x v="2"/>
    <s v="2016/3447"/>
    <s v="Spice Court, Ivory Square (Plantation Wharf)"/>
    <s v="Former Unit 8"/>
    <n v="526400"/>
    <n v="175699"/>
    <x v="11"/>
    <m/>
    <m/>
    <n v="0"/>
    <n v="2"/>
    <n v="2"/>
    <n v="5"/>
    <n v="5"/>
    <x v="0"/>
    <s v="Determination as to whether prior approval is required for change of use of office at first floor level (Class B1a) to 3 x 2-bedroom residential and 1 x 1-bedroom residential  units (Class C3)."/>
    <s v="PAG"/>
    <d v="2016-06-15T00:00:00"/>
    <d v="2016-08-10T00:00:00"/>
    <x v="0"/>
    <s v="Nil"/>
    <m/>
    <s v="BF"/>
    <s v="COU"/>
    <x v="0"/>
    <x v="6"/>
    <n v="0"/>
    <m/>
    <x v="0"/>
    <m/>
    <x v="0"/>
    <s v="M"/>
    <m/>
    <m/>
    <n v="0"/>
    <n v="0"/>
    <n v="0"/>
    <n v="0"/>
    <n v="0"/>
    <n v="0"/>
    <n v="2"/>
    <n v="0"/>
    <n v="0"/>
    <n v="0"/>
    <n v="0"/>
    <n v="0"/>
    <n v="0"/>
    <n v="2"/>
    <n v="0"/>
    <n v="0"/>
    <n v="0"/>
    <n v="0"/>
    <n v="0"/>
    <n v="0"/>
    <n v="0"/>
    <n v="0"/>
    <n v="0"/>
    <n v="0"/>
    <n v="0"/>
    <n v="0"/>
    <n v="0"/>
    <n v="0"/>
    <n v="0"/>
    <n v="0"/>
    <n v="0"/>
    <n v="0"/>
    <x v="0"/>
    <x v="0"/>
    <x v="0"/>
    <x v="0"/>
    <x v="0"/>
    <m/>
    <x v="1"/>
    <x v="0"/>
    <n v="15"/>
    <m/>
    <n v="0.66666666666666663"/>
    <n v="0.66666666666666663"/>
    <n v="0.66666666666666663"/>
    <m/>
    <m/>
    <m/>
    <m/>
    <m/>
    <m/>
    <m/>
    <m/>
    <m/>
    <m/>
    <m/>
    <m/>
    <m/>
    <m/>
    <m/>
    <m/>
    <m/>
    <n v="2"/>
    <n v="2"/>
  </r>
  <r>
    <n v="6508"/>
    <x v="2"/>
    <s v="2016/3870"/>
    <s v="Spice Court, Ivory Square (Plantation Wharf)"/>
    <s v="Former Units 1, 12 and 13"/>
    <n v="526400"/>
    <n v="175699"/>
    <x v="11"/>
    <m/>
    <m/>
    <n v="0"/>
    <n v="4"/>
    <n v="4"/>
    <n v="4"/>
    <n v="4"/>
    <x v="0"/>
    <s v="Determination as to whether prior approval is required for change of use of offices at ground and second floor levels from (Class B1a) to residential (Class C3) to provide 1 x studio, 1 x 1-bedroom flat and 1 x 3-bedroom flat at second floor, and 1 x 1-bedroom flat at ground floor."/>
    <s v="PAG"/>
    <d v="2016-06-30T00:00:00"/>
    <d v="2016-08-25T00:00:00"/>
    <x v="0"/>
    <s v="Nil"/>
    <m/>
    <s v="BF"/>
    <s v="COU"/>
    <x v="0"/>
    <x v="6"/>
    <n v="2.5000000372528999E-2"/>
    <m/>
    <x v="0"/>
    <m/>
    <x v="0"/>
    <s v="M"/>
    <m/>
    <m/>
    <n v="0"/>
    <n v="0"/>
    <n v="0"/>
    <n v="0"/>
    <n v="1"/>
    <n v="2"/>
    <n v="0"/>
    <n v="1"/>
    <n v="0"/>
    <n v="0"/>
    <n v="0"/>
    <n v="1"/>
    <n v="2"/>
    <n v="0"/>
    <n v="1"/>
    <n v="0"/>
    <n v="0"/>
    <n v="0"/>
    <n v="0"/>
    <n v="0"/>
    <n v="0"/>
    <n v="0"/>
    <n v="0"/>
    <n v="0"/>
    <n v="0"/>
    <n v="0"/>
    <n v="0"/>
    <n v="0"/>
    <n v="0"/>
    <n v="0"/>
    <n v="0"/>
    <n v="0"/>
    <x v="0"/>
    <x v="0"/>
    <x v="0"/>
    <x v="0"/>
    <x v="0"/>
    <m/>
    <x v="1"/>
    <x v="0"/>
    <n v="15"/>
    <m/>
    <n v="1.3333333333333333"/>
    <n v="1.3333333333333333"/>
    <n v="1.3333333333333333"/>
    <m/>
    <m/>
    <m/>
    <m/>
    <m/>
    <m/>
    <m/>
    <m/>
    <m/>
    <m/>
    <m/>
    <m/>
    <m/>
    <m/>
    <m/>
    <m/>
    <m/>
    <n v="4"/>
    <n v="4"/>
  </r>
  <r>
    <n v="6515"/>
    <x v="2"/>
    <s v="2016/6604"/>
    <s v="Norman Court, 160 Lower Richmond Road"/>
    <m/>
    <n v="523349"/>
    <n v="175914"/>
    <x v="0"/>
    <m/>
    <m/>
    <n v="0"/>
    <n v="9"/>
    <n v="9"/>
    <n v="9"/>
    <n v="9"/>
    <x v="0"/>
    <s v="Erection of roof extension at third floor level to provide 7 x 1-bedroom and 2 x studio flats with external balcony access; associated cycle and refuse storage; and landscaping including new front boundary treatment."/>
    <s v="PFLA"/>
    <d v="2016-11-15T00:00:00"/>
    <d v="2018-05-11T00:00:00"/>
    <x v="0"/>
    <s v="Nil"/>
    <m/>
    <s v="BF"/>
    <s v="EXT"/>
    <x v="0"/>
    <x v="3"/>
    <n v="3.70000004768372E-2"/>
    <m/>
    <x v="0"/>
    <m/>
    <x v="1"/>
    <s v="IR"/>
    <m/>
    <m/>
    <n v="0"/>
    <n v="0"/>
    <n v="0"/>
    <n v="0"/>
    <n v="2"/>
    <n v="7"/>
    <n v="0"/>
    <n v="0"/>
    <n v="0"/>
    <n v="0"/>
    <n v="0"/>
    <n v="2"/>
    <n v="7"/>
    <n v="0"/>
    <n v="0"/>
    <n v="0"/>
    <n v="0"/>
    <n v="0"/>
    <n v="0"/>
    <n v="0"/>
    <n v="0"/>
    <n v="0"/>
    <n v="0"/>
    <n v="0"/>
    <n v="0"/>
    <n v="0"/>
    <n v="0"/>
    <n v="0"/>
    <n v="0"/>
    <n v="0"/>
    <n v="0"/>
    <n v="0"/>
    <x v="0"/>
    <x v="0"/>
    <x v="0"/>
    <x v="0"/>
    <x v="0"/>
    <m/>
    <x v="0"/>
    <x v="0"/>
    <n v="16"/>
    <m/>
    <m/>
    <n v="9"/>
    <m/>
    <m/>
    <m/>
    <m/>
    <m/>
    <m/>
    <m/>
    <m/>
    <m/>
    <m/>
    <m/>
    <m/>
    <m/>
    <m/>
    <m/>
    <m/>
    <m/>
    <m/>
    <n v="9"/>
    <n v="9"/>
  </r>
  <r>
    <n v="6519"/>
    <x v="2"/>
    <s v="2016/6539"/>
    <s v="97A Mayford Road"/>
    <m/>
    <n v="528096"/>
    <n v="173420"/>
    <x v="3"/>
    <m/>
    <m/>
    <n v="1"/>
    <n v="1"/>
    <n v="0"/>
    <n v="1"/>
    <n v="0"/>
    <x v="0"/>
    <s v="Alterations including enlargement of front lightwell, replace front door with a window and change of use from live / work unit (Sui Generis) to 1 x 3-bedroom flat (Class Use C3)."/>
    <s v="PF"/>
    <d v="2017-03-09T00:00:00"/>
    <d v="2017-08-22T00:00:00"/>
    <x v="0"/>
    <s v="Nil"/>
    <m/>
    <s v="BF"/>
    <s v="COU"/>
    <x v="0"/>
    <x v="6"/>
    <n v="1.43999997526407E-2"/>
    <m/>
    <x v="0"/>
    <m/>
    <x v="0"/>
    <s v="M"/>
    <m/>
    <m/>
    <n v="0"/>
    <n v="0"/>
    <n v="0"/>
    <n v="0"/>
    <n v="0"/>
    <n v="0"/>
    <n v="0"/>
    <n v="0"/>
    <n v="0"/>
    <n v="0"/>
    <n v="0"/>
    <n v="0"/>
    <n v="0"/>
    <n v="0"/>
    <n v="1"/>
    <n v="0"/>
    <n v="0"/>
    <n v="0"/>
    <n v="0"/>
    <n v="0"/>
    <n v="0"/>
    <n v="0"/>
    <n v="0"/>
    <n v="0"/>
    <n v="0"/>
    <n v="0"/>
    <n v="0"/>
    <n v="0"/>
    <n v="-1"/>
    <n v="0"/>
    <n v="0"/>
    <n v="0"/>
    <x v="0"/>
    <x v="0"/>
    <x v="0"/>
    <x v="0"/>
    <x v="0"/>
    <m/>
    <x v="0"/>
    <x v="0"/>
    <n v="15"/>
    <m/>
    <n v="0"/>
    <n v="0"/>
    <n v="0"/>
    <m/>
    <m/>
    <m/>
    <m/>
    <m/>
    <m/>
    <m/>
    <m/>
    <m/>
    <m/>
    <m/>
    <m/>
    <m/>
    <m/>
    <m/>
    <m/>
    <m/>
    <n v="0"/>
    <n v="0"/>
  </r>
  <r>
    <n v="6523"/>
    <x v="2"/>
    <s v="2018/6143"/>
    <s v="Unit 3 Taylors Yard, 67 Alderbrook Road"/>
    <m/>
    <n v="528682"/>
    <n v="173943"/>
    <x v="6"/>
    <m/>
    <m/>
    <n v="0"/>
    <n v="1"/>
    <n v="1"/>
    <n v="1"/>
    <n v="1"/>
    <x v="0"/>
    <s v="Determination as to whether prior approval is required for change of use from office (Class B1) to 1 x 1-bedroom self contained unit (Class C3)."/>
    <s v="PAG"/>
    <d v="2018-12-13T00:00:00"/>
    <d v="2019-01-30T00:00:00"/>
    <x v="0"/>
    <s v="Nil"/>
    <m/>
    <s v="BF"/>
    <s v="COU"/>
    <x v="0"/>
    <x v="6"/>
    <n v="6.1000000685453401E-2"/>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535"/>
    <x v="2"/>
    <s v="2016/7186"/>
    <s v="The Platt Christian Centre, Felsham Road"/>
    <m/>
    <n v="523949"/>
    <n v="175565"/>
    <x v="0"/>
    <m/>
    <m/>
    <n v="2"/>
    <n v="0"/>
    <n v="-2"/>
    <n v="0"/>
    <n v="-2"/>
    <x v="0"/>
    <s v="Alterations including erection of part single storey, part four storey extension to all elevations and on roof to create 10 additional bedrooms; removal and creation of new external openings; alteration of external cladding, appearance and design of the existing building. Erection of cycle shelter against west elevation. Loss of two flats used by staff."/>
    <s v="PF"/>
    <d v="2016-12-16T00:00:00"/>
    <d v="2017-06-23T00:00:00"/>
    <x v="0"/>
    <s v="Nil"/>
    <m/>
    <s v="BF"/>
    <s v="EXT"/>
    <x v="0"/>
    <x v="11"/>
    <n v="8.0000003799796104E-3"/>
    <m/>
    <x v="0"/>
    <m/>
    <x v="0"/>
    <s v="M"/>
    <m/>
    <m/>
    <n v="0"/>
    <n v="0"/>
    <n v="0"/>
    <n v="0"/>
    <n v="0"/>
    <n v="-1"/>
    <n v="-1"/>
    <n v="0"/>
    <n v="0"/>
    <n v="0"/>
    <n v="0"/>
    <n v="0"/>
    <n v="-1"/>
    <n v="-1"/>
    <n v="0"/>
    <n v="0"/>
    <n v="0"/>
    <n v="0"/>
    <n v="0"/>
    <n v="0"/>
    <n v="0"/>
    <n v="0"/>
    <n v="0"/>
    <n v="0"/>
    <n v="0"/>
    <n v="0"/>
    <n v="0"/>
    <n v="0"/>
    <n v="0"/>
    <n v="0"/>
    <n v="0"/>
    <n v="0"/>
    <x v="0"/>
    <x v="0"/>
    <x v="0"/>
    <x v="0"/>
    <x v="0"/>
    <m/>
    <x v="0"/>
    <x v="0"/>
    <n v="15"/>
    <m/>
    <n v="-0.66666666666666663"/>
    <n v="-0.66666666666666663"/>
    <n v="-0.66666666666666663"/>
    <m/>
    <m/>
    <m/>
    <m/>
    <m/>
    <m/>
    <m/>
    <m/>
    <m/>
    <m/>
    <m/>
    <m/>
    <m/>
    <m/>
    <m/>
    <m/>
    <m/>
    <n v="-2"/>
    <n v="-2"/>
  </r>
  <r>
    <n v="6537"/>
    <x v="2"/>
    <s v="2017/2506"/>
    <s v="106-108 Tooting High Street"/>
    <m/>
    <n v="527325"/>
    <n v="171305"/>
    <x v="1"/>
    <m/>
    <m/>
    <n v="0"/>
    <n v="1"/>
    <n v="1"/>
    <n v="1"/>
    <n v="1"/>
    <x v="0"/>
    <s v="Erection of third floor extension to form 1 x 1-bedroom flat."/>
    <s v="PF"/>
    <d v="2017-05-15T00:00:00"/>
    <d v="2017-09-07T00:00:00"/>
    <x v="0"/>
    <s v="Nil"/>
    <m/>
    <s v="BF"/>
    <s v="EXT"/>
    <x v="0"/>
    <x v="3"/>
    <n v="4.9999998882412902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553"/>
    <x v="2"/>
    <s v="2017/2605"/>
    <s v="487 Merton Road"/>
    <m/>
    <n v="525441"/>
    <n v="172855"/>
    <x v="14"/>
    <m/>
    <m/>
    <n v="0"/>
    <n v="1"/>
    <n v="1"/>
    <n v="1"/>
    <n v="1"/>
    <x v="0"/>
    <s v="Determination as to whether prior approval is required for change of use from retail (Class A1) to 1 x 2-bedroom flat (Class C3) with associated external alterations to front elevations."/>
    <s v="PANR"/>
    <d v="2017-05-03T00:00:00"/>
    <d v="2017-06-14T00:00:00"/>
    <x v="0"/>
    <s v="Nil"/>
    <m/>
    <s v="BF"/>
    <s v="COU"/>
    <x v="0"/>
    <x v="4"/>
    <n v="1.4000000432133701E-2"/>
    <m/>
    <x v="0"/>
    <m/>
    <x v="0"/>
    <s v="M"/>
    <m/>
    <m/>
    <n v="0"/>
    <n v="0"/>
    <n v="0"/>
    <n v="0"/>
    <n v="0"/>
    <n v="0"/>
    <n v="1"/>
    <n v="0"/>
    <n v="0"/>
    <n v="0"/>
    <n v="0"/>
    <n v="0"/>
    <n v="0"/>
    <n v="1"/>
    <n v="0"/>
    <n v="0"/>
    <n v="0"/>
    <n v="0"/>
    <n v="0"/>
    <n v="0"/>
    <n v="0"/>
    <n v="0"/>
    <n v="0"/>
    <n v="0"/>
    <n v="0"/>
    <n v="0"/>
    <n v="0"/>
    <n v="0"/>
    <n v="0"/>
    <n v="0"/>
    <n v="0"/>
    <n v="0"/>
    <x v="0"/>
    <x v="0"/>
    <x v="0"/>
    <x v="0"/>
    <x v="0"/>
    <m/>
    <x v="0"/>
    <x v="1"/>
    <n v="15"/>
    <m/>
    <n v="0.33333333333333331"/>
    <n v="0.33333333333333331"/>
    <n v="0.33333333333333331"/>
    <m/>
    <m/>
    <m/>
    <m/>
    <m/>
    <m/>
    <m/>
    <m/>
    <m/>
    <m/>
    <m/>
    <m/>
    <m/>
    <m/>
    <m/>
    <m/>
    <m/>
    <n v="1"/>
    <n v="1"/>
  </r>
  <r>
    <n v="6565"/>
    <x v="2"/>
    <s v="2017/2023"/>
    <s v="166 Upper Richmond Road"/>
    <m/>
    <n v="524133"/>
    <n v="175006"/>
    <x v="0"/>
    <m/>
    <m/>
    <n v="0"/>
    <n v="5"/>
    <n v="5"/>
    <n v="5"/>
    <n v="5"/>
    <x v="0"/>
    <s v="Demolition of existing 5-storey office building and construction of a new 6-storey (plus lower-ground floor) mixed-use building with office space at lower-ground and ground floors and 5 x 2 bed residential flats above (1 x unit per floor level)"/>
    <s v="PF"/>
    <d v="2017-04-10T00:00:00"/>
    <d v="2017-06-26T00:00:00"/>
    <x v="0"/>
    <s v="Nil"/>
    <m/>
    <s v="BF"/>
    <s v="NB"/>
    <x v="0"/>
    <x v="5"/>
    <n v="9.9999997764825804E-3"/>
    <m/>
    <x v="0"/>
    <m/>
    <x v="0"/>
    <s v="M"/>
    <m/>
    <m/>
    <n v="0"/>
    <n v="0"/>
    <n v="0"/>
    <n v="0"/>
    <n v="0"/>
    <n v="0"/>
    <n v="5"/>
    <n v="0"/>
    <n v="0"/>
    <n v="0"/>
    <n v="0"/>
    <n v="0"/>
    <n v="0"/>
    <n v="5"/>
    <n v="0"/>
    <n v="0"/>
    <n v="0"/>
    <n v="0"/>
    <n v="0"/>
    <n v="0"/>
    <n v="0"/>
    <n v="0"/>
    <n v="0"/>
    <n v="0"/>
    <n v="0"/>
    <n v="0"/>
    <n v="0"/>
    <n v="0"/>
    <n v="0"/>
    <n v="0"/>
    <n v="0"/>
    <n v="0"/>
    <x v="2"/>
    <x v="0"/>
    <x v="0"/>
    <x v="0"/>
    <x v="1"/>
    <m/>
    <x v="0"/>
    <x v="0"/>
    <n v="6"/>
    <m/>
    <m/>
    <n v="1.25"/>
    <n v="1.25"/>
    <n v="1.25"/>
    <n v="1.25"/>
    <m/>
    <m/>
    <m/>
    <m/>
    <m/>
    <m/>
    <m/>
    <m/>
    <m/>
    <m/>
    <m/>
    <m/>
    <m/>
    <m/>
    <m/>
    <n v="5"/>
    <n v="5"/>
  </r>
  <r>
    <n v="6567"/>
    <x v="2"/>
    <s v="2017/2071"/>
    <s v="11 Balmuir Gardens"/>
    <m/>
    <n v="523343"/>
    <n v="175175"/>
    <x v="15"/>
    <m/>
    <m/>
    <n v="2"/>
    <n v="1"/>
    <n v="-1"/>
    <n v="1"/>
    <n v="-1"/>
    <x v="0"/>
    <s v="Conversion of property from two flats into a single dwelling house. Erection of single-storey rear/side extension. Alteration to the location of the ground floor front door."/>
    <s v="PF"/>
    <d v="2017-04-10T00:00:00"/>
    <d v="2017-06-02T00:00:00"/>
    <x v="0"/>
    <s v="Nil"/>
    <m/>
    <s v="BF"/>
    <s v="MIX"/>
    <x v="0"/>
    <x v="8"/>
    <n v="1.60000007599592E-2"/>
    <m/>
    <x v="0"/>
    <m/>
    <x v="0"/>
    <s v="M"/>
    <m/>
    <m/>
    <n v="0"/>
    <n v="0"/>
    <n v="0"/>
    <n v="0"/>
    <n v="0"/>
    <n v="-1"/>
    <n v="0"/>
    <n v="0"/>
    <n v="0"/>
    <n v="0"/>
    <n v="0"/>
    <n v="0"/>
    <n v="-1"/>
    <n v="0"/>
    <n v="0"/>
    <n v="0"/>
    <n v="-1"/>
    <n v="0"/>
    <n v="0"/>
    <n v="0"/>
    <n v="0"/>
    <n v="0"/>
    <n v="0"/>
    <n v="1"/>
    <n v="0"/>
    <n v="0"/>
    <n v="0"/>
    <n v="0"/>
    <n v="0"/>
    <n v="0"/>
    <n v="0"/>
    <n v="0"/>
    <x v="0"/>
    <x v="0"/>
    <x v="0"/>
    <x v="0"/>
    <x v="0"/>
    <m/>
    <x v="0"/>
    <x v="0"/>
    <n v="15"/>
    <m/>
    <n v="-0.33333333333333331"/>
    <n v="-0.33333333333333331"/>
    <n v="-0.33333333333333331"/>
    <m/>
    <m/>
    <m/>
    <m/>
    <m/>
    <m/>
    <m/>
    <m/>
    <m/>
    <m/>
    <m/>
    <m/>
    <m/>
    <m/>
    <m/>
    <m/>
    <m/>
    <n v="-1"/>
    <n v="-1"/>
  </r>
  <r>
    <n v="6570"/>
    <x v="2"/>
    <s v="2017/1165"/>
    <s v="72 Oakmead Road"/>
    <m/>
    <n v="528493"/>
    <n v="173145"/>
    <x v="3"/>
    <m/>
    <m/>
    <n v="0"/>
    <n v="1"/>
    <n v="1"/>
    <n v="1"/>
    <n v="1"/>
    <x v="0"/>
    <s v="Alterations including erection of mansard roof extension to main rear roof and over part of two storey back addition, formation of roof terrace over part of two storey back addition with 1.7m screen surround, and internal alterations in connection with creation of 1 x 1-bedroom flat.  Provision of cycle storage and bin storage to front."/>
    <s v="PF"/>
    <d v="2017-05-01T00:00:00"/>
    <d v="2017-06-26T00:00:00"/>
    <x v="0"/>
    <s v="Nil"/>
    <m/>
    <s v="BF"/>
    <s v="EXT"/>
    <x v="0"/>
    <x v="3"/>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576"/>
    <x v="2"/>
    <s v="2017/6117"/>
    <s v="71 Northcote Road"/>
    <s v="conversion"/>
    <n v="527523"/>
    <n v="174885"/>
    <x v="4"/>
    <m/>
    <m/>
    <n v="1"/>
    <n v="1"/>
    <n v="0"/>
    <n v="4"/>
    <n v="3"/>
    <x v="0"/>
    <s v="Change of use from Class A1(Shops) to Class A3 (Restaurants and Cafes).  Erection of side and rear extensions at ground, first and second floor levels to provide 4no. residential units (1 x bedsit; 1 x 1-bedroom and 2 x 2-bedroom flats.)."/>
    <s v="RP"/>
    <d v="2017-11-03T00:00:00"/>
    <d v="2017-12-29T00:00:00"/>
    <x v="0"/>
    <s v="APG"/>
    <d v="2018-05-30T00:00:00"/>
    <s v="BF"/>
    <s v="MIX"/>
    <x v="0"/>
    <x v="0"/>
    <n v="4.0000001899898104E-3"/>
    <m/>
    <x v="0"/>
    <m/>
    <x v="0"/>
    <s v="M"/>
    <m/>
    <m/>
    <n v="0"/>
    <n v="0"/>
    <n v="0"/>
    <n v="0"/>
    <n v="0"/>
    <n v="0"/>
    <n v="0"/>
    <n v="0"/>
    <n v="0"/>
    <n v="0"/>
    <n v="0"/>
    <n v="0"/>
    <n v="0"/>
    <n v="0"/>
    <n v="0"/>
    <n v="0"/>
    <n v="0"/>
    <n v="0"/>
    <n v="0"/>
    <n v="0"/>
    <n v="0"/>
    <n v="0"/>
    <n v="0"/>
    <n v="0"/>
    <n v="0"/>
    <n v="0"/>
    <n v="0"/>
    <n v="0"/>
    <n v="0"/>
    <n v="0"/>
    <n v="0"/>
    <n v="0"/>
    <x v="1"/>
    <x v="0"/>
    <x v="0"/>
    <x v="0"/>
    <x v="0"/>
    <m/>
    <x v="0"/>
    <x v="0"/>
    <n v="15"/>
    <m/>
    <n v="0"/>
    <n v="0"/>
    <n v="0"/>
    <m/>
    <m/>
    <m/>
    <m/>
    <m/>
    <m/>
    <m/>
    <m/>
    <m/>
    <m/>
    <m/>
    <m/>
    <m/>
    <m/>
    <m/>
    <m/>
    <m/>
    <n v="0"/>
    <n v="0"/>
  </r>
  <r>
    <n v="6576"/>
    <x v="2"/>
    <s v="2017/6117"/>
    <s v="71 Northcote Road"/>
    <s v="extn to ex"/>
    <n v="527523"/>
    <n v="174885"/>
    <x v="4"/>
    <m/>
    <m/>
    <n v="0"/>
    <n v="3"/>
    <n v="3"/>
    <n v="4"/>
    <n v="3"/>
    <x v="0"/>
    <s v="Change of use from Class A1(Shops) to Class A3 (Restaurants and Cafes).  Erection of side and rear extensions at ground, first and second floor levels to provide 4no. residential units (1 x bedsit; 1 x 1-bedroom and 2 x 2-bedroom flats.)."/>
    <s v="RP"/>
    <d v="2017-11-03T00:00:00"/>
    <d v="2017-12-29T00:00:00"/>
    <x v="0"/>
    <s v="APG"/>
    <d v="2018-05-30T00:00:00"/>
    <s v="BF"/>
    <s v="MIX"/>
    <x v="0"/>
    <x v="3"/>
    <n v="9.9999997764825804E-3"/>
    <m/>
    <x v="0"/>
    <m/>
    <x v="0"/>
    <s v="M"/>
    <m/>
    <m/>
    <n v="0"/>
    <n v="0"/>
    <n v="0"/>
    <n v="0"/>
    <n v="1"/>
    <n v="1"/>
    <n v="1"/>
    <n v="0"/>
    <n v="0"/>
    <n v="0"/>
    <n v="0"/>
    <n v="1"/>
    <n v="1"/>
    <n v="1"/>
    <n v="0"/>
    <n v="0"/>
    <n v="0"/>
    <n v="0"/>
    <n v="0"/>
    <n v="0"/>
    <n v="0"/>
    <n v="0"/>
    <n v="0"/>
    <n v="0"/>
    <n v="0"/>
    <n v="0"/>
    <n v="0"/>
    <n v="0"/>
    <n v="0"/>
    <n v="0"/>
    <n v="0"/>
    <n v="0"/>
    <x v="1"/>
    <x v="0"/>
    <x v="0"/>
    <x v="0"/>
    <x v="0"/>
    <m/>
    <x v="0"/>
    <x v="0"/>
    <n v="15"/>
    <m/>
    <n v="1"/>
    <n v="1"/>
    <n v="1"/>
    <m/>
    <m/>
    <m/>
    <m/>
    <m/>
    <m/>
    <m/>
    <m/>
    <m/>
    <m/>
    <m/>
    <m/>
    <m/>
    <m/>
    <m/>
    <m/>
    <m/>
    <n v="3"/>
    <n v="3"/>
  </r>
  <r>
    <n v="6591"/>
    <x v="2"/>
    <s v="2017/2123"/>
    <s v="22 Bangalore Street"/>
    <m/>
    <n v="523591"/>
    <n v="175605"/>
    <x v="0"/>
    <m/>
    <m/>
    <n v="0"/>
    <n v="1"/>
    <n v="1"/>
    <n v="1"/>
    <n v="1"/>
    <x v="0"/>
    <s v="Demolition of single storey extension and garage and erection of 1 x 2-bedroom two-storey house; associated alterations including landscaping, refuse and cycle storage."/>
    <s v="PF"/>
    <d v="2017-04-28T00:00:00"/>
    <d v="2017-09-21T00:00:00"/>
    <x v="0"/>
    <s v="Nil"/>
    <m/>
    <s v="BF"/>
    <s v="NB"/>
    <x v="0"/>
    <x v="5"/>
    <n v="1.9999999552965199E-2"/>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6594"/>
    <x v="2"/>
    <s v="2017/2629"/>
    <s v="26 Battersea Rise"/>
    <m/>
    <n v="527616"/>
    <n v="175165"/>
    <x v="4"/>
    <m/>
    <m/>
    <n v="0"/>
    <n v="1"/>
    <n v="1"/>
    <n v="1"/>
    <n v="1"/>
    <x v="0"/>
    <s v="Erection of mansard roof extension to main rear roof and extension above two-storey back addition to form 1 x 1-bedroom flat."/>
    <s v="PF"/>
    <d v="2017-05-17T00:00:00"/>
    <d v="2017-07-12T00:00:00"/>
    <x v="0"/>
    <s v="Nil"/>
    <m/>
    <s v="BF"/>
    <s v="EXT"/>
    <x v="0"/>
    <x v="3"/>
    <n v="3.0000000260770299E-3"/>
    <m/>
    <x v="0"/>
    <m/>
    <x v="0"/>
    <s v="M"/>
    <m/>
    <m/>
    <n v="0"/>
    <n v="0"/>
    <n v="0"/>
    <n v="0"/>
    <n v="0"/>
    <n v="1"/>
    <n v="0"/>
    <n v="0"/>
    <n v="0"/>
    <n v="0"/>
    <n v="0"/>
    <n v="0"/>
    <n v="1"/>
    <n v="0"/>
    <n v="0"/>
    <n v="0"/>
    <n v="0"/>
    <n v="0"/>
    <n v="0"/>
    <n v="0"/>
    <n v="0"/>
    <n v="0"/>
    <n v="0"/>
    <n v="0"/>
    <n v="0"/>
    <n v="0"/>
    <n v="0"/>
    <n v="0"/>
    <n v="0"/>
    <n v="0"/>
    <n v="0"/>
    <n v="0"/>
    <x v="1"/>
    <x v="0"/>
    <x v="0"/>
    <x v="0"/>
    <x v="0"/>
    <m/>
    <x v="0"/>
    <x v="0"/>
    <n v="15"/>
    <m/>
    <n v="0.33333333333333331"/>
    <n v="0.33333333333333331"/>
    <n v="0.33333333333333331"/>
    <m/>
    <m/>
    <m/>
    <m/>
    <m/>
    <m/>
    <m/>
    <m/>
    <m/>
    <m/>
    <m/>
    <m/>
    <m/>
    <m/>
    <m/>
    <m/>
    <m/>
    <n v="1"/>
    <n v="1"/>
  </r>
  <r>
    <n v="6597"/>
    <x v="2"/>
    <s v="2017/4993"/>
    <s v="108 Mitcham road"/>
    <m/>
    <n v="527676"/>
    <n v="171198"/>
    <x v="10"/>
    <m/>
    <m/>
    <n v="2"/>
    <n v="3"/>
    <n v="1"/>
    <n v="4"/>
    <n v="2"/>
    <x v="0"/>
    <s v="Alterations including erection of two storey rear extension and erection of mansard roof extension to create additional floor of accommodation in connection with conversion of existin 2 x 3-bedroom flats to 4 x 1-bedroom flats."/>
    <s v="PF"/>
    <d v="2017-10-31T00:00:00"/>
    <d v="2017-12-20T00:00:00"/>
    <x v="0"/>
    <s v="Nil"/>
    <m/>
    <s v="BF"/>
    <s v="MIX"/>
    <x v="0"/>
    <x v="0"/>
    <n v="8.9999996125698107E-3"/>
    <m/>
    <x v="0"/>
    <m/>
    <x v="0"/>
    <s v="M"/>
    <m/>
    <m/>
    <n v="0"/>
    <n v="0"/>
    <n v="0"/>
    <n v="0"/>
    <n v="0"/>
    <n v="3"/>
    <n v="0"/>
    <n v="-2"/>
    <n v="0"/>
    <n v="0"/>
    <n v="0"/>
    <n v="0"/>
    <n v="3"/>
    <n v="0"/>
    <n v="-2"/>
    <n v="0"/>
    <n v="0"/>
    <n v="0"/>
    <n v="0"/>
    <n v="0"/>
    <n v="0"/>
    <n v="0"/>
    <n v="0"/>
    <n v="0"/>
    <n v="0"/>
    <n v="0"/>
    <n v="0"/>
    <n v="0"/>
    <n v="0"/>
    <n v="0"/>
    <n v="0"/>
    <n v="0"/>
    <x v="4"/>
    <x v="0"/>
    <x v="0"/>
    <x v="0"/>
    <x v="0"/>
    <m/>
    <x v="0"/>
    <x v="0"/>
    <n v="15"/>
    <m/>
    <n v="0.33333333333333331"/>
    <n v="0.33333333333333331"/>
    <n v="0.33333333333333331"/>
    <m/>
    <m/>
    <m/>
    <m/>
    <m/>
    <m/>
    <m/>
    <m/>
    <m/>
    <m/>
    <m/>
    <m/>
    <m/>
    <m/>
    <m/>
    <m/>
    <m/>
    <n v="1"/>
    <n v="1"/>
  </r>
  <r>
    <n v="6597"/>
    <x v="2"/>
    <s v="2017/4993"/>
    <s v="108 Mitcham road"/>
    <m/>
    <n v="527676"/>
    <n v="171198"/>
    <x v="10"/>
    <m/>
    <m/>
    <n v="0"/>
    <n v="1"/>
    <n v="1"/>
    <n v="4"/>
    <n v="2"/>
    <x v="0"/>
    <s v="Alterations including erection of two storey rear extension and erection of mansard roof extension to create additional floor of accommodation in connection with conversion of existin 2 x 3-bedroom flats to 4 x 1-bedroom flats."/>
    <s v="PF"/>
    <d v="2017-10-31T00:00:00"/>
    <d v="2017-12-20T00:00:00"/>
    <x v="0"/>
    <s v="Nil"/>
    <m/>
    <s v="BF"/>
    <s v="MIX"/>
    <x v="0"/>
    <x v="5"/>
    <n v="3.0000000260770299E-3"/>
    <m/>
    <x v="0"/>
    <m/>
    <x v="0"/>
    <s v="M"/>
    <m/>
    <m/>
    <n v="0"/>
    <n v="0"/>
    <n v="0"/>
    <n v="0"/>
    <n v="0"/>
    <n v="1"/>
    <n v="0"/>
    <n v="0"/>
    <n v="0"/>
    <n v="0"/>
    <n v="0"/>
    <n v="0"/>
    <n v="1"/>
    <n v="0"/>
    <n v="0"/>
    <n v="0"/>
    <n v="0"/>
    <n v="0"/>
    <n v="0"/>
    <n v="0"/>
    <n v="0"/>
    <n v="0"/>
    <n v="0"/>
    <n v="0"/>
    <n v="0"/>
    <n v="0"/>
    <n v="0"/>
    <n v="0"/>
    <n v="0"/>
    <n v="0"/>
    <n v="0"/>
    <n v="0"/>
    <x v="4"/>
    <x v="0"/>
    <x v="0"/>
    <x v="0"/>
    <x v="0"/>
    <m/>
    <x v="0"/>
    <x v="0"/>
    <n v="15"/>
    <m/>
    <n v="0.33333333333333331"/>
    <n v="0.33333333333333331"/>
    <n v="0.33333333333333331"/>
    <m/>
    <m/>
    <m/>
    <m/>
    <m/>
    <m/>
    <m/>
    <m/>
    <m/>
    <m/>
    <m/>
    <m/>
    <m/>
    <m/>
    <m/>
    <m/>
    <m/>
    <n v="1"/>
    <n v="1"/>
  </r>
  <r>
    <n v="6600"/>
    <x v="2"/>
    <s v="2017/4296"/>
    <s v="107 Allfarthing Lane"/>
    <m/>
    <n v="525959"/>
    <n v="174033"/>
    <x v="8"/>
    <m/>
    <m/>
    <n v="0"/>
    <n v="2"/>
    <n v="2"/>
    <n v="2"/>
    <n v="2"/>
    <x v="0"/>
    <s v="Determination as to whether prior approval is required for change of use from retail (Class A1) to 1 x 1-bedroom flat and 1 studio flat (Class C3)."/>
    <s v="PANR"/>
    <d v="2017-09-20T00:00:00"/>
    <d v="2017-11-15T00:00:00"/>
    <x v="0"/>
    <s v="Nil"/>
    <m/>
    <s v="BF"/>
    <s v="COU"/>
    <x v="0"/>
    <x v="4"/>
    <n v="4.9999998882412902E-3"/>
    <m/>
    <x v="0"/>
    <m/>
    <x v="0"/>
    <s v="M"/>
    <m/>
    <m/>
    <n v="0"/>
    <n v="0"/>
    <n v="0"/>
    <n v="0"/>
    <n v="1"/>
    <n v="1"/>
    <n v="0"/>
    <n v="0"/>
    <n v="0"/>
    <n v="0"/>
    <n v="0"/>
    <n v="1"/>
    <n v="1"/>
    <n v="0"/>
    <n v="0"/>
    <n v="0"/>
    <n v="0"/>
    <n v="0"/>
    <n v="0"/>
    <n v="0"/>
    <n v="0"/>
    <n v="0"/>
    <n v="0"/>
    <n v="0"/>
    <n v="0"/>
    <n v="0"/>
    <n v="0"/>
    <n v="0"/>
    <n v="0"/>
    <n v="0"/>
    <n v="0"/>
    <n v="0"/>
    <x v="0"/>
    <x v="0"/>
    <x v="0"/>
    <x v="0"/>
    <x v="0"/>
    <m/>
    <x v="0"/>
    <x v="0"/>
    <n v="15"/>
    <m/>
    <n v="0.66666666666666663"/>
    <n v="0.66666666666666663"/>
    <n v="0.66666666666666663"/>
    <m/>
    <m/>
    <m/>
    <m/>
    <m/>
    <m/>
    <m/>
    <m/>
    <m/>
    <m/>
    <m/>
    <m/>
    <m/>
    <m/>
    <m/>
    <m/>
    <m/>
    <n v="2"/>
    <n v="2"/>
  </r>
  <r>
    <n v="6613"/>
    <x v="2"/>
    <s v="2017/6931"/>
    <s v="61-64 Sefton Street"/>
    <m/>
    <n v="523233"/>
    <n v="176094"/>
    <x v="0"/>
    <m/>
    <m/>
    <n v="0"/>
    <n v="6"/>
    <n v="6"/>
    <n v="6"/>
    <n v="6"/>
    <x v="0"/>
    <s v="Demolition of existing buildings and erection of a four storey building comprising 105sq.m ground floor commercial unit (Use Classes A1, A2 or B1), 3 x 1-bedroom and 2 x 2-bedroom flats above with front roof terrace and a two-storey, 2-bedroom mews house at the rear with two parking spaces, refuse and cycle storage."/>
    <s v="PF"/>
    <d v="2017-12-19T00:00:00"/>
    <d v="2018-04-03T00:00:00"/>
    <x v="0"/>
    <s v="Nil"/>
    <m/>
    <s v="BF"/>
    <s v="NB"/>
    <x v="0"/>
    <x v="5"/>
    <n v="3.0999999493360499E-2"/>
    <m/>
    <x v="0"/>
    <m/>
    <x v="0"/>
    <s v="M"/>
    <m/>
    <m/>
    <n v="0"/>
    <n v="0"/>
    <n v="0"/>
    <n v="0"/>
    <n v="0"/>
    <n v="3"/>
    <n v="3"/>
    <n v="0"/>
    <n v="0"/>
    <n v="0"/>
    <n v="0"/>
    <n v="0"/>
    <n v="3"/>
    <n v="2"/>
    <n v="0"/>
    <n v="0"/>
    <n v="0"/>
    <n v="0"/>
    <n v="0"/>
    <n v="0"/>
    <n v="1"/>
    <n v="0"/>
    <n v="0"/>
    <n v="0"/>
    <n v="0"/>
    <n v="0"/>
    <n v="0"/>
    <n v="0"/>
    <n v="0"/>
    <n v="0"/>
    <n v="0"/>
    <n v="0"/>
    <x v="0"/>
    <x v="0"/>
    <x v="0"/>
    <x v="0"/>
    <x v="0"/>
    <m/>
    <x v="0"/>
    <x v="0"/>
    <n v="7"/>
    <m/>
    <m/>
    <n v="6"/>
    <m/>
    <m/>
    <m/>
    <m/>
    <m/>
    <m/>
    <m/>
    <m/>
    <m/>
    <m/>
    <m/>
    <m/>
    <m/>
    <m/>
    <m/>
    <m/>
    <m/>
    <m/>
    <n v="6"/>
    <n v="6"/>
  </r>
  <r>
    <n v="6627"/>
    <x v="2"/>
    <s v="2017/3404"/>
    <s v="179 Battersea Park Road"/>
    <m/>
    <n v="528710"/>
    <n v="176889"/>
    <x v="12"/>
    <m/>
    <m/>
    <n v="4"/>
    <n v="3"/>
    <n v="-1"/>
    <n v="3"/>
    <n v="-1"/>
    <x v="0"/>
    <s v="Erection of three storey rear extension and side extension on the third floor and conversion of basement into shop storage."/>
    <s v="PF"/>
    <d v="2017-06-09T00:00:00"/>
    <d v="2017-09-06T00:00:00"/>
    <x v="0"/>
    <s v="Nil"/>
    <m/>
    <s v="BF"/>
    <s v="MIX"/>
    <x v="0"/>
    <x v="10"/>
    <n v="7.0000002160668399E-3"/>
    <m/>
    <x v="0"/>
    <m/>
    <x v="0"/>
    <s v="M"/>
    <s v="2.1.30"/>
    <m/>
    <n v="0"/>
    <n v="0"/>
    <n v="0"/>
    <n v="0"/>
    <n v="0"/>
    <n v="-1"/>
    <n v="1"/>
    <n v="-1"/>
    <n v="0"/>
    <n v="0"/>
    <n v="0"/>
    <n v="0"/>
    <n v="-1"/>
    <n v="1"/>
    <n v="-1"/>
    <n v="0"/>
    <n v="0"/>
    <n v="0"/>
    <n v="0"/>
    <n v="0"/>
    <n v="0"/>
    <n v="0"/>
    <n v="0"/>
    <n v="0"/>
    <n v="0"/>
    <n v="0"/>
    <n v="0"/>
    <n v="0"/>
    <n v="0"/>
    <n v="0"/>
    <n v="0"/>
    <n v="0"/>
    <x v="0"/>
    <x v="1"/>
    <x v="0"/>
    <x v="0"/>
    <x v="0"/>
    <m/>
    <x v="0"/>
    <x v="0"/>
    <n v="15"/>
    <m/>
    <n v="-0.33333333333333331"/>
    <n v="-0.33333333333333331"/>
    <n v="-0.33333333333333331"/>
    <m/>
    <m/>
    <m/>
    <m/>
    <m/>
    <m/>
    <m/>
    <m/>
    <m/>
    <m/>
    <m/>
    <m/>
    <m/>
    <m/>
    <m/>
    <m/>
    <m/>
    <n v="-1"/>
    <n v="-1"/>
  </r>
  <r>
    <n v="6646"/>
    <x v="2"/>
    <s v="2017/3527"/>
    <s v="238a Balham High Road"/>
    <m/>
    <n v="528286"/>
    <n v="172911"/>
    <x v="3"/>
    <m/>
    <m/>
    <n v="1"/>
    <n v="2"/>
    <n v="1"/>
    <n v="2"/>
    <n v="1"/>
    <x v="0"/>
    <s v="Alterations including two-storey extension above rear addition and conversion of property to 1 x 1 bedroom flat and 1 x 2 bedroom flats."/>
    <s v="PF"/>
    <d v="2017-06-29T00:00:00"/>
    <d v="2017-08-24T00:00:00"/>
    <x v="0"/>
    <s v="Nil"/>
    <m/>
    <s v="BF"/>
    <s v="MIX"/>
    <x v="0"/>
    <x v="0"/>
    <n v="9.9999997764825804E-3"/>
    <m/>
    <x v="0"/>
    <m/>
    <x v="0"/>
    <s v="M"/>
    <m/>
    <m/>
    <n v="0"/>
    <n v="0"/>
    <n v="0"/>
    <n v="0"/>
    <n v="0"/>
    <n v="1"/>
    <n v="1"/>
    <n v="0"/>
    <n v="-1"/>
    <n v="0"/>
    <n v="0"/>
    <n v="0"/>
    <n v="1"/>
    <n v="1"/>
    <n v="0"/>
    <n v="-1"/>
    <n v="0"/>
    <n v="0"/>
    <n v="0"/>
    <n v="0"/>
    <n v="0"/>
    <n v="0"/>
    <n v="0"/>
    <n v="0"/>
    <n v="0"/>
    <n v="0"/>
    <n v="0"/>
    <n v="0"/>
    <n v="0"/>
    <n v="0"/>
    <n v="0"/>
    <n v="0"/>
    <x v="0"/>
    <x v="0"/>
    <x v="0"/>
    <x v="0"/>
    <x v="0"/>
    <m/>
    <x v="0"/>
    <x v="0"/>
    <n v="15"/>
    <m/>
    <n v="0.33333333333333331"/>
    <n v="0.33333333333333331"/>
    <n v="0.33333333333333331"/>
    <m/>
    <m/>
    <m/>
    <m/>
    <m/>
    <m/>
    <m/>
    <m/>
    <m/>
    <m/>
    <m/>
    <m/>
    <m/>
    <m/>
    <m/>
    <m/>
    <m/>
    <n v="1"/>
    <n v="1"/>
  </r>
  <r>
    <n v="6649"/>
    <x v="2"/>
    <s v="2017/4039"/>
    <s v="41 Eglantine Road"/>
    <m/>
    <n v="526076"/>
    <n v="174533"/>
    <x v="2"/>
    <m/>
    <m/>
    <n v="2"/>
    <n v="1"/>
    <n v="-1"/>
    <n v="1"/>
    <n v="-1"/>
    <x v="0"/>
    <s v="Alterations including erection of front boundary gate and railings in connection with use as a single dwellinghouse."/>
    <s v="PF"/>
    <d v="2017-07-18T00:00:00"/>
    <d v="2017-09-07T00:00:00"/>
    <x v="0"/>
    <s v="Nil"/>
    <m/>
    <s v="BF"/>
    <s v="CON"/>
    <x v="0"/>
    <x v="8"/>
    <n v="2.4000000208616298E-2"/>
    <m/>
    <x v="0"/>
    <m/>
    <x v="0"/>
    <s v="M"/>
    <m/>
    <m/>
    <n v="0"/>
    <n v="0"/>
    <n v="0"/>
    <n v="0"/>
    <n v="0"/>
    <n v="0"/>
    <n v="-2"/>
    <n v="0"/>
    <n v="1"/>
    <n v="0"/>
    <n v="0"/>
    <n v="0"/>
    <n v="0"/>
    <n v="-2"/>
    <n v="0"/>
    <n v="0"/>
    <n v="0"/>
    <n v="0"/>
    <n v="0"/>
    <n v="0"/>
    <n v="0"/>
    <n v="0"/>
    <n v="1"/>
    <n v="0"/>
    <n v="0"/>
    <n v="0"/>
    <n v="0"/>
    <n v="0"/>
    <n v="0"/>
    <n v="0"/>
    <n v="0"/>
    <n v="0"/>
    <x v="0"/>
    <x v="0"/>
    <x v="0"/>
    <x v="0"/>
    <x v="0"/>
    <m/>
    <x v="0"/>
    <x v="0"/>
    <n v="15"/>
    <m/>
    <n v="-0.33333333333333331"/>
    <n v="-0.33333333333333331"/>
    <n v="-0.33333333333333331"/>
    <m/>
    <m/>
    <m/>
    <m/>
    <m/>
    <m/>
    <m/>
    <m/>
    <m/>
    <m/>
    <m/>
    <m/>
    <m/>
    <m/>
    <m/>
    <m/>
    <m/>
    <n v="-1"/>
    <n v="-1"/>
  </r>
  <r>
    <n v="6654"/>
    <x v="2"/>
    <s v="2017/3835"/>
    <s v="1 The Pleasance"/>
    <m/>
    <n v="522636"/>
    <n v="175154"/>
    <x v="15"/>
    <m/>
    <m/>
    <n v="1"/>
    <n v="2"/>
    <n v="1"/>
    <n v="2"/>
    <n v="1"/>
    <x v="0"/>
    <s v="Alterations including erection of rear dormer and single-storey rear extension."/>
    <s v="PF"/>
    <d v="2017-07-20T00:00:00"/>
    <d v="2017-09-13T00:00:00"/>
    <x v="0"/>
    <s v="Nil"/>
    <m/>
    <s v="BF"/>
    <s v="MIX"/>
    <x v="0"/>
    <x v="2"/>
    <n v="2.3000000044703501E-2"/>
    <m/>
    <x v="0"/>
    <m/>
    <x v="0"/>
    <s v="M"/>
    <m/>
    <m/>
    <n v="0"/>
    <n v="0"/>
    <n v="0"/>
    <n v="0"/>
    <n v="0"/>
    <n v="0"/>
    <n v="1"/>
    <n v="0"/>
    <n v="0"/>
    <n v="0"/>
    <n v="0"/>
    <n v="0"/>
    <n v="0"/>
    <n v="1"/>
    <n v="1"/>
    <n v="0"/>
    <n v="0"/>
    <n v="0"/>
    <n v="0"/>
    <n v="0"/>
    <n v="0"/>
    <n v="-1"/>
    <n v="0"/>
    <n v="0"/>
    <n v="0"/>
    <n v="0"/>
    <n v="0"/>
    <n v="0"/>
    <n v="0"/>
    <n v="0"/>
    <n v="0"/>
    <n v="0"/>
    <x v="0"/>
    <x v="0"/>
    <x v="0"/>
    <x v="0"/>
    <x v="0"/>
    <m/>
    <x v="0"/>
    <x v="0"/>
    <n v="15"/>
    <m/>
    <n v="0.33333333333333331"/>
    <n v="0.33333333333333331"/>
    <n v="0.33333333333333331"/>
    <m/>
    <m/>
    <m/>
    <m/>
    <m/>
    <m/>
    <m/>
    <m/>
    <m/>
    <m/>
    <m/>
    <m/>
    <m/>
    <m/>
    <m/>
    <m/>
    <m/>
    <n v="1"/>
    <n v="1"/>
  </r>
  <r>
    <n v="6658"/>
    <x v="2"/>
    <s v="2017/4187"/>
    <s v="286-288 Queenstown Road"/>
    <m/>
    <n v="528711"/>
    <n v="176946"/>
    <x v="12"/>
    <m/>
    <m/>
    <n v="6"/>
    <n v="8"/>
    <n v="2"/>
    <n v="8"/>
    <n v="2"/>
    <x v="0"/>
    <s v="Loft conversion at each of the adjoining properties at no.286 and no.288 Queenstown Road to create 1 new flat. The two existing flats at first and second floor level will be reconfigured to comply with National Standards."/>
    <s v="PF"/>
    <d v="2017-07-26T00:00:00"/>
    <d v="2018-05-18T00:00:00"/>
    <x v="0"/>
    <s v="Nil"/>
    <m/>
    <s v="BF"/>
    <s v="MIX"/>
    <x v="0"/>
    <x v="0"/>
    <n v="2.3000000044703501E-2"/>
    <m/>
    <x v="0"/>
    <m/>
    <x v="0"/>
    <s v="M"/>
    <m/>
    <m/>
    <n v="0"/>
    <n v="0"/>
    <n v="0"/>
    <n v="0"/>
    <n v="0"/>
    <n v="1"/>
    <n v="3"/>
    <n v="-2"/>
    <n v="0"/>
    <n v="0"/>
    <n v="0"/>
    <n v="0"/>
    <n v="1"/>
    <n v="3"/>
    <n v="-2"/>
    <n v="0"/>
    <n v="0"/>
    <n v="0"/>
    <n v="0"/>
    <n v="0"/>
    <n v="0"/>
    <n v="0"/>
    <n v="0"/>
    <n v="0"/>
    <n v="0"/>
    <n v="0"/>
    <n v="0"/>
    <n v="0"/>
    <n v="0"/>
    <n v="0"/>
    <n v="0"/>
    <n v="0"/>
    <x v="0"/>
    <x v="1"/>
    <x v="0"/>
    <x v="0"/>
    <x v="0"/>
    <m/>
    <x v="0"/>
    <x v="0"/>
    <n v="18"/>
    <m/>
    <m/>
    <n v="0.5"/>
    <n v="0.5"/>
    <n v="0.5"/>
    <n v="0.5"/>
    <m/>
    <m/>
    <m/>
    <m/>
    <m/>
    <m/>
    <m/>
    <m/>
    <m/>
    <m/>
    <m/>
    <m/>
    <m/>
    <m/>
    <m/>
    <n v="2"/>
    <n v="2"/>
  </r>
  <r>
    <n v="6660"/>
    <x v="2"/>
    <s v="2019/0762"/>
    <s v="garages north of 8, 8 Buckmaster Road"/>
    <m/>
    <n v="527260"/>
    <n v="175041"/>
    <x v="4"/>
    <m/>
    <m/>
    <n v="0"/>
    <n v="1"/>
    <n v="1"/>
    <n v="1"/>
    <n v="1"/>
    <x v="0"/>
    <s v="Demolition of existing single-storey vehicle garages and the erection of a two-storey plus basement 2 x bedroom dwellinghouse (Class C3)."/>
    <s v="PF"/>
    <d v="2019-03-19T00:00:00"/>
    <d v="2019-05-24T00:00:00"/>
    <x v="1"/>
    <s v="Nil"/>
    <m/>
    <s v="BF"/>
    <s v="NB"/>
    <x v="0"/>
    <x v="5"/>
    <n v="7.0000002160668399E-3"/>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6662"/>
    <x v="2"/>
    <s v="2019/3065"/>
    <s v="Ground Floor, 231 Merton Road"/>
    <m/>
    <n v="525227"/>
    <n v="173755"/>
    <x v="14"/>
    <m/>
    <m/>
    <n v="0"/>
    <n v="1"/>
    <n v="1"/>
    <n v="1"/>
    <n v="1"/>
    <x v="0"/>
    <s v="Alterations in connection with change of use from office (Class A2) to residential (Class C3) to provide 1 x 2-bedroom flat."/>
    <s v="PF"/>
    <d v="2019-08-01T00:00:00"/>
    <d v="2019-09-09T00:00:00"/>
    <x v="1"/>
    <s v="Nil"/>
    <m/>
    <s v="BF"/>
    <s v="COU"/>
    <x v="0"/>
    <x v="6"/>
    <n v="4.9999998882412902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665"/>
    <x v="2"/>
    <s v="2017/4217"/>
    <s v="40 Old Devonshire Road"/>
    <m/>
    <n v="528744"/>
    <n v="173591"/>
    <x v="6"/>
    <m/>
    <m/>
    <n v="0"/>
    <n v="1"/>
    <n v="1"/>
    <n v="2"/>
    <n v="2"/>
    <x v="0"/>
    <s v="Alterations including changes to the site frontage and a first floor rear extension to allow the conversion of the main garage building to B1 (office) use, and change of use of right hand building to 1 x 1-bedroom unit."/>
    <s v="PF"/>
    <d v="2017-08-03T00:00:00"/>
    <d v="2017-11-24T00:00:00"/>
    <x v="0"/>
    <s v="Nil"/>
    <m/>
    <s v="BF"/>
    <s v="COU"/>
    <x v="0"/>
    <x v="1"/>
    <n v="2.000000094994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665"/>
    <x v="2"/>
    <s v="2017/4217"/>
    <s v="40 Old Devonshire Road"/>
    <m/>
    <n v="528744"/>
    <n v="173591"/>
    <x v="6"/>
    <m/>
    <m/>
    <n v="0"/>
    <n v="1"/>
    <n v="1"/>
    <n v="2"/>
    <n v="2"/>
    <x v="0"/>
    <s v="Alterations including changes to the site frontage and a first floor rear extension to allow the conversion of the main garage building to B1 (office) use, and change of use of right hand building to 1 x 1-bedroom unit."/>
    <s v="PF"/>
    <d v="2017-08-03T00:00:00"/>
    <d v="2017-11-24T00:00:00"/>
    <x v="0"/>
    <s v="Nil"/>
    <m/>
    <s v="BF"/>
    <s v="COU"/>
    <x v="0"/>
    <x v="5"/>
    <n v="4.9999998882412902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667"/>
    <x v="2"/>
    <s v="2017/4326"/>
    <s v="14 Valonia Gardens"/>
    <m/>
    <n v="524795"/>
    <n v="174423"/>
    <x v="5"/>
    <m/>
    <m/>
    <n v="1"/>
    <n v="1"/>
    <n v="0"/>
    <n v="1"/>
    <n v="0"/>
    <x v="0"/>
    <s v="Demolition of existing detached dwellinghouse and the erection of a replacement two-storey (plus roof accomodation) 4-bedroom detached dwellinghouse."/>
    <s v="PF"/>
    <d v="2017-08-02T00:00:00"/>
    <d v="2017-11-24T00:00:00"/>
    <x v="0"/>
    <s v="Nil"/>
    <m/>
    <s v="BF"/>
    <s v="NB"/>
    <x v="0"/>
    <x v="5"/>
    <n v="4.3000001460313797E-2"/>
    <m/>
    <x v="0"/>
    <m/>
    <x v="0"/>
    <s v="M"/>
    <m/>
    <m/>
    <n v="0"/>
    <n v="0"/>
    <n v="0"/>
    <n v="0"/>
    <n v="0"/>
    <n v="0"/>
    <n v="0"/>
    <n v="0"/>
    <n v="1"/>
    <n v="-1"/>
    <n v="0"/>
    <n v="0"/>
    <n v="0"/>
    <n v="0"/>
    <n v="0"/>
    <n v="0"/>
    <n v="0"/>
    <n v="0"/>
    <n v="0"/>
    <n v="0"/>
    <n v="0"/>
    <n v="0"/>
    <n v="1"/>
    <n v="-1"/>
    <n v="0"/>
    <n v="0"/>
    <n v="0"/>
    <n v="0"/>
    <n v="0"/>
    <n v="0"/>
    <n v="0"/>
    <n v="0"/>
    <x v="0"/>
    <x v="0"/>
    <x v="0"/>
    <x v="0"/>
    <x v="0"/>
    <m/>
    <x v="0"/>
    <x v="0"/>
    <n v="6"/>
    <m/>
    <m/>
    <n v="0"/>
    <n v="0"/>
    <n v="0"/>
    <n v="0"/>
    <m/>
    <m/>
    <m/>
    <m/>
    <m/>
    <m/>
    <m/>
    <m/>
    <m/>
    <m/>
    <m/>
    <m/>
    <m/>
    <m/>
    <m/>
    <n v="0"/>
    <n v="0"/>
  </r>
  <r>
    <n v="6669"/>
    <x v="2"/>
    <s v="2018/4639"/>
    <s v="Car storage site rear of, 1 Kenlor Road"/>
    <m/>
    <n v="527101"/>
    <n v="170989"/>
    <x v="1"/>
    <m/>
    <m/>
    <n v="0"/>
    <n v="1"/>
    <n v="1"/>
    <n v="1"/>
    <n v="1"/>
    <x v="0"/>
    <s v="Demolition of existing single storey building and the erection of a single-storey one bedroom detached house with associated cycle and refuse storage and landscaping."/>
    <s v="PF"/>
    <d v="2018-10-01T00:00:00"/>
    <d v="2018-11-26T00:00:00"/>
    <x v="0"/>
    <s v="Nil"/>
    <m/>
    <s v="BF"/>
    <s v="NB"/>
    <x v="0"/>
    <x v="5"/>
    <n v="7.0000002160668399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6670"/>
    <x v="2"/>
    <s v="2017/3316"/>
    <s v="15a Selkirk Road"/>
    <m/>
    <n v="527469"/>
    <n v="171617"/>
    <x v="1"/>
    <m/>
    <m/>
    <n v="0"/>
    <n v="8"/>
    <n v="8"/>
    <n v="8"/>
    <n v="8"/>
    <x v="0"/>
    <s v="Demolition of existing buildings in association with an MOT garage. Erection of a three-storey building to create 3 x 2-bedroom flats; erection of two-storey building to create 2 x1-bedroom flats and erection of 2 x two-storey 2-bedroom houses and 1 x two-storey 3-bedroom house with associated landscaping, refuse and cycle storage._x000d__x000a__x000d__x000a_Amendments:_x000d__x000a_Additional drawings/information has been submitted in regard to existing and proposed relationships with neighbouring residential properties, waste storage and vehicular access."/>
    <s v="PF"/>
    <d v="2017-08-11T00:00:00"/>
    <d v="2018-02-27T00:00:00"/>
    <x v="0"/>
    <s v="Nil"/>
    <m/>
    <s v="BF"/>
    <s v="NB"/>
    <x v="0"/>
    <x v="5"/>
    <n v="0.11599999666214"/>
    <m/>
    <x v="0"/>
    <m/>
    <x v="0"/>
    <s v="M"/>
    <m/>
    <m/>
    <n v="0"/>
    <n v="8"/>
    <n v="0"/>
    <n v="0"/>
    <n v="0"/>
    <n v="2"/>
    <n v="5"/>
    <n v="1"/>
    <n v="0"/>
    <n v="0"/>
    <n v="0"/>
    <n v="0"/>
    <n v="2"/>
    <n v="3"/>
    <n v="0"/>
    <n v="0"/>
    <n v="0"/>
    <n v="0"/>
    <n v="0"/>
    <n v="0"/>
    <n v="2"/>
    <n v="1"/>
    <n v="0"/>
    <n v="0"/>
    <n v="0"/>
    <n v="0"/>
    <n v="0"/>
    <n v="0"/>
    <n v="0"/>
    <n v="0"/>
    <n v="0"/>
    <n v="0"/>
    <x v="4"/>
    <x v="0"/>
    <x v="0"/>
    <x v="0"/>
    <x v="0"/>
    <m/>
    <x v="0"/>
    <x v="0"/>
    <n v="9"/>
    <m/>
    <m/>
    <m/>
    <m/>
    <n v="2.6666666666666665"/>
    <n v="2.6666666666666665"/>
    <n v="2.6666666666666665"/>
    <m/>
    <m/>
    <m/>
    <m/>
    <m/>
    <m/>
    <m/>
    <m/>
    <m/>
    <m/>
    <m/>
    <m/>
    <m/>
    <m/>
    <n v="5.333333333333333"/>
    <n v="8"/>
  </r>
  <r>
    <n v="6672"/>
    <x v="2"/>
    <s v="2017/4020"/>
    <s v="104 Streathbourne Road"/>
    <m/>
    <n v="528523"/>
    <n v="172269"/>
    <x v="19"/>
    <m/>
    <m/>
    <n v="2"/>
    <n v="3"/>
    <n v="1"/>
    <n v="3"/>
    <n v="1"/>
    <x v="0"/>
    <s v="Erection of single-storey rear extension and conversion of property to 1 x 3-bedroom and 2 x 2-bedroom flats."/>
    <s v="PF"/>
    <d v="2017-08-07T00:00:00"/>
    <d v="2017-10-24T00:00:00"/>
    <x v="0"/>
    <s v="Nil"/>
    <m/>
    <s v="BF"/>
    <s v="MIX"/>
    <x v="0"/>
    <x v="10"/>
    <n v="2.8999999165535001E-2"/>
    <m/>
    <x v="0"/>
    <m/>
    <x v="0"/>
    <s v="M"/>
    <m/>
    <m/>
    <n v="0"/>
    <n v="0"/>
    <n v="0"/>
    <n v="0"/>
    <n v="-1"/>
    <n v="-1"/>
    <n v="2"/>
    <n v="1"/>
    <n v="0"/>
    <n v="0"/>
    <n v="0"/>
    <n v="-1"/>
    <n v="-1"/>
    <n v="2"/>
    <n v="1"/>
    <n v="0"/>
    <n v="0"/>
    <n v="0"/>
    <n v="0"/>
    <n v="0"/>
    <n v="0"/>
    <n v="0"/>
    <n v="0"/>
    <n v="0"/>
    <n v="0"/>
    <n v="0"/>
    <n v="0"/>
    <n v="0"/>
    <n v="0"/>
    <n v="0"/>
    <n v="0"/>
    <n v="0"/>
    <x v="0"/>
    <x v="0"/>
    <x v="0"/>
    <x v="0"/>
    <x v="0"/>
    <m/>
    <x v="0"/>
    <x v="0"/>
    <n v="15"/>
    <m/>
    <n v="0.33333333333333331"/>
    <n v="0.33333333333333331"/>
    <n v="0.33333333333333331"/>
    <m/>
    <m/>
    <m/>
    <m/>
    <m/>
    <m/>
    <m/>
    <m/>
    <m/>
    <m/>
    <m/>
    <m/>
    <m/>
    <m/>
    <m/>
    <m/>
    <m/>
    <n v="1"/>
    <n v="1"/>
  </r>
  <r>
    <n v="6679"/>
    <x v="2"/>
    <s v="2018/0235"/>
    <s v="30 Rogers Road"/>
    <m/>
    <n v="527032"/>
    <n v="171903"/>
    <x v="1"/>
    <m/>
    <m/>
    <n v="0"/>
    <n v="1"/>
    <n v="1"/>
    <n v="1"/>
    <n v="1"/>
    <x v="0"/>
    <s v="Erection of two-storey side and single storey side/rear extension in connection with creation of 1 x 2-bedroom dwelling with associated bin and cycle storage."/>
    <s v="PF"/>
    <d v="2018-01-22T00:00:00"/>
    <d v="2018-03-16T00:00:00"/>
    <x v="0"/>
    <s v="Nil"/>
    <m/>
    <s v="BF"/>
    <s v="NB"/>
    <x v="0"/>
    <x v="5"/>
    <n v="3.0999999493360499E-2"/>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6690"/>
    <x v="2"/>
    <s v="2018/5069"/>
    <s v="292 Upper Richmond Road"/>
    <m/>
    <n v="523675"/>
    <n v="175182"/>
    <x v="0"/>
    <m/>
    <m/>
    <n v="0"/>
    <n v="1"/>
    <n v="1"/>
    <n v="1"/>
    <n v="1"/>
    <x v="0"/>
    <s v="Demolition of rear toilet block and erection of a single-storey (plus basement) 1-bedroom house."/>
    <s v="PF"/>
    <d v="2018-11-14T00:00:00"/>
    <d v="2019-01-21T00:00:00"/>
    <x v="0"/>
    <s v="Nil"/>
    <m/>
    <s v="BF"/>
    <s v="NB"/>
    <x v="0"/>
    <x v="5"/>
    <n v="4.9999998882412902E-3"/>
    <m/>
    <x v="0"/>
    <m/>
    <x v="0"/>
    <s v="M"/>
    <m/>
    <m/>
    <n v="0"/>
    <n v="0"/>
    <n v="0"/>
    <n v="0"/>
    <n v="0"/>
    <n v="1"/>
    <n v="0"/>
    <n v="0"/>
    <n v="0"/>
    <n v="0"/>
    <n v="0"/>
    <n v="0"/>
    <n v="0"/>
    <n v="0"/>
    <n v="0"/>
    <n v="0"/>
    <n v="0"/>
    <n v="0"/>
    <n v="0"/>
    <n v="1"/>
    <n v="0"/>
    <n v="0"/>
    <n v="0"/>
    <n v="0"/>
    <n v="0"/>
    <n v="0"/>
    <n v="0"/>
    <n v="0"/>
    <n v="0"/>
    <n v="0"/>
    <n v="0"/>
    <n v="0"/>
    <x v="2"/>
    <x v="0"/>
    <x v="0"/>
    <x v="0"/>
    <x v="0"/>
    <m/>
    <x v="0"/>
    <x v="0"/>
    <n v="6"/>
    <m/>
    <m/>
    <n v="0.25"/>
    <n v="0.25"/>
    <n v="0.25"/>
    <n v="0.25"/>
    <m/>
    <m/>
    <m/>
    <m/>
    <m/>
    <m/>
    <m/>
    <m/>
    <m/>
    <m/>
    <m/>
    <m/>
    <m/>
    <m/>
    <m/>
    <n v="1"/>
    <n v="1"/>
  </r>
  <r>
    <n v="6695"/>
    <x v="2"/>
    <s v="2017/4506"/>
    <s v="St Andrews Court, 1 - 6 St Andrews Court"/>
    <m/>
    <n v="526188"/>
    <n v="172838"/>
    <x v="8"/>
    <m/>
    <m/>
    <n v="0"/>
    <n v="3"/>
    <n v="3"/>
    <n v="3"/>
    <n v="3"/>
    <x v="0"/>
    <s v="Erection of three storey building to provide 3 x 1-bedroom flats with balconies to all levels fronting Waynflete Street."/>
    <s v="PF"/>
    <d v="2017-09-06T00:00:00"/>
    <d v="2017-12-14T00:00:00"/>
    <x v="0"/>
    <s v="Nil"/>
    <m/>
    <s v="Gdn"/>
    <s v="NB"/>
    <x v="0"/>
    <x v="5"/>
    <n v="2.8000000864267301E-2"/>
    <m/>
    <x v="0"/>
    <m/>
    <x v="0"/>
    <s v="M"/>
    <m/>
    <m/>
    <n v="0"/>
    <n v="0"/>
    <n v="0"/>
    <n v="0"/>
    <n v="0"/>
    <n v="3"/>
    <n v="0"/>
    <n v="0"/>
    <n v="0"/>
    <n v="0"/>
    <n v="0"/>
    <n v="0"/>
    <n v="3"/>
    <n v="0"/>
    <n v="0"/>
    <n v="0"/>
    <n v="0"/>
    <n v="0"/>
    <n v="0"/>
    <n v="0"/>
    <n v="0"/>
    <n v="0"/>
    <n v="0"/>
    <n v="0"/>
    <n v="0"/>
    <n v="0"/>
    <n v="0"/>
    <n v="0"/>
    <n v="0"/>
    <n v="0"/>
    <n v="0"/>
    <n v="0"/>
    <x v="0"/>
    <x v="0"/>
    <x v="0"/>
    <x v="0"/>
    <x v="0"/>
    <m/>
    <x v="0"/>
    <x v="0"/>
    <n v="6"/>
    <m/>
    <m/>
    <n v="0.75"/>
    <n v="0.75"/>
    <n v="0.75"/>
    <n v="0.75"/>
    <m/>
    <m/>
    <m/>
    <m/>
    <m/>
    <m/>
    <m/>
    <m/>
    <m/>
    <m/>
    <m/>
    <m/>
    <m/>
    <m/>
    <m/>
    <n v="3"/>
    <n v="3"/>
  </r>
  <r>
    <n v="6704"/>
    <x v="2"/>
    <s v="2019/0435"/>
    <s v="Ross Court, 81 Putney Hill"/>
    <m/>
    <n v="523738"/>
    <n v="173863"/>
    <x v="5"/>
    <m/>
    <m/>
    <n v="0"/>
    <n v="1"/>
    <n v="1"/>
    <n v="1"/>
    <n v="1"/>
    <x v="0"/>
    <s v="Determination as to whether prior approval is required for change of use from storage (Class B8) to residential (Class C3) to provide 1 x 1-bed flat."/>
    <s v="PAG"/>
    <d v="2019-02-06T00:00:00"/>
    <d v="2019-03-29T00:00:00"/>
    <x v="0"/>
    <s v="Nil"/>
    <m/>
    <s v="BF"/>
    <s v="COU"/>
    <x v="0"/>
    <x v="1"/>
    <n v="8.9999996125698107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707"/>
    <x v="2"/>
    <s v="2017/5299"/>
    <s v="158-160 Balham High Road"/>
    <m/>
    <n v="528529"/>
    <n v="173387"/>
    <x v="6"/>
    <m/>
    <m/>
    <n v="0"/>
    <n v="7"/>
    <n v="7"/>
    <n v="7"/>
    <n v="7"/>
    <x v="0"/>
    <s v="Determination as to whether prior approval is required for change of use from business (Class B1)  to 7 x studio flats (Class C3)."/>
    <s v="PAG"/>
    <d v="2017-09-25T00:00:00"/>
    <d v="2017-11-20T00:00:00"/>
    <x v="0"/>
    <s v="Nil"/>
    <m/>
    <s v="BF"/>
    <s v="COU"/>
    <x v="0"/>
    <x v="6"/>
    <n v="2.70000007003546E-2"/>
    <m/>
    <x v="0"/>
    <m/>
    <x v="0"/>
    <s v="M"/>
    <m/>
    <m/>
    <n v="0"/>
    <n v="0"/>
    <n v="0"/>
    <n v="0"/>
    <n v="7"/>
    <n v="0"/>
    <n v="0"/>
    <n v="0"/>
    <n v="0"/>
    <n v="0"/>
    <n v="0"/>
    <n v="7"/>
    <n v="0"/>
    <n v="0"/>
    <n v="0"/>
    <n v="0"/>
    <n v="0"/>
    <n v="0"/>
    <n v="0"/>
    <n v="0"/>
    <n v="0"/>
    <n v="0"/>
    <n v="0"/>
    <n v="0"/>
    <n v="0"/>
    <n v="0"/>
    <n v="0"/>
    <n v="0"/>
    <n v="0"/>
    <n v="0"/>
    <n v="0"/>
    <n v="0"/>
    <x v="5"/>
    <x v="0"/>
    <x v="0"/>
    <x v="0"/>
    <x v="0"/>
    <m/>
    <x v="0"/>
    <x v="0"/>
    <n v="18"/>
    <m/>
    <m/>
    <n v="1.75"/>
    <n v="1.75"/>
    <n v="1.75"/>
    <n v="1.75"/>
    <m/>
    <m/>
    <m/>
    <m/>
    <m/>
    <m/>
    <m/>
    <m/>
    <m/>
    <m/>
    <m/>
    <m/>
    <m/>
    <m/>
    <m/>
    <n v="7"/>
    <n v="7"/>
  </r>
  <r>
    <n v="6707"/>
    <x v="2"/>
    <s v="2019/0736"/>
    <s v="158-160 Balham High Road"/>
    <m/>
    <n v="528529"/>
    <n v="173387"/>
    <x v="6"/>
    <m/>
    <m/>
    <n v="0"/>
    <n v="6"/>
    <n v="6"/>
    <n v="6"/>
    <n v="6"/>
    <x v="0"/>
    <s v="Alterations including erection of single storey extension and mansard roof extension above existing two storey building in connection with creation of 3 x 2-bedroom and 3 x 1-bedroom self-contained flats."/>
    <s v="PF"/>
    <d v="2019-03-29T00:00:00"/>
    <d v="2019-07-29T00:00:00"/>
    <x v="1"/>
    <s v="Nil"/>
    <m/>
    <s v="BF"/>
    <s v="EXT"/>
    <x v="0"/>
    <x v="3"/>
    <n v="6.0000000521540598E-3"/>
    <m/>
    <x v="0"/>
    <m/>
    <x v="0"/>
    <s v="M"/>
    <m/>
    <m/>
    <n v="0"/>
    <n v="0"/>
    <n v="0"/>
    <n v="0"/>
    <n v="0"/>
    <n v="3"/>
    <n v="3"/>
    <n v="0"/>
    <n v="0"/>
    <n v="0"/>
    <n v="0"/>
    <n v="0"/>
    <n v="3"/>
    <n v="3"/>
    <n v="0"/>
    <n v="0"/>
    <n v="0"/>
    <n v="0"/>
    <n v="0"/>
    <n v="0"/>
    <n v="0"/>
    <n v="0"/>
    <n v="0"/>
    <n v="0"/>
    <n v="0"/>
    <n v="0"/>
    <n v="0"/>
    <n v="0"/>
    <n v="0"/>
    <n v="0"/>
    <n v="0"/>
    <n v="0"/>
    <x v="5"/>
    <x v="0"/>
    <x v="0"/>
    <x v="0"/>
    <x v="0"/>
    <m/>
    <x v="0"/>
    <x v="0"/>
    <n v="18"/>
    <m/>
    <m/>
    <n v="1.5"/>
    <n v="1.5"/>
    <n v="1.5"/>
    <n v="1.5"/>
    <m/>
    <m/>
    <m/>
    <m/>
    <m/>
    <m/>
    <m/>
    <m/>
    <m/>
    <m/>
    <m/>
    <m/>
    <m/>
    <m/>
    <m/>
    <n v="6"/>
    <n v="6"/>
  </r>
  <r>
    <n v="6709"/>
    <x v="2"/>
    <s v="2019/4846"/>
    <s v="21 Lavender Hill"/>
    <m/>
    <n v="528478"/>
    <n v="175737"/>
    <x v="9"/>
    <m/>
    <m/>
    <n v="0"/>
    <n v="2"/>
    <n v="2"/>
    <n v="2"/>
    <n v="2"/>
    <x v="0"/>
    <s v="Determination as to whether prior approval is required for change of use from hot food takeaway (Class A5) to residential (Class C3) to provide 2 x 1-bedroom flats with associated external alteration side elevation."/>
    <s v="PAG"/>
    <d v="2019-11-15T00:00:00"/>
    <d v="2020-01-02T00:00:00"/>
    <x v="1"/>
    <s v="Nil"/>
    <m/>
    <s v="BF"/>
    <s v="COU"/>
    <x v="0"/>
    <x v="1"/>
    <n v="7.0000002160668399E-3"/>
    <m/>
    <x v="0"/>
    <m/>
    <x v="0"/>
    <s v="M"/>
    <m/>
    <m/>
    <n v="0"/>
    <n v="0"/>
    <n v="0"/>
    <n v="0"/>
    <n v="0"/>
    <n v="2"/>
    <n v="0"/>
    <n v="0"/>
    <n v="0"/>
    <n v="0"/>
    <n v="0"/>
    <n v="0"/>
    <n v="2"/>
    <n v="0"/>
    <n v="0"/>
    <n v="0"/>
    <n v="0"/>
    <n v="0"/>
    <n v="0"/>
    <n v="0"/>
    <n v="0"/>
    <n v="0"/>
    <n v="0"/>
    <n v="0"/>
    <n v="0"/>
    <n v="0"/>
    <n v="0"/>
    <n v="0"/>
    <n v="0"/>
    <n v="0"/>
    <n v="0"/>
    <n v="0"/>
    <x v="0"/>
    <x v="0"/>
    <x v="0"/>
    <x v="0"/>
    <x v="0"/>
    <m/>
    <x v="0"/>
    <x v="0"/>
    <n v="15"/>
    <m/>
    <n v="0.66666666666666663"/>
    <n v="0.66666666666666663"/>
    <n v="0.66666666666666663"/>
    <m/>
    <m/>
    <m/>
    <m/>
    <m/>
    <m/>
    <m/>
    <m/>
    <m/>
    <m/>
    <m/>
    <m/>
    <m/>
    <m/>
    <m/>
    <m/>
    <m/>
    <n v="2"/>
    <n v="2"/>
  </r>
  <r>
    <n v="6711"/>
    <x v="2"/>
    <s v="2019/3792"/>
    <s v="Basement and Ground floor, 77 Lower Richmond Road"/>
    <m/>
    <n v="523785"/>
    <n v="175744"/>
    <x v="0"/>
    <m/>
    <m/>
    <n v="0"/>
    <n v="2"/>
    <n v="2"/>
    <n v="2"/>
    <n v="2"/>
    <x v="0"/>
    <s v="Alterations including excavation to enlarge basement, formation of front lightwell, erection of single-storey rear extension in connection with change of use of ground floor and basement from retail (Class A1) to residential (class C3) to provide 2 x 1-bedroom flats with associated bin and cycle storage at rear; removal of access to upper flat from rear to front."/>
    <s v="PF"/>
    <d v="2019-09-26T00:00:00"/>
    <d v="2019-11-11T00:00:00"/>
    <x v="1"/>
    <s v="Nil"/>
    <m/>
    <s v="BF"/>
    <s v="COU"/>
    <x v="0"/>
    <x v="4"/>
    <n v="1.09999999403954E-2"/>
    <m/>
    <x v="0"/>
    <m/>
    <x v="0"/>
    <s v="M"/>
    <m/>
    <m/>
    <n v="0"/>
    <n v="0"/>
    <n v="0"/>
    <n v="0"/>
    <n v="0"/>
    <n v="2"/>
    <n v="0"/>
    <n v="0"/>
    <n v="0"/>
    <n v="0"/>
    <n v="0"/>
    <n v="0"/>
    <n v="2"/>
    <n v="0"/>
    <n v="0"/>
    <n v="0"/>
    <n v="0"/>
    <n v="0"/>
    <n v="0"/>
    <n v="0"/>
    <n v="0"/>
    <n v="0"/>
    <n v="0"/>
    <n v="0"/>
    <n v="0"/>
    <n v="0"/>
    <n v="0"/>
    <n v="0"/>
    <n v="0"/>
    <n v="0"/>
    <n v="0"/>
    <n v="0"/>
    <x v="0"/>
    <x v="0"/>
    <x v="0"/>
    <x v="0"/>
    <x v="0"/>
    <m/>
    <x v="0"/>
    <x v="0"/>
    <n v="15"/>
    <m/>
    <n v="0.66666666666666663"/>
    <n v="0.66666666666666663"/>
    <n v="0.66666666666666663"/>
    <m/>
    <m/>
    <m/>
    <m/>
    <m/>
    <m/>
    <m/>
    <m/>
    <m/>
    <m/>
    <m/>
    <m/>
    <m/>
    <m/>
    <m/>
    <m/>
    <m/>
    <n v="2"/>
    <n v="2"/>
  </r>
  <r>
    <n v="6732"/>
    <x v="2"/>
    <s v="2017/3402"/>
    <s v="Flats 1-4, 17 Briar Walk"/>
    <m/>
    <n v="522795"/>
    <n v="175193"/>
    <x v="15"/>
    <m/>
    <m/>
    <n v="2"/>
    <n v="3"/>
    <n v="1"/>
    <n v="5"/>
    <n v="1"/>
    <x v="0"/>
    <s v="Alterations including erection of part single, part two-storey rear extension; excavation to enlarge basement including formation of front and rear lightwells in connection with conversion of property into 5 x 2-bedroom and 1 x 3-bedroom flats."/>
    <s v="PF"/>
    <d v="2017-10-11T00:00:00"/>
    <d v="2017-11-24T00:00:00"/>
    <x v="0"/>
    <s v="Nil"/>
    <m/>
    <s v="BF"/>
    <s v="MIX"/>
    <x v="0"/>
    <x v="5"/>
    <n v="4.6999998390674598E-2"/>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732"/>
    <x v="2"/>
    <s v="2017/3402"/>
    <s v="Flats 1-4, 17 Briar Walk"/>
    <m/>
    <n v="522795"/>
    <n v="175193"/>
    <x v="15"/>
    <m/>
    <m/>
    <n v="2"/>
    <n v="2"/>
    <n v="0"/>
    <n v="5"/>
    <n v="1"/>
    <x v="0"/>
    <s v="Alterations including erection of part single, part two-storey rear extension; excavation to enlarge basement including formation of front and rear lightwells in connection with conversion of property into 5 x 2-bedroom and 1 x 3-bedroom flats."/>
    <s v="PF"/>
    <d v="2017-10-11T00:00:00"/>
    <d v="2017-11-24T00:00:00"/>
    <x v="0"/>
    <s v="Nil"/>
    <m/>
    <s v="BF"/>
    <s v="MIX"/>
    <x v="0"/>
    <x v="0"/>
    <n v="3.0999999493360499E-2"/>
    <m/>
    <x v="0"/>
    <m/>
    <x v="0"/>
    <s v="M"/>
    <m/>
    <m/>
    <n v="0"/>
    <n v="0"/>
    <n v="0"/>
    <n v="0"/>
    <n v="0"/>
    <n v="-2"/>
    <n v="2"/>
    <n v="0"/>
    <n v="0"/>
    <n v="0"/>
    <n v="0"/>
    <n v="0"/>
    <n v="-2"/>
    <n v="2"/>
    <n v="0"/>
    <n v="0"/>
    <n v="0"/>
    <n v="0"/>
    <n v="0"/>
    <n v="0"/>
    <n v="0"/>
    <n v="0"/>
    <n v="0"/>
    <n v="0"/>
    <n v="0"/>
    <n v="0"/>
    <n v="0"/>
    <n v="0"/>
    <n v="0"/>
    <n v="0"/>
    <n v="0"/>
    <n v="0"/>
    <x v="0"/>
    <x v="0"/>
    <x v="0"/>
    <x v="0"/>
    <x v="0"/>
    <m/>
    <x v="0"/>
    <x v="0"/>
    <n v="15"/>
    <m/>
    <n v="0"/>
    <n v="0"/>
    <n v="0"/>
    <m/>
    <m/>
    <m/>
    <m/>
    <m/>
    <m/>
    <m/>
    <m/>
    <m/>
    <m/>
    <m/>
    <m/>
    <m/>
    <m/>
    <m/>
    <m/>
    <m/>
    <n v="0"/>
    <n v="0"/>
  </r>
  <r>
    <n v="6739"/>
    <x v="2"/>
    <s v="2018/1456"/>
    <s v="Irene House, 218 Balham High Road"/>
    <m/>
    <n v="528376"/>
    <n v="173160"/>
    <x v="3"/>
    <m/>
    <m/>
    <n v="0"/>
    <n v="77"/>
    <n v="77"/>
    <n v="77"/>
    <n v="77"/>
    <x v="1"/>
    <s v="Determination as to whether prior approval is required for change of use from offices (Class B1a) to residential (Class C3) to provide 58 studios flats and 19 x 1-bedroom flats."/>
    <s v="PAG"/>
    <d v="2018-03-29T00:00:00"/>
    <d v="2018-05-11T00:00:00"/>
    <x v="0"/>
    <s v="Nil"/>
    <m/>
    <s v="BF"/>
    <s v="COU"/>
    <x v="2"/>
    <x v="7"/>
    <n v="0.25600001215934798"/>
    <m/>
    <x v="0"/>
    <m/>
    <x v="0"/>
    <s v="M"/>
    <m/>
    <m/>
    <n v="0"/>
    <n v="0"/>
    <n v="0"/>
    <n v="0"/>
    <n v="58"/>
    <n v="19"/>
    <n v="0"/>
    <n v="0"/>
    <n v="0"/>
    <n v="0"/>
    <n v="0"/>
    <n v="58"/>
    <n v="19"/>
    <n v="0"/>
    <n v="0"/>
    <n v="0"/>
    <n v="0"/>
    <n v="0"/>
    <n v="0"/>
    <n v="0"/>
    <n v="0"/>
    <n v="0"/>
    <n v="0"/>
    <n v="0"/>
    <n v="0"/>
    <n v="0"/>
    <n v="0"/>
    <n v="0"/>
    <n v="0"/>
    <n v="0"/>
    <n v="0"/>
    <n v="0"/>
    <x v="0"/>
    <x v="0"/>
    <x v="0"/>
    <x v="0"/>
    <x v="0"/>
    <m/>
    <x v="0"/>
    <x v="0"/>
    <n v="16"/>
    <m/>
    <m/>
    <n v="77"/>
    <m/>
    <m/>
    <m/>
    <m/>
    <m/>
    <m/>
    <m/>
    <m/>
    <m/>
    <m/>
    <m/>
    <m/>
    <m/>
    <m/>
    <m/>
    <m/>
    <m/>
    <m/>
    <n v="77"/>
    <n v="77"/>
  </r>
  <r>
    <n v="6743"/>
    <x v="2"/>
    <s v="2019/4852"/>
    <s v="100 Lucien Road"/>
    <m/>
    <n v="528375"/>
    <n v="171419"/>
    <x v="10"/>
    <m/>
    <m/>
    <n v="0"/>
    <n v="1"/>
    <n v="1"/>
    <n v="1"/>
    <n v="1"/>
    <x v="0"/>
    <s v="Demolition of existing garage and erection of two-storey 1-bedroom house with associated bin storage."/>
    <s v="PF"/>
    <d v="2019-12-09T00:00:00"/>
    <d v="2020-01-03T00:00:00"/>
    <x v="1"/>
    <s v="Nil"/>
    <m/>
    <s v="BF"/>
    <s v="NB"/>
    <x v="0"/>
    <x v="5"/>
    <n v="7.0000002160668399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6745"/>
    <x v="2"/>
    <s v="2017/6287"/>
    <s v="26 Ouseley Road"/>
    <m/>
    <n v="527847"/>
    <n v="173159"/>
    <x v="3"/>
    <m/>
    <m/>
    <n v="3"/>
    <n v="1"/>
    <n v="-2"/>
    <n v="1"/>
    <n v="-2"/>
    <x v="0"/>
    <s v="Change of use of property from three flats into single residential dwelling"/>
    <s v="PF"/>
    <d v="2017-11-17T00:00:00"/>
    <d v="2018-01-12T00:00:00"/>
    <x v="0"/>
    <s v="Nil"/>
    <m/>
    <s v="BF"/>
    <s v="CON"/>
    <x v="0"/>
    <x v="8"/>
    <n v="2.8999999165535001E-2"/>
    <m/>
    <x v="0"/>
    <m/>
    <x v="0"/>
    <s v="M"/>
    <m/>
    <m/>
    <n v="0"/>
    <n v="0"/>
    <n v="0"/>
    <n v="0"/>
    <n v="-1"/>
    <n v="0"/>
    <n v="-2"/>
    <n v="0"/>
    <n v="1"/>
    <n v="0"/>
    <n v="0"/>
    <n v="-1"/>
    <n v="0"/>
    <n v="-2"/>
    <n v="0"/>
    <n v="0"/>
    <n v="0"/>
    <n v="0"/>
    <n v="0"/>
    <n v="0"/>
    <n v="0"/>
    <n v="0"/>
    <n v="1"/>
    <n v="0"/>
    <n v="0"/>
    <n v="0"/>
    <n v="0"/>
    <n v="0"/>
    <n v="0"/>
    <n v="0"/>
    <n v="0"/>
    <n v="0"/>
    <x v="0"/>
    <x v="0"/>
    <x v="0"/>
    <x v="0"/>
    <x v="0"/>
    <m/>
    <x v="0"/>
    <x v="0"/>
    <n v="15"/>
    <m/>
    <n v="-0.66666666666666663"/>
    <n v="-0.66666666666666663"/>
    <n v="-0.66666666666666663"/>
    <m/>
    <m/>
    <m/>
    <m/>
    <m/>
    <m/>
    <m/>
    <m/>
    <m/>
    <m/>
    <m/>
    <m/>
    <m/>
    <m/>
    <m/>
    <m/>
    <m/>
    <n v="-2"/>
    <n v="-2"/>
  </r>
  <r>
    <n v="6750"/>
    <x v="2"/>
    <s v="2018/6137"/>
    <s v="25 Mexfield Road"/>
    <m/>
    <n v="524932"/>
    <n v="174725"/>
    <x v="2"/>
    <m/>
    <m/>
    <n v="1"/>
    <n v="3"/>
    <n v="2"/>
    <n v="3"/>
    <n v="2"/>
    <x v="0"/>
    <s v="Alterations including erection of single storey rear/side extension in connection with change of use of property from House of Multiple Occupation (Sui Generis) to create 2 x 2-bedroom and 1 x 1-bedroom flats (Class C3)."/>
    <s v="PF"/>
    <d v="2018-12-28T00:00:00"/>
    <d v="2019-11-28T00:00:00"/>
    <x v="1"/>
    <s v="Nil"/>
    <m/>
    <s v="BF"/>
    <s v="COU"/>
    <x v="0"/>
    <x v="1"/>
    <n v="1.7000000923872001E-2"/>
    <m/>
    <x v="0"/>
    <m/>
    <x v="0"/>
    <s v="M"/>
    <m/>
    <m/>
    <n v="0"/>
    <n v="0"/>
    <n v="0"/>
    <n v="0"/>
    <n v="0"/>
    <n v="0"/>
    <n v="2"/>
    <n v="0"/>
    <n v="0"/>
    <n v="0"/>
    <n v="0"/>
    <n v="0"/>
    <n v="0"/>
    <n v="2"/>
    <n v="0"/>
    <n v="0"/>
    <n v="0"/>
    <n v="0"/>
    <n v="0"/>
    <n v="0"/>
    <n v="0"/>
    <n v="0"/>
    <n v="0"/>
    <n v="0"/>
    <n v="0"/>
    <n v="0"/>
    <n v="0"/>
    <n v="0"/>
    <n v="0"/>
    <n v="0"/>
    <n v="0"/>
    <n v="0"/>
    <x v="0"/>
    <x v="0"/>
    <x v="0"/>
    <x v="0"/>
    <x v="0"/>
    <m/>
    <x v="0"/>
    <x v="0"/>
    <n v="15"/>
    <m/>
    <n v="0.66666666666666663"/>
    <n v="0.66666666666666663"/>
    <n v="0.66666666666666663"/>
    <m/>
    <m/>
    <m/>
    <m/>
    <m/>
    <m/>
    <m/>
    <m/>
    <m/>
    <m/>
    <m/>
    <m/>
    <m/>
    <m/>
    <m/>
    <m/>
    <m/>
    <n v="2"/>
    <n v="2"/>
  </r>
  <r>
    <n v="6753"/>
    <x v="2"/>
    <s v="2017/6510"/>
    <s v="Land between 107-109, 107-109 Garratt Lane"/>
    <m/>
    <n v="525803"/>
    <n v="174168"/>
    <x v="2"/>
    <m/>
    <m/>
    <n v="0"/>
    <n v="1"/>
    <n v="1"/>
    <n v="1"/>
    <n v="1"/>
    <x v="0"/>
    <s v="Erection and excavation of a two-storey (plus basement) 3-bedroom detached house with associated cycle and refuse storage and lightwell courtyard to the rear."/>
    <s v="PF"/>
    <d v="2017-11-27T00:00:00"/>
    <d v="2018-01-22T00:00:00"/>
    <x v="0"/>
    <s v="Nil"/>
    <m/>
    <s v="BF"/>
    <s v="NB"/>
    <x v="0"/>
    <x v="5"/>
    <n v="8.9999996125698107E-3"/>
    <m/>
    <x v="0"/>
    <m/>
    <x v="0"/>
    <s v="M"/>
    <m/>
    <m/>
    <n v="0"/>
    <n v="0"/>
    <n v="0"/>
    <n v="0"/>
    <n v="0"/>
    <n v="0"/>
    <n v="0"/>
    <n v="1"/>
    <n v="0"/>
    <n v="0"/>
    <n v="0"/>
    <n v="0"/>
    <n v="0"/>
    <n v="0"/>
    <n v="0"/>
    <n v="0"/>
    <n v="0"/>
    <n v="0"/>
    <n v="0"/>
    <n v="0"/>
    <n v="0"/>
    <n v="1"/>
    <n v="0"/>
    <n v="0"/>
    <n v="0"/>
    <n v="0"/>
    <n v="0"/>
    <n v="0"/>
    <n v="0"/>
    <n v="0"/>
    <n v="0"/>
    <n v="0"/>
    <x v="0"/>
    <x v="0"/>
    <x v="0"/>
    <x v="0"/>
    <x v="0"/>
    <m/>
    <x v="0"/>
    <x v="0"/>
    <n v="6"/>
    <m/>
    <m/>
    <n v="0.25"/>
    <n v="0.25"/>
    <n v="0.25"/>
    <n v="0.25"/>
    <m/>
    <m/>
    <m/>
    <m/>
    <m/>
    <m/>
    <m/>
    <m/>
    <m/>
    <m/>
    <m/>
    <m/>
    <m/>
    <m/>
    <m/>
    <n v="1"/>
    <n v="1"/>
  </r>
  <r>
    <n v="6765"/>
    <x v="2"/>
    <s v="2017/6846"/>
    <s v="Garages north of Fordyce House, Colson way"/>
    <m/>
    <n v="529291"/>
    <n v="171713"/>
    <x v="7"/>
    <m/>
    <m/>
    <n v="0"/>
    <n v="8"/>
    <n v="8"/>
    <n v="8"/>
    <n v="8"/>
    <x v="0"/>
    <s v="Demolition of 2 rows of existing lock-up garages and construction of a three-storey building designed specifically for wheelchair and ambulant users (8 no. 1-bedroom residential units). Landscaping and street improvement works with the construction of a new refuse store for Fordyce House."/>
    <s v="PF"/>
    <d v="2017-12-21T00:00:00"/>
    <d v="2018-11-23T00:00:00"/>
    <x v="0"/>
    <s v="Nil"/>
    <m/>
    <s v="BF"/>
    <s v="NB"/>
    <x v="0"/>
    <x v="5"/>
    <n v="3.70000004768372E-2"/>
    <m/>
    <x v="0"/>
    <m/>
    <x v="2"/>
    <s v="AC"/>
    <m/>
    <m/>
    <n v="0"/>
    <n v="0"/>
    <n v="0"/>
    <n v="0"/>
    <n v="0"/>
    <n v="8"/>
    <n v="0"/>
    <n v="0"/>
    <n v="0"/>
    <n v="0"/>
    <n v="0"/>
    <n v="0"/>
    <n v="8"/>
    <n v="0"/>
    <n v="0"/>
    <n v="0"/>
    <n v="0"/>
    <n v="0"/>
    <n v="0"/>
    <n v="0"/>
    <n v="0"/>
    <n v="0"/>
    <n v="0"/>
    <n v="0"/>
    <n v="0"/>
    <n v="0"/>
    <n v="0"/>
    <n v="0"/>
    <n v="0"/>
    <n v="0"/>
    <n v="0"/>
    <n v="0"/>
    <x v="0"/>
    <x v="0"/>
    <x v="0"/>
    <x v="0"/>
    <x v="0"/>
    <m/>
    <x v="0"/>
    <x v="0"/>
    <n v="7"/>
    <m/>
    <m/>
    <m/>
    <n v="8"/>
    <m/>
    <m/>
    <m/>
    <m/>
    <m/>
    <m/>
    <m/>
    <m/>
    <m/>
    <m/>
    <m/>
    <m/>
    <m/>
    <m/>
    <m/>
    <m/>
    <m/>
    <n v="8"/>
    <n v="8"/>
  </r>
  <r>
    <n v="6767"/>
    <x v="2"/>
    <s v="2017/6854"/>
    <s v="24 Bellevue Road"/>
    <m/>
    <n v="527493"/>
    <n v="173327"/>
    <x v="3"/>
    <m/>
    <m/>
    <n v="1"/>
    <n v="4"/>
    <n v="3"/>
    <n v="4"/>
    <n v="3"/>
    <x v="0"/>
    <s v="Excavation to create a basement including formation of front and rear lightwells, erection of two-storey rear extension, erection of outbuilding, erection of dormer roof extensions to front and rear roof slopes in connection with conversion of property to 2 x 3-bedroom, 1 x 2-bedroom and 1 x 1-bedroom flats with associated cycle and refuse storage (Design and Access Statement received)."/>
    <s v="PF"/>
    <d v="2017-12-14T00:00:00"/>
    <d v="2018-04-20T00:00:00"/>
    <x v="0"/>
    <s v="Nil"/>
    <m/>
    <s v="BF"/>
    <s v="MIX"/>
    <x v="0"/>
    <x v="2"/>
    <n v="2.19999998807907E-2"/>
    <m/>
    <x v="0"/>
    <m/>
    <x v="0"/>
    <s v="M"/>
    <m/>
    <m/>
    <n v="0"/>
    <n v="0"/>
    <n v="0"/>
    <n v="0"/>
    <n v="0"/>
    <n v="1"/>
    <n v="1"/>
    <n v="2"/>
    <n v="-1"/>
    <n v="0"/>
    <n v="0"/>
    <n v="0"/>
    <n v="1"/>
    <n v="1"/>
    <n v="2"/>
    <n v="0"/>
    <n v="0"/>
    <n v="0"/>
    <n v="0"/>
    <n v="0"/>
    <n v="0"/>
    <n v="0"/>
    <n v="-1"/>
    <n v="0"/>
    <n v="0"/>
    <n v="0"/>
    <n v="0"/>
    <n v="0"/>
    <n v="0"/>
    <n v="0"/>
    <n v="0"/>
    <n v="0"/>
    <x v="0"/>
    <x v="0"/>
    <x v="0"/>
    <x v="0"/>
    <x v="0"/>
    <m/>
    <x v="0"/>
    <x v="0"/>
    <n v="15"/>
    <m/>
    <n v="1"/>
    <n v="1"/>
    <n v="1"/>
    <m/>
    <m/>
    <m/>
    <m/>
    <m/>
    <m/>
    <m/>
    <m/>
    <m/>
    <m/>
    <m/>
    <m/>
    <m/>
    <m/>
    <m/>
    <m/>
    <m/>
    <n v="3"/>
    <n v="3"/>
  </r>
  <r>
    <n v="6772"/>
    <x v="2"/>
    <s v="2018/4926"/>
    <s v="30 Bramcote Road"/>
    <m/>
    <n v="522806"/>
    <n v="175115"/>
    <x v="15"/>
    <m/>
    <m/>
    <n v="1"/>
    <n v="1"/>
    <n v="0"/>
    <n v="1"/>
    <n v="0"/>
    <x v="0"/>
    <s v="Demolition of existing building and erection of a two-storey (plus basement and roof levels) 5-bedroom detached house."/>
    <s v="PF"/>
    <d v="2018-10-16T00:00:00"/>
    <d v="2019-04-05T00:00:00"/>
    <x v="1"/>
    <s v="Nil"/>
    <m/>
    <s v="BF"/>
    <s v="NB"/>
    <x v="0"/>
    <x v="5"/>
    <n v="3.0999999493360499E-2"/>
    <m/>
    <x v="0"/>
    <m/>
    <x v="0"/>
    <s v="M"/>
    <m/>
    <m/>
    <n v="0"/>
    <n v="0"/>
    <n v="0"/>
    <n v="0"/>
    <n v="0"/>
    <n v="0"/>
    <n v="-1"/>
    <n v="0"/>
    <n v="0"/>
    <n v="1"/>
    <n v="0"/>
    <n v="0"/>
    <n v="0"/>
    <n v="0"/>
    <n v="0"/>
    <n v="0"/>
    <n v="0"/>
    <n v="0"/>
    <n v="0"/>
    <n v="0"/>
    <n v="-1"/>
    <n v="0"/>
    <n v="0"/>
    <n v="1"/>
    <n v="0"/>
    <n v="0"/>
    <n v="0"/>
    <n v="0"/>
    <n v="0"/>
    <n v="0"/>
    <n v="0"/>
    <n v="0"/>
    <x v="0"/>
    <x v="0"/>
    <x v="0"/>
    <x v="0"/>
    <x v="0"/>
    <m/>
    <x v="0"/>
    <x v="0"/>
    <n v="6"/>
    <m/>
    <m/>
    <n v="0"/>
    <n v="0"/>
    <n v="0"/>
    <n v="0"/>
    <m/>
    <m/>
    <m/>
    <m/>
    <m/>
    <m/>
    <m/>
    <m/>
    <m/>
    <m/>
    <m/>
    <m/>
    <m/>
    <m/>
    <m/>
    <n v="0"/>
    <n v="0"/>
  </r>
  <r>
    <n v="6773"/>
    <x v="2"/>
    <s v="2018/4663"/>
    <s v="32 Ribblesdale Road"/>
    <m/>
    <n v="529047"/>
    <n v="171267"/>
    <x v="7"/>
    <m/>
    <m/>
    <n v="1"/>
    <n v="3"/>
    <n v="2"/>
    <n v="3"/>
    <n v="2"/>
    <x v="0"/>
    <s v="Alterations in connection with the conversion of the property into 1 x 1-bedroom, 1 x 2-bedroom and 1 x 3-bedroom flats."/>
    <s v="RP"/>
    <d v="2018-10-01T00:00:00"/>
    <d v="2018-11-26T00:00:00"/>
    <x v="1"/>
    <s v="APG"/>
    <d v="2019-08-05T00:00:00"/>
    <s v="BF"/>
    <s v="CON"/>
    <x v="0"/>
    <x v="2"/>
    <n v="1.7000000923872001E-2"/>
    <m/>
    <x v="0"/>
    <m/>
    <x v="0"/>
    <s v="M"/>
    <m/>
    <m/>
    <n v="0"/>
    <n v="0"/>
    <n v="0"/>
    <n v="0"/>
    <n v="0"/>
    <n v="1"/>
    <n v="1"/>
    <n v="1"/>
    <n v="-1"/>
    <n v="0"/>
    <n v="0"/>
    <n v="0"/>
    <n v="1"/>
    <n v="1"/>
    <n v="1"/>
    <n v="0"/>
    <n v="0"/>
    <n v="0"/>
    <n v="0"/>
    <n v="0"/>
    <n v="0"/>
    <n v="0"/>
    <n v="-1"/>
    <n v="0"/>
    <n v="0"/>
    <n v="0"/>
    <n v="0"/>
    <n v="0"/>
    <n v="0"/>
    <n v="0"/>
    <n v="0"/>
    <n v="0"/>
    <x v="0"/>
    <x v="0"/>
    <x v="0"/>
    <x v="0"/>
    <x v="0"/>
    <m/>
    <x v="0"/>
    <x v="0"/>
    <n v="15"/>
    <m/>
    <n v="0.66666666666666663"/>
    <n v="0.66666666666666663"/>
    <n v="0.66666666666666663"/>
    <m/>
    <m/>
    <m/>
    <m/>
    <m/>
    <m/>
    <m/>
    <m/>
    <m/>
    <m/>
    <m/>
    <m/>
    <m/>
    <m/>
    <m/>
    <m/>
    <m/>
    <n v="2"/>
    <n v="2"/>
  </r>
  <r>
    <n v="6779"/>
    <x v="2"/>
    <s v="2018/0131"/>
    <s v="30 Oakhill Road"/>
    <s v="extension to existing"/>
    <n v="524846"/>
    <n v="174902"/>
    <x v="5"/>
    <m/>
    <m/>
    <n v="0"/>
    <n v="1"/>
    <n v="1"/>
    <n v="1"/>
    <n v="1"/>
    <x v="0"/>
    <s v="Enlargement of existing rear lightwell in connection with conversion of basement into1 x 2-bedroom flat"/>
    <s v="PF"/>
    <d v="2018-01-16T00:00:00"/>
    <d v="2018-05-29T00:00:00"/>
    <x v="0"/>
    <s v="Nil"/>
    <m/>
    <s v="BF"/>
    <s v="EXT"/>
    <x v="0"/>
    <x v="3"/>
    <n v="6.0000000521540598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6781"/>
    <x v="2"/>
    <s v="2018/0116"/>
    <s v="85 Sellincourt Road"/>
    <m/>
    <n v="527446"/>
    <n v="171022"/>
    <x v="10"/>
    <m/>
    <m/>
    <n v="0"/>
    <n v="1"/>
    <n v="1"/>
    <n v="1"/>
    <n v="1"/>
    <x v="0"/>
    <s v="Alterations including erection of mansard roof extension to main rear roof and extension above part of two-storey back addition; formation of roof terrace above two-storey back addition with 1.7m high screen surround in connection with creation of a self-contained unit at roof level."/>
    <s v="PF"/>
    <d v="2018-01-08T00:00:00"/>
    <d v="2018-03-05T00:00:00"/>
    <x v="0"/>
    <s v="Nil"/>
    <m/>
    <s v="BF"/>
    <s v="EXT"/>
    <x v="0"/>
    <x v="3"/>
    <n v="4.9999998882412902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789"/>
    <x v="2"/>
    <s v="2018/0219"/>
    <s v="47-51 Lavender Hill"/>
    <s v="extension to existing"/>
    <n v="528385"/>
    <n v="175721"/>
    <x v="9"/>
    <m/>
    <m/>
    <n v="0"/>
    <n v="3"/>
    <n v="3"/>
    <n v="3"/>
    <n v="3"/>
    <x v="0"/>
    <s v="Erection of a new storey of accommodation to main roof, extensions above back additions, formation of roof terraces above back additions with obscured glazed screen surround in connection with creation of 2 x 1-bedroom and a studio flats."/>
    <s v="PF"/>
    <d v="2018-01-16T00:00:00"/>
    <d v="2018-05-30T00:00:00"/>
    <x v="0"/>
    <s v="Nil"/>
    <m/>
    <s v="BF"/>
    <s v="EXT"/>
    <x v="0"/>
    <x v="3"/>
    <n v="1.4000000432133701E-2"/>
    <m/>
    <x v="0"/>
    <m/>
    <x v="0"/>
    <s v="M"/>
    <m/>
    <m/>
    <n v="0"/>
    <n v="0"/>
    <n v="0"/>
    <n v="0"/>
    <n v="1"/>
    <n v="2"/>
    <n v="0"/>
    <n v="0"/>
    <n v="0"/>
    <n v="0"/>
    <n v="0"/>
    <n v="1"/>
    <n v="2"/>
    <n v="0"/>
    <n v="0"/>
    <n v="0"/>
    <n v="0"/>
    <n v="0"/>
    <n v="0"/>
    <n v="0"/>
    <n v="0"/>
    <n v="0"/>
    <n v="0"/>
    <n v="0"/>
    <n v="0"/>
    <n v="0"/>
    <n v="0"/>
    <n v="0"/>
    <n v="0"/>
    <n v="0"/>
    <n v="0"/>
    <n v="0"/>
    <x v="0"/>
    <x v="0"/>
    <x v="0"/>
    <x v="0"/>
    <x v="0"/>
    <m/>
    <x v="0"/>
    <x v="0"/>
    <n v="15"/>
    <m/>
    <n v="1"/>
    <n v="1"/>
    <n v="1"/>
    <m/>
    <m/>
    <m/>
    <m/>
    <m/>
    <m/>
    <m/>
    <m/>
    <m/>
    <m/>
    <m/>
    <m/>
    <m/>
    <m/>
    <m/>
    <m/>
    <m/>
    <n v="3"/>
    <n v="3"/>
  </r>
  <r>
    <n v="6798"/>
    <x v="2"/>
    <s v="2017/5798"/>
    <s v="Land rear of and 28 Garratt Terrace, 958 Garratt Lane"/>
    <m/>
    <n v="527317"/>
    <n v="171519"/>
    <x v="1"/>
    <m/>
    <m/>
    <n v="0"/>
    <n v="1"/>
    <n v="1"/>
    <n v="1"/>
    <n v="1"/>
    <x v="0"/>
    <s v="Erection of a 2-bedroom house with a single-storey rear extension."/>
    <s v="PF"/>
    <d v="2017-10-30T00:00:00"/>
    <d v="2018-02-02T00:00:00"/>
    <x v="0"/>
    <s v="Nil"/>
    <m/>
    <s v="BF"/>
    <s v="NB"/>
    <x v="0"/>
    <x v="5"/>
    <n v="3.0000000260770299E-3"/>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6804"/>
    <x v="2"/>
    <s v="2018/0359"/>
    <s v="125 Lower Richmond Road"/>
    <m/>
    <n v="523594"/>
    <n v="175801"/>
    <x v="0"/>
    <m/>
    <m/>
    <n v="0"/>
    <n v="1"/>
    <n v="1"/>
    <n v="3"/>
    <n v="1"/>
    <x v="0"/>
    <s v="Alterations including excavation to enlarge basement including formation of rear/side lightwell with grille over; erection of part single-part two-storey rear/side extension and creation of roof terraces at first and second floor levels in connection with creation of 2 x 2-bedroom and 1 x 1-bedroom flats.  Change of use of ground floor to retail/office (Class A1/A2) and installation of new shopfront."/>
    <s v="PF"/>
    <d v="2018-01-23T00:00:00"/>
    <d v="2018-04-18T00:00:00"/>
    <x v="0"/>
    <s v="Nil"/>
    <m/>
    <s v="BF"/>
    <s v="MIX"/>
    <x v="0"/>
    <x v="5"/>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804"/>
    <x v="2"/>
    <s v="2018/2613"/>
    <s v="125 Lower Richmond Road"/>
    <m/>
    <n v="523594"/>
    <n v="175801"/>
    <x v="0"/>
    <m/>
    <m/>
    <n v="2"/>
    <n v="2"/>
    <n v="0"/>
    <n v="2"/>
    <n v="0"/>
    <x v="0"/>
    <s v="Non-material amendment to planning permission dated 18/04/2018 ref 2018/0359 (Alterations including excavation to enlarge basement including formation of rear/side lightwell with grille over; erection of part single-part two-storey rear/side extension and creation of roof terraces at first and second floor levels in connection with creation of 2 x 2-bedroom and 1 x 1-bedroom flats.  Change of use of ground floor to retail/office (Class A1/A2) and installation of new shopfront.) to allow new entrance door position on the flank elevation, alterations to reconfigure unit 3 from a two to three bedroom unit, and relocation of the bin store for units 1 &amp; 2 on along the flank elevation."/>
    <s v="S96A"/>
    <d v="2018-05-30T00:00:00"/>
    <d v="2018-06-20T00:00:00"/>
    <x v="0"/>
    <s v="Nil"/>
    <m/>
    <s v="BF"/>
    <s v="CON"/>
    <x v="0"/>
    <x v="0"/>
    <n v="7.0000002160668399E-3"/>
    <m/>
    <x v="0"/>
    <m/>
    <x v="0"/>
    <s v="M"/>
    <m/>
    <m/>
    <n v="0"/>
    <n v="0"/>
    <n v="0"/>
    <n v="0"/>
    <n v="0"/>
    <n v="0"/>
    <n v="-1"/>
    <n v="1"/>
    <n v="0"/>
    <n v="0"/>
    <n v="0"/>
    <n v="0"/>
    <n v="0"/>
    <n v="-1"/>
    <n v="1"/>
    <n v="0"/>
    <n v="0"/>
    <n v="0"/>
    <n v="0"/>
    <n v="0"/>
    <n v="0"/>
    <n v="0"/>
    <n v="0"/>
    <n v="0"/>
    <n v="0"/>
    <n v="0"/>
    <n v="0"/>
    <n v="0"/>
    <n v="0"/>
    <n v="0"/>
    <n v="0"/>
    <n v="0"/>
    <x v="0"/>
    <x v="0"/>
    <x v="0"/>
    <x v="0"/>
    <x v="0"/>
    <m/>
    <x v="0"/>
    <x v="0"/>
    <n v="15"/>
    <m/>
    <n v="0"/>
    <n v="0"/>
    <n v="0"/>
    <m/>
    <m/>
    <m/>
    <m/>
    <m/>
    <m/>
    <m/>
    <m/>
    <m/>
    <m/>
    <m/>
    <m/>
    <m/>
    <m/>
    <m/>
    <m/>
    <m/>
    <n v="0"/>
    <n v="0"/>
  </r>
  <r>
    <n v="6805"/>
    <x v="2"/>
    <s v="2018/0376"/>
    <s v="231 Putney Bridge Road"/>
    <s v="CoU from A4 to C3"/>
    <n v="524490"/>
    <n v="175266"/>
    <x v="0"/>
    <m/>
    <m/>
    <n v="0"/>
    <n v="5"/>
    <n v="5"/>
    <n v="6"/>
    <n v="6"/>
    <x v="0"/>
    <s v="Alterations including erection of front and rear mansard extension to main roof and conversion of upper floors to 1 x 1-bedroom and 5 x 2-bedroom flats with roof terraces at all upper floors; refuse and cycle storage accessed from the rear."/>
    <s v="PF"/>
    <d v="2018-02-05T00:00:00"/>
    <d v="2018-06-27T00:00:00"/>
    <x v="0"/>
    <s v="Nil"/>
    <m/>
    <s v="BF"/>
    <s v="MIX"/>
    <x v="0"/>
    <x v="1"/>
    <n v="1.60000007599592E-2"/>
    <m/>
    <x v="0"/>
    <m/>
    <x v="0"/>
    <s v="M"/>
    <m/>
    <m/>
    <n v="0"/>
    <n v="0"/>
    <n v="0"/>
    <n v="0"/>
    <n v="0"/>
    <n v="1"/>
    <n v="4"/>
    <n v="0"/>
    <n v="0"/>
    <n v="0"/>
    <n v="0"/>
    <n v="0"/>
    <n v="1"/>
    <n v="4"/>
    <n v="0"/>
    <n v="0"/>
    <n v="0"/>
    <n v="0"/>
    <n v="0"/>
    <n v="0"/>
    <n v="0"/>
    <n v="0"/>
    <n v="0"/>
    <n v="0"/>
    <n v="0"/>
    <n v="0"/>
    <n v="0"/>
    <n v="0"/>
    <n v="0"/>
    <n v="0"/>
    <n v="0"/>
    <n v="0"/>
    <x v="0"/>
    <x v="0"/>
    <x v="0"/>
    <x v="0"/>
    <x v="0"/>
    <m/>
    <x v="0"/>
    <x v="0"/>
    <n v="18"/>
    <m/>
    <m/>
    <n v="1.25"/>
    <n v="1.25"/>
    <n v="1.25"/>
    <n v="1.25"/>
    <m/>
    <m/>
    <m/>
    <m/>
    <m/>
    <m/>
    <m/>
    <m/>
    <m/>
    <m/>
    <m/>
    <m/>
    <m/>
    <m/>
    <m/>
    <n v="5"/>
    <n v="5"/>
  </r>
  <r>
    <n v="6805"/>
    <x v="2"/>
    <s v="2018/0376"/>
    <s v="231 Putney Bridge Road"/>
    <s v="Extension to existing"/>
    <n v="524490"/>
    <n v="175266"/>
    <x v="0"/>
    <m/>
    <m/>
    <n v="0"/>
    <n v="1"/>
    <n v="1"/>
    <n v="6"/>
    <n v="6"/>
    <x v="0"/>
    <s v="Alterations including erection of front and rear mansard extension to main roof and conversion of upper floors to 1 x 1-bedroom and 5 x 2-bedroom flats with roof terraces at all upper floors; refuse and cycle storage accessed from the rear."/>
    <s v="PF"/>
    <d v="2018-02-05T00:00:00"/>
    <d v="2018-06-27T00:00:00"/>
    <x v="0"/>
    <s v="Nil"/>
    <m/>
    <s v="BF"/>
    <s v="MIX"/>
    <x v="0"/>
    <x v="5"/>
    <n v="4.0000001899898104E-3"/>
    <m/>
    <x v="0"/>
    <m/>
    <x v="0"/>
    <s v="M"/>
    <m/>
    <m/>
    <n v="0"/>
    <n v="0"/>
    <n v="0"/>
    <n v="0"/>
    <n v="0"/>
    <n v="1"/>
    <n v="0"/>
    <n v="0"/>
    <n v="0"/>
    <n v="0"/>
    <n v="0"/>
    <n v="0"/>
    <n v="1"/>
    <n v="0"/>
    <n v="0"/>
    <n v="0"/>
    <n v="0"/>
    <n v="0"/>
    <n v="0"/>
    <n v="0"/>
    <n v="0"/>
    <n v="0"/>
    <n v="0"/>
    <n v="0"/>
    <n v="0"/>
    <n v="0"/>
    <n v="0"/>
    <n v="0"/>
    <n v="0"/>
    <n v="0"/>
    <n v="0"/>
    <n v="0"/>
    <x v="0"/>
    <x v="0"/>
    <x v="0"/>
    <x v="0"/>
    <x v="0"/>
    <m/>
    <x v="0"/>
    <x v="0"/>
    <n v="18"/>
    <m/>
    <m/>
    <n v="0.25"/>
    <n v="0.25"/>
    <n v="0.25"/>
    <n v="0.25"/>
    <m/>
    <m/>
    <m/>
    <m/>
    <m/>
    <m/>
    <m/>
    <m/>
    <m/>
    <m/>
    <m/>
    <m/>
    <m/>
    <m/>
    <m/>
    <n v="1"/>
    <n v="1"/>
  </r>
  <r>
    <n v="6806"/>
    <x v="2"/>
    <s v="2019/2840"/>
    <s v="58 Rogers Road"/>
    <m/>
    <n v="527133"/>
    <n v="171843"/>
    <x v="1"/>
    <m/>
    <m/>
    <n v="0"/>
    <n v="1"/>
    <n v="1"/>
    <n v="1"/>
    <n v="1"/>
    <x v="0"/>
    <s v="Demolition of existing two storey side extension and single storey outbuilding and erection of dormer extension to rear roofslope and erection of single storey rear extension; replacement two storey side extension in connection with formation of 1 x 1-bedroom dwellinghouse and erection of replacement single storey outbuilding and cycle storage in rear garden and waste store in front garden."/>
    <s v="PF"/>
    <d v="2019-07-12T00:00:00"/>
    <d v="2019-08-23T00:00:00"/>
    <x v="1"/>
    <s v="Nil"/>
    <m/>
    <s v="BF"/>
    <s v="NB"/>
    <x v="0"/>
    <x v="5"/>
    <n v="1.30000002682209E-2"/>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6809"/>
    <x v="2"/>
    <s v="2019/3481"/>
    <s v="116 Mitcham Lane"/>
    <m/>
    <n v="529284"/>
    <n v="171134"/>
    <x v="7"/>
    <m/>
    <m/>
    <n v="0"/>
    <n v="1"/>
    <n v="1"/>
    <n v="1"/>
    <n v="1"/>
    <x v="0"/>
    <s v="Alterations including erection of mansard roof extension to main rear roof (with French doors and safety railings) and extension above part of two-storey back addition; formation of roof terrace above two-storey back addition with 1.7m high screen in connection with creation of a 1 x 1-bedroom flat."/>
    <s v="PF"/>
    <d v="2019-08-20T00:00:00"/>
    <d v="2019-10-02T00:00:00"/>
    <x v="1"/>
    <s v="Nil"/>
    <m/>
    <s v="BF"/>
    <s v="EXT"/>
    <x v="0"/>
    <x v="3"/>
    <n v="3.000000026077029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809"/>
    <x v="2"/>
    <s v="2019/4792"/>
    <s v="116 Mitcham Lane"/>
    <m/>
    <n v="529284"/>
    <n v="171134"/>
    <x v="7"/>
    <m/>
    <m/>
    <n v="0"/>
    <n v="3"/>
    <n v="3"/>
    <n v="3"/>
    <n v="3"/>
    <x v="0"/>
    <s v="Determination as to whether prior approval is required for change of use from retail (Class A1) to 2 x 2 bedroom flats and 1 x 1-bedroom flat (Class C3) at ground and first floor levels with associated external alterations to rear."/>
    <s v="PANR"/>
    <d v="2019-11-13T00:00:00"/>
    <d v="2020-01-02T00:00:00"/>
    <x v="1"/>
    <s v="Nil"/>
    <m/>
    <s v="BF"/>
    <s v="COU"/>
    <x v="0"/>
    <x v="4"/>
    <n v="1.09999999403954E-2"/>
    <m/>
    <x v="0"/>
    <m/>
    <x v="0"/>
    <s v="M"/>
    <m/>
    <m/>
    <n v="0"/>
    <n v="0"/>
    <n v="0"/>
    <n v="0"/>
    <n v="0"/>
    <n v="1"/>
    <n v="2"/>
    <n v="0"/>
    <n v="0"/>
    <n v="0"/>
    <n v="0"/>
    <n v="0"/>
    <n v="1"/>
    <n v="2"/>
    <n v="0"/>
    <n v="0"/>
    <n v="0"/>
    <n v="0"/>
    <n v="0"/>
    <n v="0"/>
    <n v="0"/>
    <n v="0"/>
    <n v="0"/>
    <n v="0"/>
    <n v="0"/>
    <n v="0"/>
    <n v="0"/>
    <n v="0"/>
    <n v="0"/>
    <n v="0"/>
    <n v="0"/>
    <n v="0"/>
    <x v="0"/>
    <x v="0"/>
    <x v="0"/>
    <x v="0"/>
    <x v="0"/>
    <m/>
    <x v="0"/>
    <x v="0"/>
    <n v="15"/>
    <m/>
    <n v="1"/>
    <n v="1"/>
    <n v="1"/>
    <m/>
    <m/>
    <m/>
    <m/>
    <m/>
    <m/>
    <m/>
    <m/>
    <m/>
    <m/>
    <m/>
    <m/>
    <m/>
    <m/>
    <m/>
    <m/>
    <m/>
    <n v="3"/>
    <n v="3"/>
  </r>
  <r>
    <n v="6810"/>
    <x v="2"/>
    <s v="2018/0576"/>
    <s v="123 Roehampton Vale"/>
    <m/>
    <n v="521688"/>
    <n v="172441"/>
    <x v="13"/>
    <m/>
    <m/>
    <n v="1"/>
    <n v="4"/>
    <n v="3"/>
    <n v="4"/>
    <n v="3"/>
    <x v="0"/>
    <s v="Erection of a side and rear roof extension; erection of a part-single, part-two-storey rear extension; conversion of property to 1 x 1-bedroom, 2 x 2-bedroom and 1 x 3-bedroom flats."/>
    <s v="PF"/>
    <d v="2018-02-16T00:00:00"/>
    <d v="2018-05-21T00:00:00"/>
    <x v="0"/>
    <s v="Nil"/>
    <m/>
    <s v="BF"/>
    <s v="MIX"/>
    <x v="0"/>
    <x v="2"/>
    <n v="5.0000000745058101E-2"/>
    <m/>
    <x v="0"/>
    <m/>
    <x v="0"/>
    <s v="M"/>
    <m/>
    <m/>
    <n v="0"/>
    <n v="0"/>
    <n v="0"/>
    <n v="0"/>
    <n v="0"/>
    <n v="1"/>
    <n v="2"/>
    <n v="1"/>
    <n v="0"/>
    <n v="-1"/>
    <n v="0"/>
    <n v="0"/>
    <n v="1"/>
    <n v="2"/>
    <n v="1"/>
    <n v="0"/>
    <n v="0"/>
    <n v="0"/>
    <n v="0"/>
    <n v="0"/>
    <n v="0"/>
    <n v="0"/>
    <n v="0"/>
    <n v="-1"/>
    <n v="0"/>
    <n v="0"/>
    <n v="0"/>
    <n v="0"/>
    <n v="0"/>
    <n v="0"/>
    <n v="0"/>
    <n v="0"/>
    <x v="0"/>
    <x v="0"/>
    <x v="0"/>
    <x v="0"/>
    <x v="0"/>
    <m/>
    <x v="0"/>
    <x v="0"/>
    <n v="15"/>
    <m/>
    <n v="1"/>
    <n v="1"/>
    <n v="1"/>
    <m/>
    <m/>
    <m/>
    <m/>
    <m/>
    <m/>
    <m/>
    <m/>
    <m/>
    <m/>
    <m/>
    <m/>
    <m/>
    <m/>
    <m/>
    <m/>
    <m/>
    <n v="3"/>
    <n v="3"/>
  </r>
  <r>
    <n v="6812"/>
    <x v="2"/>
    <s v="2019/1043"/>
    <s v="61 Longfield Street"/>
    <m/>
    <n v="525084"/>
    <n v="173575"/>
    <x v="14"/>
    <m/>
    <m/>
    <n v="1"/>
    <n v="3"/>
    <n v="2"/>
    <n v="3"/>
    <n v="2"/>
    <x v="0"/>
    <s v="Demolition of existing dwelling house and erection of a three-storey (plus basement) building to provide 2 x 1-bedroom and 1 x 3-bedroom flats(Use Class C3) together with associated landscaping, cycle and refuse storage."/>
    <s v="PF"/>
    <d v="2019-03-21T00:00:00"/>
    <d v="2019-10-29T00:00:00"/>
    <x v="1"/>
    <s v="Nil"/>
    <m/>
    <s v="BF"/>
    <s v="NB"/>
    <x v="0"/>
    <x v="5"/>
    <n v="1.09999999403954E-2"/>
    <m/>
    <x v="0"/>
    <m/>
    <x v="0"/>
    <s v="M"/>
    <m/>
    <m/>
    <n v="0"/>
    <n v="0"/>
    <n v="0"/>
    <n v="0"/>
    <n v="0"/>
    <n v="2"/>
    <n v="0"/>
    <n v="0"/>
    <n v="0"/>
    <n v="0"/>
    <n v="0"/>
    <n v="0"/>
    <n v="2"/>
    <n v="0"/>
    <n v="1"/>
    <n v="0"/>
    <n v="0"/>
    <n v="0"/>
    <n v="0"/>
    <n v="0"/>
    <n v="0"/>
    <n v="-1"/>
    <n v="0"/>
    <n v="0"/>
    <n v="0"/>
    <n v="0"/>
    <n v="0"/>
    <n v="0"/>
    <n v="0"/>
    <n v="0"/>
    <n v="0"/>
    <n v="0"/>
    <x v="0"/>
    <x v="0"/>
    <x v="0"/>
    <x v="0"/>
    <x v="0"/>
    <m/>
    <x v="0"/>
    <x v="0"/>
    <n v="6"/>
    <m/>
    <m/>
    <n v="0.5"/>
    <n v="0.5"/>
    <n v="0.5"/>
    <n v="0.5"/>
    <m/>
    <m/>
    <m/>
    <m/>
    <m/>
    <m/>
    <m/>
    <m/>
    <m/>
    <m/>
    <m/>
    <m/>
    <m/>
    <m/>
    <m/>
    <n v="2"/>
    <n v="2"/>
  </r>
  <r>
    <n v="6819"/>
    <x v="2"/>
    <s v="2018/0272"/>
    <s v="Pocklington Court, 74 Alton Road"/>
    <s v="Building A"/>
    <n v="522285"/>
    <n v="173138"/>
    <x v="13"/>
    <d v="2020-01-18T00:00:00"/>
    <m/>
    <n v="64"/>
    <n v="41"/>
    <n v="-23"/>
    <n v="95"/>
    <n v="31"/>
    <x v="1"/>
    <s v="Demolition of existing buildings and erection of part 2, 5 and 6 storey buildings comprising 41 No. Class C3 Extra Care units and 54 No. Class C3 intermediate affordable units; landscaping and new public realm; energy centre; new basement/lower ground car park accessed off Alton Road (from existing access point); and a new vehicular access off Alton Road into site."/>
    <s v="PFLA"/>
    <d v="2018-02-19T00:00:00"/>
    <d v="2019-03-15T00:00:00"/>
    <x v="0"/>
    <s v="Nil"/>
    <m/>
    <s v="BF"/>
    <s v="NB"/>
    <x v="1"/>
    <x v="7"/>
    <n v="0.178000003099442"/>
    <m/>
    <x v="0"/>
    <m/>
    <x v="2"/>
    <s v="AS"/>
    <m/>
    <m/>
    <n v="0"/>
    <n v="33"/>
    <n v="0"/>
    <n v="8"/>
    <n v="-53"/>
    <n v="30"/>
    <n v="0"/>
    <n v="0"/>
    <n v="0"/>
    <n v="0"/>
    <n v="0"/>
    <n v="-53"/>
    <n v="30"/>
    <n v="0"/>
    <n v="0"/>
    <n v="0"/>
    <n v="0"/>
    <n v="0"/>
    <n v="0"/>
    <n v="0"/>
    <n v="0"/>
    <n v="0"/>
    <n v="0"/>
    <n v="0"/>
    <n v="0"/>
    <n v="0"/>
    <n v="0"/>
    <n v="0"/>
    <n v="0"/>
    <n v="0"/>
    <n v="0"/>
    <n v="0"/>
    <x v="0"/>
    <x v="0"/>
    <x v="0"/>
    <x v="0"/>
    <x v="0"/>
    <m/>
    <x v="0"/>
    <x v="0"/>
    <n v="7"/>
    <m/>
    <m/>
    <n v="-23"/>
    <m/>
    <m/>
    <m/>
    <m/>
    <m/>
    <m/>
    <m/>
    <m/>
    <m/>
    <m/>
    <m/>
    <m/>
    <m/>
    <m/>
    <m/>
    <m/>
    <m/>
    <m/>
    <n v="-23"/>
    <n v="-23"/>
  </r>
  <r>
    <n v="6819"/>
    <x v="2"/>
    <s v="2018/0272"/>
    <s v="Pocklington Court, 74 Alton Road"/>
    <s v="Building B"/>
    <n v="522285"/>
    <n v="173138"/>
    <x v="13"/>
    <d v="2020-01-18T00:00:00"/>
    <m/>
    <n v="0"/>
    <n v="28"/>
    <n v="28"/>
    <n v="95"/>
    <n v="31"/>
    <x v="1"/>
    <s v="Demolition of existing buildings and erection of part 2, 5 and 6 storey buildings comprising 41 No. Class C3 Extra Care units and 54 No. Class C3 intermediate affordable units; landscaping and new public realm; energy centre; new basement/lower ground car park accessed off Alton Road (from existing access point); and a new vehicular access off Alton Road into site."/>
    <s v="PFLA"/>
    <d v="2018-02-19T00:00:00"/>
    <d v="2019-03-15T00:00:00"/>
    <x v="0"/>
    <s v="Nil"/>
    <m/>
    <s v="BF"/>
    <s v="NB"/>
    <x v="1"/>
    <x v="7"/>
    <n v="0.17499999701976801"/>
    <m/>
    <x v="0"/>
    <m/>
    <x v="1"/>
    <s v="IU"/>
    <m/>
    <m/>
    <n v="0"/>
    <n v="28"/>
    <n v="0"/>
    <n v="0"/>
    <n v="0"/>
    <n v="15"/>
    <n v="10"/>
    <n v="3"/>
    <n v="0"/>
    <n v="0"/>
    <n v="0"/>
    <n v="0"/>
    <n v="15"/>
    <n v="10"/>
    <n v="3"/>
    <n v="0"/>
    <n v="0"/>
    <n v="0"/>
    <n v="0"/>
    <n v="0"/>
    <n v="0"/>
    <n v="0"/>
    <n v="0"/>
    <n v="0"/>
    <n v="0"/>
    <n v="0"/>
    <n v="0"/>
    <n v="0"/>
    <n v="0"/>
    <n v="0"/>
    <n v="0"/>
    <n v="0"/>
    <x v="0"/>
    <x v="0"/>
    <x v="0"/>
    <x v="0"/>
    <x v="0"/>
    <m/>
    <x v="0"/>
    <x v="0"/>
    <n v="7"/>
    <m/>
    <m/>
    <n v="28"/>
    <m/>
    <m/>
    <m/>
    <m/>
    <m/>
    <m/>
    <m/>
    <m/>
    <m/>
    <m/>
    <m/>
    <m/>
    <m/>
    <m/>
    <m/>
    <m/>
    <m/>
    <m/>
    <n v="28"/>
    <n v="28"/>
  </r>
  <r>
    <n v="6819"/>
    <x v="2"/>
    <s v="2018/0272"/>
    <s v="Pocklington Court, 74 Alton Road"/>
    <s v="Building C"/>
    <n v="522285"/>
    <n v="173138"/>
    <x v="13"/>
    <d v="2020-01-18T00:00:00"/>
    <m/>
    <n v="0"/>
    <n v="26"/>
    <n v="26"/>
    <n v="95"/>
    <n v="31"/>
    <x v="1"/>
    <s v="Demolition of existing buildings and erection of part 2, 5 and 6 storey buildings comprising 41 No. Class C3 Extra Care units and 54 No. Class C3 intermediate affordable units; landscaping and new public realm; energy centre; new basement/lower ground car park accessed off Alton Road (from existing access point); and a new vehicular access off Alton Road into site."/>
    <s v="PFLA"/>
    <d v="2018-02-19T00:00:00"/>
    <d v="2019-03-15T00:00:00"/>
    <x v="0"/>
    <s v="Nil"/>
    <m/>
    <s v="BF"/>
    <s v="NB"/>
    <x v="1"/>
    <x v="7"/>
    <n v="0.167999997735023"/>
    <m/>
    <x v="0"/>
    <m/>
    <x v="1"/>
    <s v="IU"/>
    <m/>
    <m/>
    <n v="0"/>
    <n v="24"/>
    <n v="0"/>
    <n v="2"/>
    <n v="0"/>
    <n v="9"/>
    <n v="14"/>
    <n v="3"/>
    <n v="0"/>
    <n v="0"/>
    <n v="0"/>
    <n v="0"/>
    <n v="9"/>
    <n v="14"/>
    <n v="3"/>
    <n v="0"/>
    <n v="0"/>
    <n v="0"/>
    <n v="0"/>
    <n v="0"/>
    <n v="0"/>
    <n v="0"/>
    <n v="0"/>
    <n v="0"/>
    <n v="0"/>
    <n v="0"/>
    <n v="0"/>
    <n v="0"/>
    <n v="0"/>
    <n v="0"/>
    <n v="0"/>
    <n v="0"/>
    <x v="0"/>
    <x v="0"/>
    <x v="0"/>
    <x v="0"/>
    <x v="0"/>
    <m/>
    <x v="0"/>
    <x v="0"/>
    <n v="7"/>
    <m/>
    <m/>
    <n v="26"/>
    <m/>
    <m/>
    <m/>
    <m/>
    <m/>
    <m/>
    <m/>
    <m/>
    <m/>
    <m/>
    <m/>
    <m/>
    <m/>
    <m/>
    <m/>
    <m/>
    <m/>
    <m/>
    <n v="26"/>
    <n v="26"/>
  </r>
  <r>
    <n v="6822"/>
    <x v="2"/>
    <s v="2018/0813"/>
    <s v="Unit 19 Ransomes Dock Business Centre, 35-37 Parkgate Road (Ransomes Dock Business Centre)"/>
    <m/>
    <n v="527295"/>
    <n v="177182"/>
    <x v="11"/>
    <m/>
    <m/>
    <n v="0"/>
    <n v="1"/>
    <n v="1"/>
    <n v="1"/>
    <n v="1"/>
    <x v="0"/>
    <s v="Determination as to whether prior approval is required for change of use of office at first floor level (Use Class B1(a)) to residential (Use Class C3) to provide 1 x studio flat."/>
    <s v="PANR"/>
    <d v="2018-02-20T00:00:00"/>
    <d v="2018-04-06T00:00:00"/>
    <x v="0"/>
    <s v="Nil"/>
    <m/>
    <s v="BF"/>
    <s v="COU"/>
    <x v="0"/>
    <x v="6"/>
    <n v="1.4000000432133701E-2"/>
    <m/>
    <x v="0"/>
    <m/>
    <x v="0"/>
    <s v="M"/>
    <m/>
    <m/>
    <n v="0"/>
    <n v="0"/>
    <n v="0"/>
    <n v="0"/>
    <n v="1"/>
    <n v="0"/>
    <n v="0"/>
    <n v="0"/>
    <n v="0"/>
    <n v="0"/>
    <n v="0"/>
    <n v="1"/>
    <n v="0"/>
    <n v="0"/>
    <n v="0"/>
    <n v="0"/>
    <n v="0"/>
    <n v="0"/>
    <n v="0"/>
    <n v="0"/>
    <n v="0"/>
    <n v="0"/>
    <n v="0"/>
    <n v="0"/>
    <n v="0"/>
    <n v="0"/>
    <n v="0"/>
    <n v="0"/>
    <n v="0"/>
    <n v="0"/>
    <n v="0"/>
    <n v="0"/>
    <x v="0"/>
    <x v="0"/>
    <x v="0"/>
    <x v="0"/>
    <x v="0"/>
    <m/>
    <x v="1"/>
    <x v="0"/>
    <n v="15"/>
    <m/>
    <n v="0.33333333333333331"/>
    <n v="0.33333333333333331"/>
    <n v="0.33333333333333331"/>
    <m/>
    <m/>
    <m/>
    <m/>
    <m/>
    <m/>
    <m/>
    <m/>
    <m/>
    <m/>
    <m/>
    <m/>
    <m/>
    <m/>
    <m/>
    <m/>
    <m/>
    <n v="1"/>
    <n v="1"/>
  </r>
  <r>
    <n v="6823"/>
    <x v="2"/>
    <s v="2018/1606"/>
    <s v="Unit 16 Ransomes Dock Business Centre, 35-37 Parkgate Road (Ransomes Dock Business Centre)"/>
    <m/>
    <n v="527310"/>
    <n v="177159"/>
    <x v="11"/>
    <m/>
    <m/>
    <n v="0"/>
    <n v="2"/>
    <n v="2"/>
    <n v="2"/>
    <n v="2"/>
    <x v="0"/>
    <s v="Determination as to whether prior approval is required for change of use of office Class B1a) to residential (Class C3) to provide 2 x 1-bedroom flats."/>
    <s v="PAG"/>
    <d v="2018-03-29T00:00:00"/>
    <d v="2018-05-14T00:00:00"/>
    <x v="0"/>
    <s v="Nil"/>
    <m/>
    <s v="BF"/>
    <s v="COU"/>
    <x v="0"/>
    <x v="6"/>
    <n v="1.30000002682209E-2"/>
    <m/>
    <x v="0"/>
    <m/>
    <x v="0"/>
    <s v="M"/>
    <m/>
    <m/>
    <n v="0"/>
    <n v="0"/>
    <n v="0"/>
    <n v="0"/>
    <n v="0"/>
    <n v="2"/>
    <n v="0"/>
    <n v="0"/>
    <n v="0"/>
    <n v="0"/>
    <n v="0"/>
    <n v="0"/>
    <n v="2"/>
    <n v="0"/>
    <n v="0"/>
    <n v="0"/>
    <n v="0"/>
    <n v="0"/>
    <n v="0"/>
    <n v="0"/>
    <n v="0"/>
    <n v="0"/>
    <n v="0"/>
    <n v="0"/>
    <n v="0"/>
    <n v="0"/>
    <n v="0"/>
    <n v="0"/>
    <n v="0"/>
    <n v="0"/>
    <n v="0"/>
    <n v="0"/>
    <x v="0"/>
    <x v="0"/>
    <x v="0"/>
    <x v="0"/>
    <x v="0"/>
    <m/>
    <x v="1"/>
    <x v="0"/>
    <n v="15"/>
    <m/>
    <n v="0.66666666666666663"/>
    <n v="0.66666666666666663"/>
    <n v="0.66666666666666663"/>
    <m/>
    <m/>
    <m/>
    <m/>
    <m/>
    <m/>
    <m/>
    <m/>
    <m/>
    <m/>
    <m/>
    <m/>
    <m/>
    <m/>
    <m/>
    <m/>
    <m/>
    <n v="2"/>
    <n v="2"/>
  </r>
  <r>
    <n v="6824"/>
    <x v="2"/>
    <s v="2018/0815"/>
    <s v="Unit 15 Ransomes Dock Business Centre, 35-37 Parkgate Road (Ransomes Dock Business Centre)"/>
    <m/>
    <n v="527310"/>
    <n v="177159"/>
    <x v="11"/>
    <m/>
    <m/>
    <n v="0"/>
    <n v="1"/>
    <n v="1"/>
    <n v="1"/>
    <n v="1"/>
    <x v="0"/>
    <s v="Determination as to whether prior approval is required for change of use of office at first floor level (UseClass B1(a)) to residential (Use Class C3) to provide 1 x 2 bedroom flat."/>
    <s v="PANR"/>
    <d v="2018-02-20T00:00:00"/>
    <d v="2018-04-06T00:00:00"/>
    <x v="0"/>
    <s v="Nil"/>
    <m/>
    <s v="BF"/>
    <s v="COU"/>
    <x v="0"/>
    <x v="6"/>
    <n v="9.9999997764825804E-3"/>
    <m/>
    <x v="0"/>
    <m/>
    <x v="0"/>
    <s v="M"/>
    <m/>
    <m/>
    <n v="0"/>
    <n v="0"/>
    <n v="0"/>
    <n v="0"/>
    <n v="0"/>
    <n v="0"/>
    <n v="1"/>
    <n v="0"/>
    <n v="0"/>
    <n v="0"/>
    <n v="0"/>
    <n v="0"/>
    <n v="0"/>
    <n v="1"/>
    <n v="0"/>
    <n v="0"/>
    <n v="0"/>
    <n v="0"/>
    <n v="0"/>
    <n v="0"/>
    <n v="0"/>
    <n v="0"/>
    <n v="0"/>
    <n v="0"/>
    <n v="0"/>
    <n v="0"/>
    <n v="0"/>
    <n v="0"/>
    <n v="0"/>
    <n v="0"/>
    <n v="0"/>
    <n v="0"/>
    <x v="0"/>
    <x v="0"/>
    <x v="0"/>
    <x v="0"/>
    <x v="0"/>
    <m/>
    <x v="1"/>
    <x v="0"/>
    <n v="15"/>
    <m/>
    <n v="0.33333333333333331"/>
    <n v="0.33333333333333331"/>
    <n v="0.33333333333333331"/>
    <m/>
    <m/>
    <m/>
    <m/>
    <m/>
    <m/>
    <m/>
    <m/>
    <m/>
    <m/>
    <m/>
    <m/>
    <m/>
    <m/>
    <m/>
    <m/>
    <m/>
    <n v="1"/>
    <n v="1"/>
  </r>
  <r>
    <n v="6825"/>
    <x v="2"/>
    <s v="2018/0816"/>
    <s v="Unit 11-12 Ransomes Dock Business Centre, 35-37 Parkgate Road (Ransomes Dock Business Centre)"/>
    <m/>
    <n v="527310"/>
    <n v="177159"/>
    <x v="11"/>
    <m/>
    <m/>
    <n v="0"/>
    <n v="1"/>
    <n v="1"/>
    <n v="1"/>
    <n v="1"/>
    <x v="0"/>
    <s v="Determination as to whether prior approval is required for change of use of office at second floor level (Use Class B1(a) to residential (Use Class 3) to provide 1 x 2 bedroom flat."/>
    <s v="PANR"/>
    <d v="2018-02-20T00:00:00"/>
    <d v="2018-04-05T00:00:00"/>
    <x v="0"/>
    <s v="Nil"/>
    <m/>
    <s v="BF"/>
    <s v="COU"/>
    <x v="0"/>
    <x v="6"/>
    <n v="1.09999999403954E-2"/>
    <m/>
    <x v="0"/>
    <m/>
    <x v="0"/>
    <s v="M"/>
    <m/>
    <m/>
    <n v="0"/>
    <n v="0"/>
    <n v="0"/>
    <n v="0"/>
    <n v="0"/>
    <n v="0"/>
    <n v="1"/>
    <n v="0"/>
    <n v="0"/>
    <n v="0"/>
    <n v="0"/>
    <n v="0"/>
    <n v="0"/>
    <n v="1"/>
    <n v="0"/>
    <n v="0"/>
    <n v="0"/>
    <n v="0"/>
    <n v="0"/>
    <n v="0"/>
    <n v="0"/>
    <n v="0"/>
    <n v="0"/>
    <n v="0"/>
    <n v="0"/>
    <n v="0"/>
    <n v="0"/>
    <n v="0"/>
    <n v="0"/>
    <n v="0"/>
    <n v="0"/>
    <n v="0"/>
    <x v="0"/>
    <x v="0"/>
    <x v="0"/>
    <x v="0"/>
    <x v="0"/>
    <m/>
    <x v="1"/>
    <x v="0"/>
    <n v="15"/>
    <m/>
    <n v="0.33333333333333331"/>
    <n v="0.33333333333333331"/>
    <n v="0.33333333333333331"/>
    <m/>
    <m/>
    <m/>
    <m/>
    <m/>
    <m/>
    <m/>
    <m/>
    <m/>
    <m/>
    <m/>
    <m/>
    <m/>
    <m/>
    <m/>
    <m/>
    <m/>
    <n v="1"/>
    <n v="1"/>
  </r>
  <r>
    <n v="6826"/>
    <x v="2"/>
    <s v="2018/0817"/>
    <s v="Unit 7-10 Ransomes Dock Business Centre, 35-37 Parkgate Road (Ransomes Dock Business Centre)"/>
    <m/>
    <n v="527310"/>
    <n v="177159"/>
    <x v="11"/>
    <m/>
    <m/>
    <n v="0"/>
    <n v="2"/>
    <n v="2"/>
    <n v="2"/>
    <n v="2"/>
    <x v="0"/>
    <s v="Determination as to whether prior approval is required for change of use of office at first floor level  (Use Class B1(a)) to residential (Use Class C3) to provide 1 x 1 bedroom flat and 1 x 2 bedroom flat."/>
    <s v="PANR"/>
    <d v="2018-02-20T00:00:00"/>
    <d v="2018-04-06T00:00:00"/>
    <x v="0"/>
    <s v="Nil"/>
    <m/>
    <s v="BF"/>
    <s v="COU"/>
    <x v="0"/>
    <x v="6"/>
    <n v="1.60000007599592E-2"/>
    <m/>
    <x v="0"/>
    <m/>
    <x v="0"/>
    <s v="M"/>
    <m/>
    <m/>
    <n v="0"/>
    <n v="0"/>
    <n v="0"/>
    <n v="0"/>
    <n v="0"/>
    <n v="1"/>
    <n v="1"/>
    <n v="0"/>
    <n v="0"/>
    <n v="0"/>
    <n v="0"/>
    <n v="0"/>
    <n v="1"/>
    <n v="1"/>
    <n v="0"/>
    <n v="0"/>
    <n v="0"/>
    <n v="0"/>
    <n v="0"/>
    <n v="0"/>
    <n v="0"/>
    <n v="0"/>
    <n v="0"/>
    <n v="0"/>
    <n v="0"/>
    <n v="0"/>
    <n v="0"/>
    <n v="0"/>
    <n v="0"/>
    <n v="0"/>
    <n v="0"/>
    <n v="0"/>
    <x v="0"/>
    <x v="0"/>
    <x v="0"/>
    <x v="0"/>
    <x v="0"/>
    <m/>
    <x v="1"/>
    <x v="0"/>
    <n v="15"/>
    <m/>
    <n v="0.66666666666666663"/>
    <n v="0.66666666666666663"/>
    <n v="0.66666666666666663"/>
    <m/>
    <m/>
    <m/>
    <m/>
    <m/>
    <m/>
    <m/>
    <m/>
    <m/>
    <m/>
    <m/>
    <m/>
    <m/>
    <m/>
    <m/>
    <m/>
    <m/>
    <n v="2"/>
    <n v="2"/>
  </r>
  <r>
    <n v="6839"/>
    <x v="2"/>
    <s v="2018/1079"/>
    <s v="Land east of 57, 57 Putney Bridge Road"/>
    <m/>
    <n v="525097"/>
    <n v="175034"/>
    <x v="0"/>
    <m/>
    <m/>
    <n v="0"/>
    <n v="5"/>
    <n v="5"/>
    <n v="5"/>
    <n v="5"/>
    <x v="0"/>
    <s v="Erection of five storey building to provide 5 x studio flats with associated cycle and bin storage."/>
    <s v="PF"/>
    <d v="2018-03-09T00:00:00"/>
    <d v="2018-05-25T00:00:00"/>
    <x v="0"/>
    <s v="Nil"/>
    <m/>
    <s v="BF"/>
    <s v="NB"/>
    <x v="0"/>
    <x v="5"/>
    <n v="7.0000002160668399E-3"/>
    <m/>
    <x v="0"/>
    <m/>
    <x v="0"/>
    <s v="M"/>
    <m/>
    <m/>
    <n v="0"/>
    <n v="5"/>
    <n v="0"/>
    <n v="0"/>
    <n v="5"/>
    <n v="0"/>
    <n v="0"/>
    <n v="0"/>
    <n v="0"/>
    <n v="0"/>
    <n v="0"/>
    <n v="5"/>
    <n v="0"/>
    <n v="0"/>
    <n v="0"/>
    <n v="0"/>
    <n v="0"/>
    <n v="0"/>
    <n v="0"/>
    <n v="0"/>
    <n v="0"/>
    <n v="0"/>
    <n v="0"/>
    <n v="0"/>
    <n v="0"/>
    <n v="0"/>
    <n v="0"/>
    <n v="0"/>
    <n v="0"/>
    <n v="0"/>
    <n v="0"/>
    <n v="0"/>
    <x v="0"/>
    <x v="0"/>
    <x v="0"/>
    <x v="0"/>
    <x v="0"/>
    <m/>
    <x v="0"/>
    <x v="0"/>
    <n v="6"/>
    <m/>
    <m/>
    <n v="1.25"/>
    <n v="1.25"/>
    <n v="1.25"/>
    <n v="1.25"/>
    <m/>
    <m/>
    <m/>
    <m/>
    <m/>
    <m/>
    <m/>
    <m/>
    <m/>
    <m/>
    <m/>
    <m/>
    <m/>
    <m/>
    <m/>
    <n v="5"/>
    <n v="5"/>
  </r>
  <r>
    <n v="6841"/>
    <x v="2"/>
    <s v="2017/6139"/>
    <s v="Garages south of 156-232, 156-232 Whitlock Drive"/>
    <m/>
    <n v="524290"/>
    <n v="173418"/>
    <x v="18"/>
    <m/>
    <m/>
    <n v="0"/>
    <n v="9"/>
    <n v="9"/>
    <n v="9"/>
    <n v="9"/>
    <x v="0"/>
    <s v="Demolition of existing garages and erection of three-storey (plus basement) building to provide 2x 3-bedroom flats, 6x 2-bedroom flats and 1x 1-bedroom flat with associated landscaping, underground parking, bin and cycle storage."/>
    <s v="PF"/>
    <d v="2018-03-09T00:00:00"/>
    <d v="2018-08-23T00:00:00"/>
    <x v="0"/>
    <s v="Nil"/>
    <m/>
    <s v="BF"/>
    <s v="NB"/>
    <x v="0"/>
    <x v="5"/>
    <n v="7.5000002980232197E-2"/>
    <m/>
    <x v="0"/>
    <m/>
    <x v="2"/>
    <s v="AC"/>
    <m/>
    <m/>
    <n v="0"/>
    <n v="0"/>
    <n v="0"/>
    <n v="0"/>
    <n v="0"/>
    <n v="1"/>
    <n v="6"/>
    <n v="2"/>
    <n v="0"/>
    <n v="0"/>
    <n v="0"/>
    <n v="0"/>
    <n v="1"/>
    <n v="6"/>
    <n v="2"/>
    <n v="0"/>
    <n v="0"/>
    <n v="0"/>
    <n v="0"/>
    <n v="0"/>
    <n v="0"/>
    <n v="0"/>
    <n v="0"/>
    <n v="0"/>
    <n v="0"/>
    <n v="0"/>
    <n v="0"/>
    <n v="0"/>
    <n v="0"/>
    <n v="0"/>
    <n v="0"/>
    <n v="0"/>
    <x v="0"/>
    <x v="0"/>
    <x v="0"/>
    <x v="0"/>
    <x v="0"/>
    <m/>
    <x v="0"/>
    <x v="0"/>
    <n v="7"/>
    <m/>
    <m/>
    <m/>
    <n v="9"/>
    <m/>
    <m/>
    <m/>
    <m/>
    <m/>
    <m/>
    <m/>
    <m/>
    <m/>
    <m/>
    <m/>
    <m/>
    <m/>
    <m/>
    <m/>
    <m/>
    <m/>
    <n v="9"/>
    <n v="9"/>
  </r>
  <r>
    <n v="6846"/>
    <x v="2"/>
    <s v="2018/1104"/>
    <s v="52 Northcote Road"/>
    <m/>
    <n v="527474"/>
    <n v="174921"/>
    <x v="4"/>
    <m/>
    <m/>
    <n v="1"/>
    <n v="2"/>
    <n v="1"/>
    <n v="2"/>
    <n v="1"/>
    <x v="0"/>
    <s v="Alterations including erection of rear roof extension to main rear roof, erection of rear extensions at first and second floor level including formation of roof terrace with 1.7m high screen surrounds at first and second floors in connection with the conversion of the upper floor flat into 2 x 2-bedroom flats. Provision of bin/cycle storage."/>
    <s v="PF"/>
    <d v="2018-03-15T00:00:00"/>
    <d v="2018-04-26T00:00:00"/>
    <x v="0"/>
    <s v="Nil"/>
    <m/>
    <s v="BF"/>
    <s v="EXT"/>
    <x v="0"/>
    <x v="3"/>
    <n v="8.9999996125698107E-3"/>
    <m/>
    <x v="0"/>
    <m/>
    <x v="0"/>
    <s v="M"/>
    <m/>
    <m/>
    <n v="0"/>
    <n v="0"/>
    <n v="0"/>
    <n v="0"/>
    <n v="0"/>
    <n v="0"/>
    <n v="1"/>
    <n v="0"/>
    <n v="0"/>
    <n v="0"/>
    <n v="0"/>
    <n v="0"/>
    <n v="0"/>
    <n v="1"/>
    <n v="0"/>
    <n v="0"/>
    <n v="0"/>
    <n v="0"/>
    <n v="0"/>
    <n v="0"/>
    <n v="0"/>
    <n v="0"/>
    <n v="0"/>
    <n v="0"/>
    <n v="0"/>
    <n v="0"/>
    <n v="0"/>
    <n v="0"/>
    <n v="0"/>
    <n v="0"/>
    <n v="0"/>
    <n v="0"/>
    <x v="1"/>
    <x v="0"/>
    <x v="0"/>
    <x v="0"/>
    <x v="0"/>
    <m/>
    <x v="0"/>
    <x v="0"/>
    <n v="15"/>
    <m/>
    <n v="0.33333333333333331"/>
    <n v="0.33333333333333331"/>
    <n v="0.33333333333333331"/>
    <m/>
    <m/>
    <m/>
    <m/>
    <m/>
    <m/>
    <m/>
    <m/>
    <m/>
    <m/>
    <m/>
    <m/>
    <m/>
    <m/>
    <m/>
    <m/>
    <m/>
    <n v="1"/>
    <n v="1"/>
  </r>
  <r>
    <n v="6852"/>
    <x v="2"/>
    <s v="2018/5553"/>
    <s v="Kersfield Estate, Lytton Grove"/>
    <s v="Block A"/>
    <n v="524063"/>
    <n v="174446"/>
    <x v="5"/>
    <m/>
    <m/>
    <n v="0"/>
    <n v="4"/>
    <n v="4"/>
    <n v="41"/>
    <n v="41"/>
    <x v="1"/>
    <s v="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
    <s v="PFLA"/>
    <d v="2018-12-18T00:00:00"/>
    <d v="2020-02-28T00:00:00"/>
    <x v="1"/>
    <s v="Nil"/>
    <m/>
    <s v="BF"/>
    <s v="NB"/>
    <x v="1"/>
    <x v="7"/>
    <n v="5.6000001728534698E-2"/>
    <m/>
    <x v="0"/>
    <m/>
    <x v="0"/>
    <s v="M"/>
    <m/>
    <n v="17320313"/>
    <n v="0"/>
    <n v="0"/>
    <n v="0"/>
    <n v="0"/>
    <n v="0"/>
    <n v="1"/>
    <n v="3"/>
    <n v="0"/>
    <n v="0"/>
    <n v="0"/>
    <n v="0"/>
    <n v="0"/>
    <n v="1"/>
    <n v="3"/>
    <n v="0"/>
    <n v="0"/>
    <n v="0"/>
    <n v="0"/>
    <n v="0"/>
    <n v="0"/>
    <n v="0"/>
    <n v="0"/>
    <n v="0"/>
    <n v="0"/>
    <n v="0"/>
    <n v="0"/>
    <n v="0"/>
    <n v="0"/>
    <n v="0"/>
    <n v="0"/>
    <n v="0"/>
    <n v="0"/>
    <x v="0"/>
    <x v="0"/>
    <x v="0"/>
    <x v="0"/>
    <x v="0"/>
    <m/>
    <x v="0"/>
    <x v="0"/>
    <n v="7"/>
    <m/>
    <m/>
    <m/>
    <n v="4"/>
    <m/>
    <m/>
    <m/>
    <m/>
    <m/>
    <m/>
    <m/>
    <m/>
    <m/>
    <m/>
    <m/>
    <m/>
    <m/>
    <m/>
    <m/>
    <m/>
    <m/>
    <n v="4"/>
    <n v="4"/>
  </r>
  <r>
    <n v="6852"/>
    <x v="2"/>
    <s v="2018/5553"/>
    <s v="Kersfield Estate, Lytton Grove"/>
    <s v="Block B"/>
    <n v="524063"/>
    <n v="174446"/>
    <x v="5"/>
    <m/>
    <m/>
    <n v="0"/>
    <n v="6"/>
    <n v="6"/>
    <n v="41"/>
    <n v="41"/>
    <x v="1"/>
    <s v="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
    <s v="PFLA"/>
    <d v="2018-12-18T00:00:00"/>
    <d v="2020-02-28T00:00:00"/>
    <x v="1"/>
    <s v="Nil"/>
    <m/>
    <s v="BF"/>
    <s v="NB"/>
    <x v="1"/>
    <x v="7"/>
    <n v="8.5000000894069699E-2"/>
    <m/>
    <x v="0"/>
    <m/>
    <x v="0"/>
    <s v="M"/>
    <m/>
    <n v="17320313"/>
    <n v="0"/>
    <n v="0"/>
    <n v="0"/>
    <n v="0"/>
    <n v="0"/>
    <n v="2"/>
    <n v="0"/>
    <n v="4"/>
    <n v="0"/>
    <n v="0"/>
    <n v="0"/>
    <n v="0"/>
    <n v="2"/>
    <n v="0"/>
    <n v="4"/>
    <n v="0"/>
    <n v="0"/>
    <n v="0"/>
    <n v="0"/>
    <n v="0"/>
    <n v="0"/>
    <n v="0"/>
    <n v="0"/>
    <n v="0"/>
    <n v="0"/>
    <n v="0"/>
    <n v="0"/>
    <n v="0"/>
    <n v="0"/>
    <n v="0"/>
    <n v="0"/>
    <n v="0"/>
    <x v="0"/>
    <x v="0"/>
    <x v="0"/>
    <x v="0"/>
    <x v="0"/>
    <m/>
    <x v="0"/>
    <x v="0"/>
    <n v="7"/>
    <m/>
    <m/>
    <m/>
    <n v="6"/>
    <m/>
    <m/>
    <m/>
    <m/>
    <m/>
    <m/>
    <m/>
    <m/>
    <m/>
    <m/>
    <m/>
    <m/>
    <m/>
    <m/>
    <m/>
    <m/>
    <m/>
    <n v="6"/>
    <n v="6"/>
  </r>
  <r>
    <n v="6852"/>
    <x v="2"/>
    <s v="2018/5553"/>
    <s v="Kersfield Estate, Lytton Grove"/>
    <s v="Block C"/>
    <n v="524063"/>
    <n v="174446"/>
    <x v="5"/>
    <m/>
    <m/>
    <n v="0"/>
    <n v="6"/>
    <n v="6"/>
    <n v="41"/>
    <n v="41"/>
    <x v="1"/>
    <s v="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
    <s v="PFLA"/>
    <d v="2018-12-18T00:00:00"/>
    <d v="2020-02-28T00:00:00"/>
    <x v="1"/>
    <s v="Nil"/>
    <m/>
    <s v="BF"/>
    <s v="NB"/>
    <x v="1"/>
    <x v="7"/>
    <n v="8.5000000894069699E-2"/>
    <m/>
    <x v="0"/>
    <m/>
    <x v="0"/>
    <s v="M"/>
    <m/>
    <n v="17320313"/>
    <n v="0"/>
    <n v="0"/>
    <n v="0"/>
    <n v="0"/>
    <n v="0"/>
    <n v="2"/>
    <n v="0"/>
    <n v="4"/>
    <n v="0"/>
    <n v="0"/>
    <n v="0"/>
    <n v="0"/>
    <n v="2"/>
    <n v="0"/>
    <n v="4"/>
    <n v="0"/>
    <n v="0"/>
    <n v="0"/>
    <n v="0"/>
    <n v="0"/>
    <n v="0"/>
    <n v="0"/>
    <n v="0"/>
    <n v="0"/>
    <n v="0"/>
    <n v="0"/>
    <n v="0"/>
    <n v="0"/>
    <n v="0"/>
    <n v="0"/>
    <n v="0"/>
    <n v="0"/>
    <x v="0"/>
    <x v="0"/>
    <x v="0"/>
    <x v="0"/>
    <x v="0"/>
    <m/>
    <x v="0"/>
    <x v="0"/>
    <n v="7"/>
    <m/>
    <m/>
    <m/>
    <n v="6"/>
    <m/>
    <m/>
    <m/>
    <m/>
    <m/>
    <m/>
    <m/>
    <m/>
    <m/>
    <m/>
    <m/>
    <m/>
    <m/>
    <m/>
    <m/>
    <m/>
    <m/>
    <n v="6"/>
    <n v="6"/>
  </r>
  <r>
    <n v="6852"/>
    <x v="2"/>
    <s v="2018/5553"/>
    <s v="Kersfield Estate, Lytton Grove"/>
    <s v="Block D"/>
    <n v="524063"/>
    <n v="174446"/>
    <x v="5"/>
    <m/>
    <m/>
    <n v="0"/>
    <n v="6"/>
    <n v="6"/>
    <n v="41"/>
    <n v="41"/>
    <x v="1"/>
    <s v="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
    <s v="PFLA"/>
    <d v="2018-12-18T00:00:00"/>
    <d v="2020-02-28T00:00:00"/>
    <x v="1"/>
    <s v="Nil"/>
    <m/>
    <s v="BF"/>
    <s v="NB"/>
    <x v="1"/>
    <x v="7"/>
    <n v="8.5000000894069699E-2"/>
    <m/>
    <x v="0"/>
    <m/>
    <x v="0"/>
    <s v="M"/>
    <m/>
    <n v="17320313"/>
    <n v="0"/>
    <n v="0"/>
    <n v="0"/>
    <n v="0"/>
    <n v="0"/>
    <n v="2"/>
    <n v="0"/>
    <n v="4"/>
    <n v="0"/>
    <n v="0"/>
    <n v="0"/>
    <n v="0"/>
    <n v="2"/>
    <n v="0"/>
    <n v="4"/>
    <n v="0"/>
    <n v="0"/>
    <n v="0"/>
    <n v="0"/>
    <n v="0"/>
    <n v="0"/>
    <n v="0"/>
    <n v="0"/>
    <n v="0"/>
    <n v="0"/>
    <n v="0"/>
    <n v="0"/>
    <n v="0"/>
    <n v="0"/>
    <n v="0"/>
    <n v="0"/>
    <n v="0"/>
    <x v="0"/>
    <x v="0"/>
    <x v="0"/>
    <x v="0"/>
    <x v="0"/>
    <m/>
    <x v="0"/>
    <x v="0"/>
    <n v="7"/>
    <m/>
    <m/>
    <m/>
    <n v="6"/>
    <m/>
    <m/>
    <m/>
    <m/>
    <m/>
    <m/>
    <m/>
    <m/>
    <m/>
    <m/>
    <m/>
    <m/>
    <m/>
    <m/>
    <m/>
    <m/>
    <m/>
    <n v="6"/>
    <n v="6"/>
  </r>
  <r>
    <n v="6852"/>
    <x v="2"/>
    <s v="2018/5553"/>
    <s v="Kersfield Estate, Lytton Grove"/>
    <s v="Block E"/>
    <n v="524063"/>
    <n v="174446"/>
    <x v="5"/>
    <m/>
    <m/>
    <n v="0"/>
    <n v="5"/>
    <n v="5"/>
    <n v="41"/>
    <n v="41"/>
    <x v="1"/>
    <s v="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
    <s v="PFLA"/>
    <d v="2018-12-18T00:00:00"/>
    <d v="2020-02-28T00:00:00"/>
    <x v="1"/>
    <s v="Nil"/>
    <m/>
    <s v="BF"/>
    <s v="NB"/>
    <x v="1"/>
    <x v="7"/>
    <n v="7.0000000298023196E-2"/>
    <m/>
    <x v="0"/>
    <m/>
    <x v="0"/>
    <s v="M"/>
    <m/>
    <n v="17320313"/>
    <n v="0"/>
    <n v="0"/>
    <n v="0"/>
    <n v="0"/>
    <n v="0"/>
    <n v="1"/>
    <n v="4"/>
    <n v="0"/>
    <n v="0"/>
    <n v="0"/>
    <n v="0"/>
    <n v="0"/>
    <n v="1"/>
    <n v="4"/>
    <n v="0"/>
    <n v="0"/>
    <n v="0"/>
    <n v="0"/>
    <n v="0"/>
    <n v="0"/>
    <n v="0"/>
    <n v="0"/>
    <n v="0"/>
    <n v="0"/>
    <n v="0"/>
    <n v="0"/>
    <n v="0"/>
    <n v="0"/>
    <n v="0"/>
    <n v="0"/>
    <n v="0"/>
    <n v="0"/>
    <x v="0"/>
    <x v="0"/>
    <x v="0"/>
    <x v="0"/>
    <x v="0"/>
    <m/>
    <x v="0"/>
    <x v="0"/>
    <n v="7"/>
    <m/>
    <m/>
    <m/>
    <n v="5"/>
    <m/>
    <m/>
    <m/>
    <m/>
    <m/>
    <m/>
    <m/>
    <m/>
    <m/>
    <m/>
    <m/>
    <m/>
    <m/>
    <m/>
    <m/>
    <m/>
    <m/>
    <n v="5"/>
    <n v="5"/>
  </r>
  <r>
    <n v="6852"/>
    <x v="2"/>
    <s v="2018/5553"/>
    <s v="Kersfield Estate, Lytton Grove"/>
    <s v="Block F"/>
    <n v="524063"/>
    <n v="174446"/>
    <x v="5"/>
    <m/>
    <m/>
    <n v="0"/>
    <n v="7"/>
    <n v="7"/>
    <n v="41"/>
    <n v="41"/>
    <x v="1"/>
    <s v="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
    <s v="PFLA"/>
    <d v="2018-12-18T00:00:00"/>
    <d v="2020-02-28T00:00:00"/>
    <x v="1"/>
    <s v="Nil"/>
    <m/>
    <s v="BF"/>
    <s v="NB"/>
    <x v="1"/>
    <x v="7"/>
    <n v="9.8999999463558197E-2"/>
    <m/>
    <x v="0"/>
    <m/>
    <x v="2"/>
    <s v="AL"/>
    <m/>
    <n v="17320313"/>
    <n v="0"/>
    <n v="0"/>
    <n v="0"/>
    <n v="1"/>
    <n v="0"/>
    <n v="3"/>
    <n v="3"/>
    <n v="1"/>
    <n v="0"/>
    <n v="0"/>
    <n v="0"/>
    <n v="0"/>
    <n v="3"/>
    <n v="3"/>
    <n v="1"/>
    <n v="0"/>
    <n v="0"/>
    <n v="0"/>
    <n v="0"/>
    <n v="0"/>
    <n v="0"/>
    <n v="0"/>
    <n v="0"/>
    <n v="0"/>
    <n v="0"/>
    <n v="0"/>
    <n v="0"/>
    <n v="0"/>
    <n v="0"/>
    <n v="0"/>
    <n v="0"/>
    <n v="0"/>
    <x v="0"/>
    <x v="0"/>
    <x v="0"/>
    <x v="0"/>
    <x v="0"/>
    <m/>
    <x v="0"/>
    <x v="0"/>
    <n v="7"/>
    <m/>
    <m/>
    <m/>
    <n v="7"/>
    <m/>
    <m/>
    <m/>
    <m/>
    <m/>
    <m/>
    <m/>
    <m/>
    <m/>
    <m/>
    <m/>
    <m/>
    <m/>
    <m/>
    <m/>
    <m/>
    <m/>
    <n v="7"/>
    <n v="7"/>
  </r>
  <r>
    <n v="6852"/>
    <x v="2"/>
    <s v="2018/5553"/>
    <s v="Kersfield Estate, Lytton Grove"/>
    <s v="Block G"/>
    <n v="524063"/>
    <n v="174446"/>
    <x v="5"/>
    <m/>
    <m/>
    <n v="0"/>
    <n v="7"/>
    <n v="7"/>
    <n v="41"/>
    <n v="41"/>
    <x v="1"/>
    <s v="Demolition of existing electricity substation and erection of 7 blocks and new electricity substation across the estate ranging from 2 to 4 storeys to provide 41 new residential units (14 x 1 bed, 25 x 2 bed, 2 x 3 bed) removal of a number of existing trees along Lytton Grove frontage with provision of replacement trees, landscaping and play space."/>
    <s v="PFLA"/>
    <d v="2018-12-18T00:00:00"/>
    <d v="2020-02-28T00:00:00"/>
    <x v="1"/>
    <s v="Nil"/>
    <m/>
    <s v="BF"/>
    <s v="NB"/>
    <x v="1"/>
    <x v="7"/>
    <n v="9.8999999463558197E-2"/>
    <m/>
    <x v="0"/>
    <m/>
    <x v="2"/>
    <s v="AL"/>
    <m/>
    <n v="17320313"/>
    <n v="0"/>
    <n v="0"/>
    <n v="0"/>
    <n v="1"/>
    <n v="0"/>
    <n v="3"/>
    <n v="3"/>
    <n v="1"/>
    <n v="0"/>
    <n v="0"/>
    <n v="0"/>
    <n v="0"/>
    <n v="3"/>
    <n v="3"/>
    <n v="1"/>
    <n v="0"/>
    <n v="0"/>
    <n v="0"/>
    <n v="0"/>
    <n v="0"/>
    <n v="0"/>
    <n v="0"/>
    <n v="0"/>
    <n v="0"/>
    <n v="0"/>
    <n v="0"/>
    <n v="0"/>
    <n v="0"/>
    <n v="0"/>
    <n v="0"/>
    <n v="0"/>
    <n v="0"/>
    <x v="0"/>
    <x v="0"/>
    <x v="0"/>
    <x v="0"/>
    <x v="0"/>
    <m/>
    <x v="0"/>
    <x v="0"/>
    <n v="7"/>
    <m/>
    <m/>
    <m/>
    <n v="7"/>
    <m/>
    <m/>
    <m/>
    <m/>
    <m/>
    <m/>
    <m/>
    <m/>
    <m/>
    <m/>
    <m/>
    <m/>
    <m/>
    <m/>
    <m/>
    <m/>
    <m/>
    <n v="7"/>
    <n v="7"/>
  </r>
  <r>
    <n v="6858"/>
    <x v="2"/>
    <s v="2019/2340"/>
    <s v="24 Romberg Road"/>
    <m/>
    <n v="528202"/>
    <n v="172108"/>
    <x v="19"/>
    <m/>
    <m/>
    <n v="0"/>
    <n v="1"/>
    <n v="1"/>
    <n v="1"/>
    <n v="1"/>
    <x v="0"/>
    <s v="Demolition of single storey rear extension and garage, and erection of 1 x 1-bedroom two-storey dwellinghouse with associated refuse and cycle storage."/>
    <s v="PF"/>
    <d v="2019-08-21T00:00:00"/>
    <d v="2019-10-02T00:00:00"/>
    <x v="1"/>
    <s v="Nil"/>
    <m/>
    <s v="BF"/>
    <s v="NB"/>
    <x v="0"/>
    <x v="5"/>
    <n v="3.0000000260770299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6884"/>
    <x v="2"/>
    <s v="2019/5030"/>
    <s v="34 Putney High Street"/>
    <m/>
    <n v="524096"/>
    <n v="175530"/>
    <x v="0"/>
    <m/>
    <m/>
    <n v="1"/>
    <n v="0"/>
    <n v="-1"/>
    <n v="0"/>
    <n v="-1"/>
    <x v="0"/>
    <s v="Alterations in connection with change of use of 3-bedroom flat (Class C3) to 6-bedroom residence of multiple occupation (Sui Generis.)"/>
    <s v="PF"/>
    <d v="2019-12-10T00:00:00"/>
    <d v="2020-03-17T00:00:00"/>
    <x v="1"/>
    <s v="Nil"/>
    <m/>
    <s v="BF"/>
    <s v="COU"/>
    <x v="0"/>
    <x v="1"/>
    <n v="8.0000003799796104E-3"/>
    <m/>
    <x v="0"/>
    <m/>
    <x v="0"/>
    <s v="M"/>
    <m/>
    <m/>
    <n v="0"/>
    <n v="0"/>
    <n v="0"/>
    <n v="0"/>
    <n v="0"/>
    <n v="0"/>
    <n v="0"/>
    <n v="-1"/>
    <n v="0"/>
    <n v="0"/>
    <n v="0"/>
    <n v="0"/>
    <n v="0"/>
    <n v="0"/>
    <n v="-1"/>
    <n v="0"/>
    <n v="0"/>
    <n v="0"/>
    <n v="0"/>
    <n v="0"/>
    <n v="0"/>
    <n v="0"/>
    <n v="0"/>
    <n v="0"/>
    <n v="0"/>
    <n v="0"/>
    <n v="0"/>
    <n v="0"/>
    <n v="0"/>
    <n v="0"/>
    <n v="0"/>
    <n v="0"/>
    <x v="2"/>
    <x v="0"/>
    <x v="0"/>
    <x v="0"/>
    <x v="0"/>
    <m/>
    <x v="0"/>
    <x v="0"/>
    <n v="15"/>
    <m/>
    <n v="-0.33333333333333331"/>
    <n v="-0.33333333333333331"/>
    <n v="-0.33333333333333331"/>
    <m/>
    <m/>
    <m/>
    <m/>
    <m/>
    <m/>
    <m/>
    <m/>
    <m/>
    <m/>
    <m/>
    <m/>
    <m/>
    <m/>
    <m/>
    <m/>
    <m/>
    <n v="-1"/>
    <n v="-1"/>
  </r>
  <r>
    <n v="6885"/>
    <x v="2"/>
    <s v="2018/1377"/>
    <s v="217 Garratt Lane"/>
    <s v="conversion"/>
    <n v="525906"/>
    <n v="173856"/>
    <x v="8"/>
    <m/>
    <m/>
    <n v="1"/>
    <n v="2"/>
    <n v="1"/>
    <n v="3"/>
    <n v="1"/>
    <x v="0"/>
    <s v="Alterations including erection of part single/part two storey rear/side extension,  in connection with use of front part of ground floor as a shop and the remainder as, 1 x 2-bedroom and 2 x 1-bedroom flats with rear first floor terrace."/>
    <s v="PF"/>
    <d v="2018-03-27T00:00:00"/>
    <d v="2018-05-22T00:00:00"/>
    <x v="0"/>
    <s v="Nil"/>
    <m/>
    <s v="BF"/>
    <s v="MIX"/>
    <x v="0"/>
    <x v="0"/>
    <n v="8.0000003799796104E-3"/>
    <m/>
    <x v="0"/>
    <m/>
    <x v="0"/>
    <s v="M"/>
    <m/>
    <m/>
    <n v="0"/>
    <n v="0"/>
    <n v="0"/>
    <n v="0"/>
    <n v="0"/>
    <n v="2"/>
    <n v="-1"/>
    <n v="0"/>
    <n v="0"/>
    <n v="0"/>
    <n v="0"/>
    <n v="0"/>
    <n v="2"/>
    <n v="-1"/>
    <n v="0"/>
    <n v="0"/>
    <n v="0"/>
    <n v="0"/>
    <n v="0"/>
    <n v="0"/>
    <n v="0"/>
    <n v="0"/>
    <n v="0"/>
    <n v="0"/>
    <n v="0"/>
    <n v="0"/>
    <n v="0"/>
    <n v="0"/>
    <n v="0"/>
    <n v="0"/>
    <n v="0"/>
    <n v="0"/>
    <x v="0"/>
    <x v="0"/>
    <x v="0"/>
    <x v="0"/>
    <x v="0"/>
    <m/>
    <x v="0"/>
    <x v="0"/>
    <n v="15"/>
    <m/>
    <n v="0.33333333333333331"/>
    <n v="0.33333333333333331"/>
    <n v="0.33333333333333331"/>
    <m/>
    <m/>
    <m/>
    <m/>
    <m/>
    <m/>
    <m/>
    <m/>
    <m/>
    <m/>
    <m/>
    <m/>
    <m/>
    <m/>
    <m/>
    <m/>
    <m/>
    <n v="1"/>
    <n v="1"/>
  </r>
  <r>
    <n v="6885"/>
    <x v="2"/>
    <s v="2018/1377"/>
    <s v="217 Garratt Lane"/>
    <s v="CoU+"/>
    <n v="525906"/>
    <n v="173856"/>
    <x v="8"/>
    <m/>
    <m/>
    <n v="1"/>
    <n v="1"/>
    <n v="0"/>
    <n v="3"/>
    <n v="1"/>
    <x v="0"/>
    <s v="Alterations including erection of part single/part two storey rear/side extension,  in connection with use of front part of ground floor as a shop and the remainder as, 1 x 2-bedroom and 2 x 1-bedroom flats with rear first floor terrace."/>
    <s v="PF"/>
    <d v="2018-03-27T00:00:00"/>
    <d v="2018-05-22T00:00:00"/>
    <x v="0"/>
    <s v="Nil"/>
    <m/>
    <s v="BF"/>
    <s v="MIX"/>
    <x v="0"/>
    <x v="4"/>
    <n v="3.0000000260770299E-3"/>
    <m/>
    <x v="0"/>
    <m/>
    <x v="0"/>
    <s v="M"/>
    <m/>
    <m/>
    <n v="0"/>
    <n v="0"/>
    <n v="0"/>
    <n v="0"/>
    <n v="-1"/>
    <n v="1"/>
    <n v="0"/>
    <n v="0"/>
    <n v="0"/>
    <n v="0"/>
    <n v="0"/>
    <n v="-1"/>
    <n v="1"/>
    <n v="0"/>
    <n v="0"/>
    <n v="0"/>
    <n v="0"/>
    <n v="0"/>
    <n v="0"/>
    <n v="0"/>
    <n v="0"/>
    <n v="0"/>
    <n v="0"/>
    <n v="0"/>
    <n v="0"/>
    <n v="0"/>
    <n v="0"/>
    <n v="0"/>
    <n v="0"/>
    <n v="0"/>
    <n v="0"/>
    <n v="0"/>
    <x v="0"/>
    <x v="0"/>
    <x v="0"/>
    <x v="0"/>
    <x v="0"/>
    <m/>
    <x v="0"/>
    <x v="0"/>
    <n v="15"/>
    <m/>
    <n v="0"/>
    <n v="0"/>
    <n v="0"/>
    <m/>
    <m/>
    <m/>
    <m/>
    <m/>
    <m/>
    <m/>
    <m/>
    <m/>
    <m/>
    <m/>
    <m/>
    <m/>
    <m/>
    <m/>
    <m/>
    <m/>
    <n v="0"/>
    <n v="0"/>
  </r>
  <r>
    <n v="6937"/>
    <x v="2"/>
    <s v="2019/3877"/>
    <s v="146-148 Battersea High Street"/>
    <m/>
    <n v="527043"/>
    <n v="176183"/>
    <x v="11"/>
    <m/>
    <m/>
    <n v="1"/>
    <n v="1"/>
    <n v="0"/>
    <n v="2"/>
    <n v="0"/>
    <x v="0"/>
    <s v="Alterations including erection of single storey rear and two-storey rear/side extensions in connection with change of use of ground floor rear from retail (Use Class Sui Generis) to residential (Use Class C3) to provide 1 x 3-bedroom and 1 x 1-bedroom flats; installation of replacement shopfronts."/>
    <s v="PF"/>
    <d v="2019-09-20T00:00:00"/>
    <d v="2019-10-31T00:00:00"/>
    <x v="1"/>
    <s v="Nil"/>
    <m/>
    <s v="BF"/>
    <s v="MIX"/>
    <x v="0"/>
    <x v="5"/>
    <n v="7.0000002160668399E-3"/>
    <m/>
    <x v="0"/>
    <m/>
    <x v="0"/>
    <s v="M"/>
    <m/>
    <m/>
    <n v="0"/>
    <n v="0"/>
    <n v="0"/>
    <n v="0"/>
    <n v="-1"/>
    <n v="0"/>
    <n v="0"/>
    <n v="1"/>
    <n v="0"/>
    <n v="0"/>
    <n v="0"/>
    <n v="-1"/>
    <n v="0"/>
    <n v="0"/>
    <n v="1"/>
    <n v="0"/>
    <n v="0"/>
    <n v="0"/>
    <n v="0"/>
    <n v="0"/>
    <n v="0"/>
    <n v="0"/>
    <n v="0"/>
    <n v="0"/>
    <n v="0"/>
    <n v="0"/>
    <n v="0"/>
    <n v="0"/>
    <n v="0"/>
    <n v="0"/>
    <n v="0"/>
    <n v="0"/>
    <x v="0"/>
    <x v="0"/>
    <x v="0"/>
    <x v="0"/>
    <x v="0"/>
    <m/>
    <x v="0"/>
    <x v="0"/>
    <n v="15"/>
    <m/>
    <n v="0"/>
    <n v="0"/>
    <n v="0"/>
    <m/>
    <m/>
    <m/>
    <m/>
    <m/>
    <m/>
    <m/>
    <m/>
    <m/>
    <m/>
    <m/>
    <m/>
    <m/>
    <m/>
    <m/>
    <m/>
    <m/>
    <n v="0"/>
    <n v="0"/>
  </r>
  <r>
    <n v="6937"/>
    <x v="2"/>
    <s v="2019/3877"/>
    <s v="146-148 Battersea High Street"/>
    <m/>
    <n v="527043"/>
    <n v="176183"/>
    <x v="11"/>
    <m/>
    <m/>
    <n v="1"/>
    <n v="1"/>
    <n v="0"/>
    <n v="2"/>
    <n v="0"/>
    <x v="0"/>
    <s v="Alterations including erection of single storey rear and two-storey rear/side extensions in connection with change of use of ground floor rear from retail (Use Class Sui Generis) to residential (Use Class C3) to provide 1 x 3-bedroom and 1 x 1-bedroom flats; installation of replacement shopfronts."/>
    <s v="PF"/>
    <d v="2019-09-20T00:00:00"/>
    <d v="2019-10-31T00:00:00"/>
    <x v="1"/>
    <s v="Nil"/>
    <m/>
    <s v="BF"/>
    <s v="MIX"/>
    <x v="0"/>
    <x v="1"/>
    <n v="4.0000001899898104E-3"/>
    <m/>
    <x v="0"/>
    <m/>
    <x v="0"/>
    <s v="M"/>
    <m/>
    <m/>
    <n v="0"/>
    <n v="0"/>
    <n v="0"/>
    <n v="0"/>
    <n v="-1"/>
    <n v="1"/>
    <n v="0"/>
    <n v="0"/>
    <n v="0"/>
    <n v="0"/>
    <n v="0"/>
    <n v="-1"/>
    <n v="1"/>
    <n v="0"/>
    <n v="0"/>
    <n v="0"/>
    <n v="0"/>
    <n v="0"/>
    <n v="0"/>
    <n v="0"/>
    <n v="0"/>
    <n v="0"/>
    <n v="0"/>
    <n v="0"/>
    <n v="0"/>
    <n v="0"/>
    <n v="0"/>
    <n v="0"/>
    <n v="0"/>
    <n v="0"/>
    <n v="0"/>
    <n v="0"/>
    <x v="0"/>
    <x v="0"/>
    <x v="0"/>
    <x v="0"/>
    <x v="0"/>
    <m/>
    <x v="0"/>
    <x v="0"/>
    <n v="15"/>
    <m/>
    <n v="0"/>
    <n v="0"/>
    <n v="0"/>
    <m/>
    <m/>
    <m/>
    <m/>
    <m/>
    <m/>
    <m/>
    <m/>
    <m/>
    <m/>
    <m/>
    <m/>
    <m/>
    <m/>
    <m/>
    <m/>
    <m/>
    <n v="0"/>
    <n v="0"/>
  </r>
  <r>
    <n v="6938"/>
    <x v="2"/>
    <s v="2018/1564"/>
    <s v="4 Worfield Street"/>
    <m/>
    <n v="527400"/>
    <n v="177117"/>
    <x v="11"/>
    <d v="2020-03-31T00:00:00"/>
    <m/>
    <n v="2"/>
    <n v="1"/>
    <n v="-1"/>
    <n v="1"/>
    <n v="-1"/>
    <x v="0"/>
    <s v="Alterations including erection of a single storey side extension in connection with the change of use from the existing 2 x two-bedroom self-contained flats to a single dwellinghouse."/>
    <s v="PF"/>
    <d v="2018-04-06T00:00:00"/>
    <d v="2018-05-31T00:00:00"/>
    <x v="0"/>
    <s v="Nil"/>
    <m/>
    <s v="BF"/>
    <s v="CON"/>
    <x v="0"/>
    <x v="8"/>
    <n v="1.2000000104308101E-2"/>
    <m/>
    <x v="0"/>
    <m/>
    <x v="0"/>
    <s v="M"/>
    <m/>
    <m/>
    <n v="0"/>
    <n v="0"/>
    <n v="0"/>
    <n v="0"/>
    <n v="0"/>
    <n v="0"/>
    <n v="-2"/>
    <n v="0"/>
    <n v="1"/>
    <n v="0"/>
    <n v="0"/>
    <n v="0"/>
    <n v="0"/>
    <n v="-2"/>
    <n v="0"/>
    <n v="0"/>
    <n v="0"/>
    <n v="0"/>
    <n v="0"/>
    <n v="0"/>
    <n v="0"/>
    <n v="0"/>
    <n v="1"/>
    <n v="0"/>
    <n v="0"/>
    <n v="0"/>
    <n v="0"/>
    <n v="0"/>
    <n v="0"/>
    <n v="0"/>
    <n v="0"/>
    <n v="0"/>
    <x v="0"/>
    <x v="0"/>
    <x v="0"/>
    <x v="0"/>
    <x v="0"/>
    <m/>
    <x v="0"/>
    <x v="0"/>
    <n v="15"/>
    <m/>
    <n v="-0.33333333333333331"/>
    <n v="-0.33333333333333331"/>
    <n v="-0.33333333333333331"/>
    <m/>
    <m/>
    <m/>
    <m/>
    <m/>
    <m/>
    <m/>
    <m/>
    <m/>
    <m/>
    <m/>
    <m/>
    <m/>
    <m/>
    <m/>
    <m/>
    <m/>
    <n v="-1"/>
    <n v="-1"/>
  </r>
  <r>
    <n v="6940"/>
    <x v="2"/>
    <s v="2018/1719"/>
    <s v="42-43 Carlton Drive"/>
    <m/>
    <n v="523949"/>
    <n v="174717"/>
    <x v="5"/>
    <m/>
    <m/>
    <n v="0"/>
    <n v="3"/>
    <n v="3"/>
    <n v="3"/>
    <n v="3"/>
    <x v="0"/>
    <s v="Erection of a three-storey building to provide 3x 1-bedroom flats (with French doors and safety railings), associated landscaping, cycle storage and refuse storage."/>
    <s v="PF"/>
    <d v="2018-04-25T00:00:00"/>
    <d v="2018-07-23T00:00:00"/>
    <x v="0"/>
    <s v="Nil"/>
    <m/>
    <s v="BF"/>
    <s v="NB"/>
    <x v="0"/>
    <x v="5"/>
    <n v="1.00000004749745E-3"/>
    <m/>
    <x v="0"/>
    <m/>
    <x v="0"/>
    <s v="M"/>
    <m/>
    <m/>
    <n v="0"/>
    <n v="0"/>
    <n v="0"/>
    <n v="0"/>
    <n v="0"/>
    <n v="3"/>
    <n v="0"/>
    <n v="0"/>
    <n v="0"/>
    <n v="0"/>
    <n v="0"/>
    <n v="0"/>
    <n v="3"/>
    <n v="0"/>
    <n v="0"/>
    <n v="0"/>
    <n v="0"/>
    <n v="0"/>
    <n v="0"/>
    <n v="0"/>
    <n v="0"/>
    <n v="0"/>
    <n v="0"/>
    <n v="0"/>
    <n v="0"/>
    <n v="0"/>
    <n v="0"/>
    <n v="0"/>
    <n v="0"/>
    <n v="0"/>
    <n v="0"/>
    <n v="0"/>
    <x v="0"/>
    <x v="0"/>
    <x v="0"/>
    <x v="0"/>
    <x v="0"/>
    <m/>
    <x v="0"/>
    <x v="0"/>
    <n v="6"/>
    <m/>
    <m/>
    <n v="0.75"/>
    <n v="0.75"/>
    <n v="0.75"/>
    <n v="0.75"/>
    <m/>
    <m/>
    <m/>
    <m/>
    <m/>
    <m/>
    <m/>
    <m/>
    <m/>
    <m/>
    <m/>
    <m/>
    <m/>
    <m/>
    <m/>
    <n v="3"/>
    <n v="3"/>
  </r>
  <r>
    <n v="6952"/>
    <x v="2"/>
    <s v="2018/2218"/>
    <s v="Post Office, 355 Upper Richmond Road"/>
    <m/>
    <n v="522554"/>
    <n v="175400"/>
    <x v="15"/>
    <m/>
    <m/>
    <n v="1"/>
    <n v="1"/>
    <n v="0"/>
    <n v="1"/>
    <n v="0"/>
    <x v="0"/>
    <s v="Alterations including erection of roof extension to main rear roof, erection of single storey rear extensions and formation of roof terrace over with safety screen surround in connection with use of rear of ground floor and upper floors to provide 1 x 3-bedroom flat."/>
    <s v="PF"/>
    <d v="2018-05-16T00:00:00"/>
    <d v="2018-07-09T00:00:00"/>
    <x v="0"/>
    <s v="Nil"/>
    <m/>
    <s v="BF"/>
    <s v="MIX"/>
    <x v="0"/>
    <x v="0"/>
    <n v="8.9999996125698107E-3"/>
    <m/>
    <x v="0"/>
    <m/>
    <x v="0"/>
    <s v="M"/>
    <m/>
    <m/>
    <n v="0"/>
    <n v="0"/>
    <n v="0"/>
    <n v="0"/>
    <n v="0"/>
    <n v="-1"/>
    <n v="0"/>
    <n v="1"/>
    <n v="0"/>
    <n v="0"/>
    <n v="0"/>
    <n v="0"/>
    <n v="-1"/>
    <n v="0"/>
    <n v="1"/>
    <n v="0"/>
    <n v="0"/>
    <n v="0"/>
    <n v="0"/>
    <n v="0"/>
    <n v="0"/>
    <n v="0"/>
    <n v="0"/>
    <n v="0"/>
    <n v="0"/>
    <n v="0"/>
    <n v="0"/>
    <n v="0"/>
    <n v="0"/>
    <n v="0"/>
    <n v="0"/>
    <n v="0"/>
    <x v="0"/>
    <x v="0"/>
    <x v="0"/>
    <x v="0"/>
    <x v="0"/>
    <m/>
    <x v="0"/>
    <x v="0"/>
    <n v="15"/>
    <m/>
    <n v="0"/>
    <n v="0"/>
    <n v="0"/>
    <m/>
    <m/>
    <m/>
    <m/>
    <m/>
    <m/>
    <m/>
    <m/>
    <m/>
    <m/>
    <m/>
    <m/>
    <m/>
    <m/>
    <m/>
    <m/>
    <m/>
    <n v="0"/>
    <n v="0"/>
  </r>
  <r>
    <n v="6955"/>
    <x v="2"/>
    <s v="2019/2186"/>
    <s v="1 East Hill"/>
    <m/>
    <n v="526542"/>
    <n v="174943"/>
    <x v="2"/>
    <m/>
    <m/>
    <n v="0"/>
    <n v="8"/>
    <n v="8"/>
    <n v="8"/>
    <n v="8"/>
    <x v="0"/>
    <s v="New 4 storey building with 2 new commercial units (Class A1, A2, A3 and B1) and 8 x residential self-contained flats (Class C3), comprising 2 x 1 bed units; and 5 x 2 bed units and 1 x 3 bed units."/>
    <s v="PF"/>
    <d v="2019-05-20T00:00:00"/>
    <d v="2019-08-23T00:00:00"/>
    <x v="1"/>
    <s v="Nil"/>
    <m/>
    <s v="BF"/>
    <s v="NB"/>
    <x v="0"/>
    <x v="5"/>
    <n v="2.5000000372528999E-2"/>
    <m/>
    <x v="0"/>
    <m/>
    <x v="0"/>
    <s v="M"/>
    <m/>
    <m/>
    <n v="0"/>
    <n v="0"/>
    <n v="0"/>
    <n v="0"/>
    <n v="0"/>
    <n v="2"/>
    <n v="5"/>
    <n v="1"/>
    <n v="0"/>
    <n v="0"/>
    <n v="0"/>
    <n v="0"/>
    <n v="2"/>
    <n v="5"/>
    <n v="1"/>
    <n v="0"/>
    <n v="0"/>
    <n v="0"/>
    <n v="0"/>
    <n v="0"/>
    <n v="0"/>
    <n v="0"/>
    <n v="0"/>
    <n v="0"/>
    <n v="0"/>
    <n v="0"/>
    <n v="0"/>
    <n v="0"/>
    <n v="0"/>
    <n v="0"/>
    <n v="0"/>
    <n v="0"/>
    <x v="0"/>
    <x v="0"/>
    <x v="0"/>
    <x v="0"/>
    <x v="0"/>
    <m/>
    <x v="0"/>
    <x v="0"/>
    <n v="7"/>
    <m/>
    <m/>
    <n v="8"/>
    <m/>
    <m/>
    <m/>
    <m/>
    <m/>
    <m/>
    <m/>
    <m/>
    <m/>
    <m/>
    <m/>
    <m/>
    <m/>
    <m/>
    <m/>
    <m/>
    <m/>
    <m/>
    <n v="8"/>
    <n v="8"/>
  </r>
  <r>
    <n v="6969"/>
    <x v="2"/>
    <s v="2018/2554"/>
    <s v="Vehicle Repair Workshop Rear of, 7-9 Aldis Street"/>
    <m/>
    <n v="527156"/>
    <n v="171085"/>
    <x v="1"/>
    <m/>
    <m/>
    <n v="0"/>
    <n v="2"/>
    <n v="2"/>
    <n v="2"/>
    <n v="2"/>
    <x v="0"/>
    <s v="Demolition of existing building and erection of two x 2-bedroom single storey houses with associated cycle and refuse storage."/>
    <s v="PF"/>
    <d v="2018-05-31T00:00:00"/>
    <d v="2018-09-03T00:00:00"/>
    <x v="0"/>
    <s v="Nil"/>
    <m/>
    <s v="BF"/>
    <s v="NB"/>
    <x v="0"/>
    <x v="5"/>
    <n v="2.8000000864267301E-2"/>
    <m/>
    <x v="0"/>
    <m/>
    <x v="0"/>
    <s v="M"/>
    <m/>
    <m/>
    <n v="0"/>
    <n v="0"/>
    <n v="0"/>
    <n v="0"/>
    <n v="0"/>
    <n v="0"/>
    <n v="2"/>
    <n v="0"/>
    <n v="0"/>
    <n v="0"/>
    <n v="0"/>
    <n v="0"/>
    <n v="0"/>
    <n v="0"/>
    <n v="0"/>
    <n v="0"/>
    <n v="0"/>
    <n v="0"/>
    <n v="0"/>
    <n v="0"/>
    <n v="2"/>
    <n v="0"/>
    <n v="0"/>
    <n v="0"/>
    <n v="0"/>
    <n v="0"/>
    <n v="0"/>
    <n v="0"/>
    <n v="0"/>
    <n v="0"/>
    <n v="0"/>
    <n v="0"/>
    <x v="0"/>
    <x v="0"/>
    <x v="0"/>
    <x v="0"/>
    <x v="0"/>
    <m/>
    <x v="0"/>
    <x v="0"/>
    <n v="6"/>
    <m/>
    <m/>
    <n v="0.5"/>
    <n v="0.5"/>
    <n v="0.5"/>
    <n v="0.5"/>
    <m/>
    <m/>
    <m/>
    <m/>
    <m/>
    <m/>
    <m/>
    <m/>
    <m/>
    <m/>
    <m/>
    <m/>
    <m/>
    <m/>
    <m/>
    <n v="2"/>
    <n v="2"/>
  </r>
  <r>
    <n v="6971"/>
    <x v="2"/>
    <s v="2018/2649"/>
    <s v="2a Balham Grove"/>
    <m/>
    <n v="528580"/>
    <n v="173481"/>
    <x v="6"/>
    <m/>
    <m/>
    <n v="0"/>
    <n v="1"/>
    <n v="1"/>
    <n v="1"/>
    <n v="1"/>
    <x v="0"/>
    <s v="Alterations including erection of extension at second floor level in association with creation of 1 x studio flat."/>
    <s v="PF"/>
    <d v="2018-06-05T00:00:00"/>
    <d v="2018-07-26T00:00:00"/>
    <x v="0"/>
    <s v="Nil"/>
    <m/>
    <s v="BF"/>
    <s v="EXT"/>
    <x v="0"/>
    <x v="3"/>
    <n v="4.0000001899898104E-3"/>
    <m/>
    <x v="0"/>
    <m/>
    <x v="0"/>
    <s v="M"/>
    <m/>
    <m/>
    <n v="0"/>
    <n v="0"/>
    <n v="0"/>
    <n v="0"/>
    <n v="1"/>
    <n v="0"/>
    <n v="0"/>
    <n v="0"/>
    <n v="0"/>
    <n v="0"/>
    <n v="0"/>
    <n v="1"/>
    <n v="0"/>
    <n v="0"/>
    <n v="0"/>
    <n v="0"/>
    <n v="0"/>
    <n v="0"/>
    <n v="0"/>
    <n v="0"/>
    <n v="0"/>
    <n v="0"/>
    <n v="0"/>
    <n v="0"/>
    <n v="0"/>
    <n v="0"/>
    <n v="0"/>
    <n v="0"/>
    <n v="0"/>
    <n v="0"/>
    <n v="0"/>
    <n v="0"/>
    <x v="5"/>
    <x v="0"/>
    <x v="0"/>
    <x v="0"/>
    <x v="0"/>
    <m/>
    <x v="0"/>
    <x v="0"/>
    <n v="15"/>
    <m/>
    <n v="0.33333333333333331"/>
    <n v="0.33333333333333331"/>
    <n v="0.33333333333333331"/>
    <m/>
    <m/>
    <m/>
    <m/>
    <m/>
    <m/>
    <m/>
    <m/>
    <m/>
    <m/>
    <m/>
    <m/>
    <m/>
    <m/>
    <m/>
    <m/>
    <m/>
    <n v="1"/>
    <n v="1"/>
  </r>
  <r>
    <n v="6978"/>
    <x v="2"/>
    <s v="2019/5419"/>
    <s v="69 Balham High Road"/>
    <m/>
    <n v="528671"/>
    <n v="173497"/>
    <x v="6"/>
    <m/>
    <m/>
    <n v="0"/>
    <n v="1"/>
    <n v="1"/>
    <n v="1"/>
    <n v="1"/>
    <x v="0"/>
    <s v="Alterations including erection of two storey extension above the back addition with roof terrace and glazed safety surround above in connection with creation of 1 x 1-bedroom flat. Provision of refuse and bicycle storage in the rear yard."/>
    <s v="PF"/>
    <d v="2020-01-15T00:00:00"/>
    <d v="2020-02-07T00:00:00"/>
    <x v="1"/>
    <s v="Nil"/>
    <m/>
    <s v="BF"/>
    <s v="EXT"/>
    <x v="0"/>
    <x v="3"/>
    <n v="3.0000000260770299E-3"/>
    <m/>
    <x v="0"/>
    <m/>
    <x v="0"/>
    <s v="M"/>
    <m/>
    <m/>
    <n v="0"/>
    <n v="0"/>
    <n v="0"/>
    <n v="0"/>
    <n v="0"/>
    <n v="1"/>
    <n v="0"/>
    <n v="0"/>
    <n v="0"/>
    <n v="0"/>
    <n v="0"/>
    <n v="0"/>
    <n v="1"/>
    <n v="0"/>
    <n v="0"/>
    <n v="0"/>
    <n v="0"/>
    <n v="0"/>
    <n v="0"/>
    <n v="0"/>
    <n v="0"/>
    <n v="0"/>
    <n v="0"/>
    <n v="0"/>
    <n v="0"/>
    <n v="0"/>
    <n v="0"/>
    <n v="0"/>
    <n v="0"/>
    <n v="0"/>
    <n v="0"/>
    <n v="0"/>
    <x v="5"/>
    <x v="0"/>
    <x v="0"/>
    <x v="0"/>
    <x v="0"/>
    <m/>
    <x v="0"/>
    <x v="0"/>
    <n v="15"/>
    <m/>
    <n v="0.33333333333333331"/>
    <n v="0.33333333333333331"/>
    <n v="0.33333333333333331"/>
    <m/>
    <m/>
    <m/>
    <m/>
    <m/>
    <m/>
    <m/>
    <m/>
    <m/>
    <m/>
    <m/>
    <m/>
    <m/>
    <m/>
    <m/>
    <m/>
    <m/>
    <n v="1"/>
    <n v="1"/>
  </r>
  <r>
    <n v="6981"/>
    <x v="2"/>
    <s v="2018/3140"/>
    <s v="26 Brookwood Road"/>
    <m/>
    <n v="524911"/>
    <n v="173105"/>
    <x v="14"/>
    <m/>
    <m/>
    <n v="0"/>
    <n v="1"/>
    <n v="1"/>
    <n v="1"/>
    <n v="1"/>
    <x v="0"/>
    <s v="Change of use from hairdresser (Class A1)  to Residential (Class C3) to provide 1 x1 bedroom flat. Alterations to include installation of windows to front elevation and erection of front boundary wall, railings and gate."/>
    <s v="PF"/>
    <d v="2018-07-04T00:00:00"/>
    <d v="2018-08-28T00:00:00"/>
    <x v="0"/>
    <s v="Nil"/>
    <m/>
    <s v="BF"/>
    <s v="MIX"/>
    <x v="0"/>
    <x v="4"/>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982"/>
    <x v="2"/>
    <s v="2018/3147"/>
    <s v="81a Albert Bridge Road"/>
    <m/>
    <n v="527516"/>
    <n v="177050"/>
    <x v="11"/>
    <m/>
    <m/>
    <n v="2"/>
    <n v="1"/>
    <n v="-1"/>
    <n v="1"/>
    <n v="-1"/>
    <x v="0"/>
    <s v="Alterations including the erection of mansard roof extension to main rear roof (with french doors and safety railings); alterations to the second floor balcony to the front elevation. Amalgamation of first, second and third floor maisonettes into 1 x 3-bedroom maisonette."/>
    <s v="PF"/>
    <d v="2018-06-26T00:00:00"/>
    <d v="2018-09-24T00:00:00"/>
    <x v="0"/>
    <s v="Nil"/>
    <m/>
    <s v="BF"/>
    <s v="MIX"/>
    <x v="0"/>
    <x v="0"/>
    <n v="1.4000000432133701E-2"/>
    <m/>
    <x v="0"/>
    <m/>
    <x v="0"/>
    <s v="M"/>
    <m/>
    <m/>
    <n v="0"/>
    <n v="0"/>
    <n v="0"/>
    <n v="0"/>
    <n v="0"/>
    <n v="-2"/>
    <n v="0"/>
    <n v="1"/>
    <n v="0"/>
    <n v="0"/>
    <n v="0"/>
    <n v="0"/>
    <n v="-2"/>
    <n v="0"/>
    <n v="1"/>
    <n v="0"/>
    <n v="0"/>
    <n v="0"/>
    <n v="0"/>
    <n v="0"/>
    <n v="0"/>
    <n v="0"/>
    <n v="0"/>
    <n v="0"/>
    <n v="0"/>
    <n v="0"/>
    <n v="0"/>
    <n v="0"/>
    <n v="0"/>
    <n v="0"/>
    <n v="0"/>
    <n v="0"/>
    <x v="0"/>
    <x v="0"/>
    <x v="0"/>
    <x v="0"/>
    <x v="0"/>
    <m/>
    <x v="0"/>
    <x v="0"/>
    <n v="15"/>
    <m/>
    <n v="-0.33333333333333331"/>
    <n v="-0.33333333333333331"/>
    <n v="-0.33333333333333331"/>
    <m/>
    <m/>
    <m/>
    <m/>
    <m/>
    <m/>
    <m/>
    <m/>
    <m/>
    <m/>
    <m/>
    <m/>
    <m/>
    <m/>
    <m/>
    <m/>
    <m/>
    <n v="-1"/>
    <n v="-1"/>
  </r>
  <r>
    <n v="6983"/>
    <x v="2"/>
    <s v="2019/1556"/>
    <s v="824 Garratt Lane"/>
    <s v="Conversion"/>
    <n v="526930"/>
    <n v="171771"/>
    <x v="1"/>
    <m/>
    <m/>
    <n v="1"/>
    <n v="1"/>
    <n v="0"/>
    <n v="3"/>
    <n v="2"/>
    <x v="0"/>
    <s v="Alterations including erection of mansard roof extension to main rear roof, extension over two-storey back addition and part single/part two storey rear extension in connection with change of use of rear of ground floor from laundrette (Sui Generis) to residential (Class C3) and creation of 3 x 1-bedroom flats."/>
    <s v="PF"/>
    <d v="2019-04-05T00:00:00"/>
    <d v="2019-09-25T00:00:00"/>
    <x v="1"/>
    <s v="Nil"/>
    <m/>
    <s v="BF"/>
    <s v="MIX"/>
    <x v="0"/>
    <x v="0"/>
    <n v="3.0000000260770299E-3"/>
    <m/>
    <x v="0"/>
    <m/>
    <x v="0"/>
    <s v="M"/>
    <m/>
    <m/>
    <n v="0"/>
    <n v="0"/>
    <n v="0"/>
    <n v="0"/>
    <n v="0"/>
    <n v="1"/>
    <n v="-1"/>
    <n v="0"/>
    <n v="0"/>
    <n v="0"/>
    <n v="0"/>
    <n v="0"/>
    <n v="1"/>
    <n v="-1"/>
    <n v="0"/>
    <n v="0"/>
    <n v="0"/>
    <n v="0"/>
    <n v="0"/>
    <n v="0"/>
    <n v="0"/>
    <n v="0"/>
    <n v="0"/>
    <n v="0"/>
    <n v="0"/>
    <n v="0"/>
    <n v="0"/>
    <n v="0"/>
    <n v="0"/>
    <n v="0"/>
    <n v="0"/>
    <n v="0"/>
    <x v="0"/>
    <x v="0"/>
    <x v="0"/>
    <x v="0"/>
    <x v="0"/>
    <m/>
    <x v="0"/>
    <x v="0"/>
    <n v="15"/>
    <m/>
    <n v="0"/>
    <n v="0"/>
    <n v="0"/>
    <m/>
    <m/>
    <m/>
    <m/>
    <m/>
    <m/>
    <m/>
    <m/>
    <m/>
    <m/>
    <m/>
    <m/>
    <m/>
    <m/>
    <m/>
    <m/>
    <m/>
    <n v="0"/>
    <n v="0"/>
  </r>
  <r>
    <n v="6983"/>
    <x v="2"/>
    <s v="2019/1556"/>
    <s v="824 Garratt Lane"/>
    <s v="CoU from SG"/>
    <n v="526930"/>
    <n v="171771"/>
    <x v="1"/>
    <m/>
    <m/>
    <n v="0"/>
    <n v="1"/>
    <n v="1"/>
    <n v="3"/>
    <n v="2"/>
    <x v="0"/>
    <s v="Alterations including erection of mansard roof extension to main rear roof, extension over two-storey back addition and part single/part two storey rear extension in connection with change of use of rear of ground floor from laundrette (Sui Generis) to residential (Class C3) and creation of 3 x 1-bedroom flats."/>
    <s v="PF"/>
    <d v="2019-04-05T00:00:00"/>
    <d v="2019-09-25T00:00:00"/>
    <x v="1"/>
    <s v="Nil"/>
    <m/>
    <s v="BF"/>
    <s v="MIX"/>
    <x v="0"/>
    <x v="1"/>
    <n v="3.000000026077029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983"/>
    <x v="2"/>
    <s v="2019/1556"/>
    <s v="824 Garratt Lane"/>
    <s v="extension"/>
    <n v="526930"/>
    <n v="171771"/>
    <x v="1"/>
    <m/>
    <m/>
    <n v="0"/>
    <n v="1"/>
    <n v="1"/>
    <n v="3"/>
    <n v="2"/>
    <x v="0"/>
    <s v="Alterations including erection of mansard roof extension to main rear roof, extension over two-storey back addition and part single/part two storey rear extension in connection with change of use of rear of ground floor from laundrette (Sui Generis) to residential (Class C3) and creation of 3 x 1-bedroom flats."/>
    <s v="PF"/>
    <d v="2019-04-05T00:00:00"/>
    <d v="2019-09-25T00:00:00"/>
    <x v="1"/>
    <s v="Nil"/>
    <m/>
    <s v="BF"/>
    <s v="MIX"/>
    <x v="0"/>
    <x v="3"/>
    <n v="3.000000026077029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6984"/>
    <x v="2"/>
    <s v="2018/1510"/>
    <s v="Apts 2 &amp; 3 Centurian Building, 376 Queenstown Road (Chelsea Bridge Wharf)"/>
    <m/>
    <n v="528629"/>
    <n v="177664"/>
    <x v="12"/>
    <m/>
    <m/>
    <n v="2"/>
    <n v="1"/>
    <n v="-1"/>
    <n v="1"/>
    <n v="-1"/>
    <x v="0"/>
    <s v="Conversion (without extension) of apartments 2 &amp; 3 Centurion building to form one self contained residential dwelling."/>
    <s v="PF"/>
    <d v="2018-05-16T00:00:00"/>
    <d v="2018-06-19T00:00:00"/>
    <x v="0"/>
    <s v="Nil"/>
    <m/>
    <s v="BF"/>
    <s v="CON"/>
    <x v="0"/>
    <x v="10"/>
    <n v="3.0000000260770299E-3"/>
    <m/>
    <x v="0"/>
    <m/>
    <x v="0"/>
    <s v="M"/>
    <m/>
    <m/>
    <n v="0"/>
    <n v="0"/>
    <n v="0"/>
    <n v="0"/>
    <n v="0"/>
    <n v="-1"/>
    <n v="-1"/>
    <n v="1"/>
    <n v="0"/>
    <n v="0"/>
    <n v="0"/>
    <n v="0"/>
    <n v="-1"/>
    <n v="-1"/>
    <n v="1"/>
    <n v="0"/>
    <n v="0"/>
    <n v="0"/>
    <n v="0"/>
    <n v="0"/>
    <n v="0"/>
    <n v="0"/>
    <n v="0"/>
    <n v="0"/>
    <n v="0"/>
    <n v="0"/>
    <n v="0"/>
    <n v="0"/>
    <n v="0"/>
    <n v="0"/>
    <n v="0"/>
    <n v="0"/>
    <x v="0"/>
    <x v="1"/>
    <x v="0"/>
    <x v="0"/>
    <x v="0"/>
    <m/>
    <x v="0"/>
    <x v="0"/>
    <n v="15"/>
    <m/>
    <n v="-0.33333333333333331"/>
    <n v="-0.33333333333333331"/>
    <n v="-0.33333333333333331"/>
    <m/>
    <m/>
    <m/>
    <m/>
    <m/>
    <m/>
    <m/>
    <m/>
    <m/>
    <m/>
    <m/>
    <m/>
    <m/>
    <m/>
    <m/>
    <m/>
    <m/>
    <n v="-1"/>
    <n v="-1"/>
  </r>
  <r>
    <n v="6990"/>
    <x v="2"/>
    <s v="2018/3383"/>
    <s v="19a St Anns Park Road"/>
    <m/>
    <n v="526243"/>
    <n v="174114"/>
    <x v="17"/>
    <m/>
    <m/>
    <n v="1"/>
    <n v="1"/>
    <n v="0"/>
    <n v="1"/>
    <n v="0"/>
    <x v="0"/>
    <s v="Demolition of existing building and erection of a two-storey (plus basement) 3-bedroom detached house including associated landscaping, cycle and refuse storage."/>
    <s v="PF"/>
    <d v="2018-07-10T00:00:00"/>
    <d v="2018-09-11T00:00:00"/>
    <x v="0"/>
    <s v="Nil"/>
    <m/>
    <s v="BF"/>
    <s v="NB"/>
    <x v="0"/>
    <x v="5"/>
    <n v="1.09999999403954E-2"/>
    <m/>
    <x v="0"/>
    <m/>
    <x v="0"/>
    <s v="M"/>
    <m/>
    <m/>
    <n v="0"/>
    <n v="0"/>
    <n v="0"/>
    <n v="0"/>
    <n v="0"/>
    <n v="-1"/>
    <n v="0"/>
    <n v="1"/>
    <n v="0"/>
    <n v="0"/>
    <n v="0"/>
    <n v="0"/>
    <n v="0"/>
    <n v="0"/>
    <n v="0"/>
    <n v="0"/>
    <n v="0"/>
    <n v="0"/>
    <n v="0"/>
    <n v="-1"/>
    <n v="0"/>
    <n v="1"/>
    <n v="0"/>
    <n v="0"/>
    <n v="0"/>
    <n v="0"/>
    <n v="0"/>
    <n v="0"/>
    <n v="0"/>
    <n v="0"/>
    <n v="0"/>
    <n v="0"/>
    <x v="0"/>
    <x v="0"/>
    <x v="0"/>
    <x v="0"/>
    <x v="0"/>
    <m/>
    <x v="0"/>
    <x v="0"/>
    <n v="6"/>
    <m/>
    <m/>
    <n v="0"/>
    <n v="0"/>
    <n v="0"/>
    <n v="0"/>
    <m/>
    <m/>
    <m/>
    <m/>
    <m/>
    <m/>
    <m/>
    <m/>
    <m/>
    <m/>
    <m/>
    <m/>
    <m/>
    <m/>
    <m/>
    <n v="0"/>
    <n v="0"/>
  </r>
  <r>
    <n v="6995"/>
    <x v="2"/>
    <s v="2018/5690"/>
    <s v="64 Tooting High Street"/>
    <m/>
    <n v="527398"/>
    <n v="171432"/>
    <x v="1"/>
    <m/>
    <m/>
    <n v="1"/>
    <n v="2"/>
    <n v="1"/>
    <n v="2"/>
    <n v="1"/>
    <x v="0"/>
    <s v="Alterations including  erection of rear extensions at first and second floor level; creation of two roof terraces to the rear at first and second floor levels, erection of external staircase to the side elevation; provision of a waste store; all in connection with conversion of 1 x 2 bedroom flat into 2 x 2 bedroom flats."/>
    <s v="PF"/>
    <d v="2018-12-10T00:00:00"/>
    <d v="2019-02-04T00:00:00"/>
    <x v="0"/>
    <s v="Nil"/>
    <m/>
    <s v="BF"/>
    <s v="EXT"/>
    <x v="0"/>
    <x v="3"/>
    <n v="8.0000003799796104E-3"/>
    <m/>
    <x v="0"/>
    <m/>
    <x v="0"/>
    <s v="M"/>
    <m/>
    <m/>
    <n v="0"/>
    <n v="0"/>
    <n v="0"/>
    <n v="0"/>
    <n v="0"/>
    <n v="0"/>
    <n v="1"/>
    <n v="0"/>
    <n v="0"/>
    <n v="0"/>
    <n v="0"/>
    <n v="0"/>
    <n v="0"/>
    <n v="1"/>
    <n v="0"/>
    <n v="0"/>
    <n v="0"/>
    <n v="0"/>
    <n v="0"/>
    <n v="0"/>
    <n v="0"/>
    <n v="0"/>
    <n v="0"/>
    <n v="0"/>
    <n v="0"/>
    <n v="0"/>
    <n v="0"/>
    <n v="0"/>
    <n v="0"/>
    <n v="0"/>
    <n v="0"/>
    <n v="0"/>
    <x v="4"/>
    <x v="0"/>
    <x v="0"/>
    <x v="0"/>
    <x v="0"/>
    <m/>
    <x v="0"/>
    <x v="0"/>
    <n v="15"/>
    <m/>
    <n v="0.33333333333333331"/>
    <n v="0.33333333333333331"/>
    <n v="0.33333333333333331"/>
    <m/>
    <m/>
    <m/>
    <m/>
    <m/>
    <m/>
    <m/>
    <m/>
    <m/>
    <m/>
    <m/>
    <m/>
    <m/>
    <m/>
    <m/>
    <m/>
    <m/>
    <n v="1"/>
    <n v="1"/>
  </r>
  <r>
    <n v="7006"/>
    <x v="2"/>
    <s v="2018/4022"/>
    <s v="13 Rookstone Road"/>
    <m/>
    <n v="527643"/>
    <n v="171169"/>
    <x v="10"/>
    <m/>
    <m/>
    <n v="1"/>
    <n v="2"/>
    <n v="1"/>
    <n v="2"/>
    <n v="1"/>
    <x v="0"/>
    <s v="Erection of mansard roof extension to main rear roof and extension above two-storey back addition; erection of single storey rear/side extension in connection with conversion of property from 2 x 2 bedroom flats to 1 x 2 bedroom and 2 x 1 bedroom flats."/>
    <s v="PF"/>
    <d v="2018-08-20T00:00:00"/>
    <d v="2018-10-15T00:00:00"/>
    <x v="0"/>
    <s v="Nil"/>
    <m/>
    <s v="BF"/>
    <s v="CON"/>
    <x v="0"/>
    <x v="0"/>
    <n v="8.0000003799796104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010"/>
    <x v="2"/>
    <s v="2018/4165"/>
    <s v="One Westbury Parade, Balham Hill"/>
    <m/>
    <n v="528787"/>
    <n v="174236"/>
    <x v="6"/>
    <m/>
    <m/>
    <n v="0"/>
    <n v="1"/>
    <n v="1"/>
    <n v="1"/>
    <n v="1"/>
    <x v="0"/>
    <s v="Determination as to whether prior approval is required for change of use from retail (Class A1) to single dwelling house (Class C3)."/>
    <s v="PAG"/>
    <d v="2018-08-29T00:00:00"/>
    <d v="2018-10-23T00:00:00"/>
    <x v="0"/>
    <s v="Nil"/>
    <m/>
    <s v="BF"/>
    <s v="COU"/>
    <x v="0"/>
    <x v="4"/>
    <n v="2.000000094994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011"/>
    <x v="2"/>
    <s v="2018/4031"/>
    <s v="1 Chartfield Square"/>
    <m/>
    <n v="523701"/>
    <n v="174663"/>
    <x v="5"/>
    <m/>
    <m/>
    <n v="0"/>
    <n v="1"/>
    <n v="1"/>
    <n v="1"/>
    <n v="1"/>
    <x v="0"/>
    <s v="Erection of two-storey (ground and basement levels) house fronting Chartfield Square."/>
    <s v="RP"/>
    <d v="2018-09-04T00:00:00"/>
    <d v="2018-10-30T00:00:00"/>
    <x v="1"/>
    <s v="APG"/>
    <d v="2019-08-12T00:00:00"/>
    <s v="Gdn"/>
    <s v="NB"/>
    <x v="0"/>
    <x v="5"/>
    <n v="1.09999999403954E-2"/>
    <m/>
    <x v="0"/>
    <m/>
    <x v="0"/>
    <s v="M"/>
    <m/>
    <m/>
    <n v="0"/>
    <n v="1"/>
    <n v="0"/>
    <n v="0"/>
    <n v="0"/>
    <n v="0"/>
    <n v="1"/>
    <n v="0"/>
    <n v="0"/>
    <n v="0"/>
    <n v="0"/>
    <n v="0"/>
    <n v="0"/>
    <n v="0"/>
    <n v="0"/>
    <n v="0"/>
    <n v="0"/>
    <n v="0"/>
    <n v="0"/>
    <n v="0"/>
    <n v="1"/>
    <n v="0"/>
    <n v="0"/>
    <n v="0"/>
    <n v="0"/>
    <n v="0"/>
    <n v="0"/>
    <n v="0"/>
    <n v="0"/>
    <n v="0"/>
    <n v="0"/>
    <n v="0"/>
    <x v="0"/>
    <x v="0"/>
    <x v="0"/>
    <x v="0"/>
    <x v="0"/>
    <m/>
    <x v="0"/>
    <x v="0"/>
    <n v="6"/>
    <m/>
    <m/>
    <n v="0.25"/>
    <n v="0.25"/>
    <n v="0.25"/>
    <n v="0.25"/>
    <m/>
    <m/>
    <m/>
    <m/>
    <m/>
    <m/>
    <m/>
    <m/>
    <m/>
    <m/>
    <m/>
    <m/>
    <m/>
    <m/>
    <m/>
    <n v="1"/>
    <n v="1"/>
  </r>
  <r>
    <n v="7012"/>
    <x v="2"/>
    <s v="2019/2953"/>
    <s v="Ground Floor, 64 Eastwood Street"/>
    <m/>
    <n v="529149"/>
    <n v="170526"/>
    <x v="7"/>
    <m/>
    <m/>
    <n v="0"/>
    <n v="1"/>
    <n v="1"/>
    <n v="2"/>
    <n v="1"/>
    <x v="0"/>
    <s v="Alterations including erection of mansard roof extension to main rear roof in connection with change of use of building from restaurant (Class A3) and residential flat above to residential (Class C3) to create 2 x 2-bedroom flats."/>
    <s v="PF"/>
    <d v="2019-07-24T00:00:00"/>
    <d v="2019-08-30T00:00:00"/>
    <x v="1"/>
    <s v="Nil"/>
    <m/>
    <s v="BF"/>
    <s v="MIX"/>
    <x v="0"/>
    <x v="1"/>
    <n v="4.9999998882412902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012"/>
    <x v="2"/>
    <s v="2019/2953"/>
    <s v="Ground Floor, 64 Eastwood Street"/>
    <m/>
    <n v="529149"/>
    <n v="170526"/>
    <x v="7"/>
    <m/>
    <m/>
    <n v="1"/>
    <n v="1"/>
    <n v="0"/>
    <n v="2"/>
    <n v="1"/>
    <x v="0"/>
    <s v="Alterations including erection of mansard roof extension to main rear roof in connection with change of use of building from restaurant (Class A3) and residential flat above to residential (Class C3) to create 2 x 2-bedroom flats."/>
    <s v="PF"/>
    <d v="2019-07-24T00:00:00"/>
    <d v="2019-08-30T00:00:00"/>
    <x v="1"/>
    <s v="Nil"/>
    <m/>
    <s v="BF"/>
    <s v="MIX"/>
    <x v="0"/>
    <x v="10"/>
    <n v="6.0000000521540598E-3"/>
    <m/>
    <x v="0"/>
    <m/>
    <x v="0"/>
    <s v="M"/>
    <m/>
    <m/>
    <n v="0"/>
    <n v="0"/>
    <n v="0"/>
    <n v="0"/>
    <n v="0"/>
    <n v="0"/>
    <n v="1"/>
    <n v="-1"/>
    <n v="0"/>
    <n v="0"/>
    <n v="0"/>
    <n v="0"/>
    <n v="0"/>
    <n v="1"/>
    <n v="-1"/>
    <n v="0"/>
    <n v="0"/>
    <n v="0"/>
    <n v="0"/>
    <n v="0"/>
    <n v="0"/>
    <n v="0"/>
    <n v="0"/>
    <n v="0"/>
    <n v="0"/>
    <n v="0"/>
    <n v="0"/>
    <n v="0"/>
    <n v="0"/>
    <n v="0"/>
    <n v="0"/>
    <n v="0"/>
    <x v="0"/>
    <x v="0"/>
    <x v="0"/>
    <x v="0"/>
    <x v="0"/>
    <m/>
    <x v="0"/>
    <x v="0"/>
    <n v="15"/>
    <m/>
    <n v="0"/>
    <n v="0"/>
    <n v="0"/>
    <m/>
    <m/>
    <m/>
    <m/>
    <m/>
    <m/>
    <m/>
    <m/>
    <m/>
    <m/>
    <m/>
    <m/>
    <m/>
    <m/>
    <m/>
    <m/>
    <m/>
    <n v="0"/>
    <n v="0"/>
  </r>
  <r>
    <n v="7013"/>
    <x v="2"/>
    <s v="2018/4073"/>
    <s v="162 Trevelyan Road"/>
    <m/>
    <n v="527613"/>
    <n v="170775"/>
    <x v="10"/>
    <m/>
    <m/>
    <n v="1"/>
    <n v="1"/>
    <n v="0"/>
    <n v="1"/>
    <n v="0"/>
    <x v="0"/>
    <s v="Demolition of the existing  property. Erection of a two-storey (plus basement and roof levels) 4-bedroom terraced house."/>
    <s v="PF"/>
    <d v="2018-08-22T00:00:00"/>
    <d v="2018-10-19T00:00:00"/>
    <x v="0"/>
    <s v="Nil"/>
    <m/>
    <s v="BF"/>
    <s v="NB"/>
    <x v="0"/>
    <x v="5"/>
    <n v="2.70000007003546E-2"/>
    <m/>
    <x v="0"/>
    <m/>
    <x v="0"/>
    <s v="M"/>
    <m/>
    <m/>
    <n v="0"/>
    <n v="0"/>
    <n v="0"/>
    <n v="0"/>
    <n v="0"/>
    <n v="0"/>
    <n v="0"/>
    <n v="0"/>
    <n v="-1"/>
    <n v="1"/>
    <n v="0"/>
    <n v="0"/>
    <n v="0"/>
    <n v="0"/>
    <n v="0"/>
    <n v="0"/>
    <n v="0"/>
    <n v="0"/>
    <n v="0"/>
    <n v="0"/>
    <n v="0"/>
    <n v="0"/>
    <n v="-1"/>
    <n v="1"/>
    <n v="0"/>
    <n v="0"/>
    <n v="0"/>
    <n v="0"/>
    <n v="0"/>
    <n v="0"/>
    <n v="0"/>
    <n v="0"/>
    <x v="0"/>
    <x v="0"/>
    <x v="0"/>
    <x v="0"/>
    <x v="0"/>
    <m/>
    <x v="0"/>
    <x v="0"/>
    <n v="6"/>
    <m/>
    <m/>
    <n v="0"/>
    <n v="0"/>
    <n v="0"/>
    <n v="0"/>
    <m/>
    <m/>
    <m/>
    <m/>
    <m/>
    <m/>
    <m/>
    <m/>
    <m/>
    <m/>
    <m/>
    <m/>
    <m/>
    <m/>
    <m/>
    <n v="0"/>
    <n v="0"/>
  </r>
  <r>
    <n v="7015"/>
    <x v="2"/>
    <s v="2018/3776"/>
    <s v="York Road Business Centre, 55-59 Lombard Road"/>
    <s v="Core 1"/>
    <n v="526723"/>
    <n v="176108"/>
    <x v="11"/>
    <d v="2019-06-30T00:00:00"/>
    <m/>
    <n v="0"/>
    <n v="108"/>
    <n v="108"/>
    <n v="168"/>
    <n v="168"/>
    <x v="1"/>
    <s v="Demolition of the existing buildings and the erection of a new 9177 sq m 6 storey self-storage facility, including artists' studios (293 sq m) and flexible office space (413 sq m), and a 4/6/8/13/20 storey development comprising 168 residential units with ground floor retail uses (1007 sq m) and 1st and 2nd floor offices (487 sq m) and formation of basement parking (incl. 64 car parking spaces), cycle parking (344 spaces) and surface level parking, loading, servicing and landscaped areas including formation of new plaza on Lombard Road."/>
    <s v="PFLA"/>
    <d v="2018-09-04T00:00:00"/>
    <d v="2019-04-18T00:00:00"/>
    <x v="1"/>
    <s v="Nil"/>
    <m/>
    <s v="BF"/>
    <s v="NB"/>
    <x v="1"/>
    <x v="7"/>
    <n v="0.19499999284744299"/>
    <m/>
    <x v="0"/>
    <m/>
    <x v="0"/>
    <s v="M"/>
    <s v="10.9"/>
    <m/>
    <n v="0"/>
    <n v="157"/>
    <n v="0"/>
    <n v="5"/>
    <n v="0"/>
    <n v="27"/>
    <n v="60"/>
    <n v="18"/>
    <n v="3"/>
    <n v="0"/>
    <n v="0"/>
    <n v="0"/>
    <n v="27"/>
    <n v="60"/>
    <n v="18"/>
    <n v="3"/>
    <n v="0"/>
    <n v="0"/>
    <n v="0"/>
    <n v="0"/>
    <n v="0"/>
    <n v="0"/>
    <n v="0"/>
    <n v="0"/>
    <n v="0"/>
    <n v="0"/>
    <n v="0"/>
    <n v="0"/>
    <n v="0"/>
    <n v="0"/>
    <n v="0"/>
    <n v="0"/>
    <x v="0"/>
    <x v="0"/>
    <x v="0"/>
    <x v="0"/>
    <x v="0"/>
    <m/>
    <x v="0"/>
    <x v="0"/>
    <n v="7"/>
    <m/>
    <m/>
    <m/>
    <m/>
    <m/>
    <n v="108"/>
    <m/>
    <m/>
    <m/>
    <m/>
    <m/>
    <m/>
    <m/>
    <m/>
    <m/>
    <m/>
    <m/>
    <m/>
    <m/>
    <m/>
    <m/>
    <n v="108"/>
    <n v="108"/>
  </r>
  <r>
    <n v="7015"/>
    <x v="2"/>
    <s v="2018/3776"/>
    <s v="York Road Business Centre, 55-59 Lombard Road"/>
    <s v="Core 2"/>
    <n v="526723"/>
    <n v="176108"/>
    <x v="11"/>
    <d v="2019-06-30T00:00:00"/>
    <m/>
    <n v="0"/>
    <n v="21"/>
    <n v="21"/>
    <n v="168"/>
    <n v="168"/>
    <x v="1"/>
    <s v="Demolition of the existing buildings and the erection of a new 9177 sq m 6 storey self-storage facility, including artists' studios (293 sq m) and flexible office space (413 sq m), and a 4/6/8/13/20 storey development comprising 168 residential units with ground floor retail uses (1007 sq m) and 1st and 2nd floor offices (487 sq m) and formation of basement parking (incl. 64 car parking spaces), cycle parking (344 spaces) and surface level parking, loading, servicing and landscaped areas including formation of new plaza on Lombard Road."/>
    <s v="PFLA"/>
    <d v="2018-09-04T00:00:00"/>
    <d v="2019-04-18T00:00:00"/>
    <x v="1"/>
    <s v="Nil"/>
    <m/>
    <s v="BF"/>
    <s v="NB"/>
    <x v="1"/>
    <x v="7"/>
    <n v="3.7999998778104803E-2"/>
    <m/>
    <x v="0"/>
    <m/>
    <x v="1"/>
    <s v="IU"/>
    <s v="10.9"/>
    <m/>
    <n v="0"/>
    <n v="0"/>
    <n v="0"/>
    <n v="2"/>
    <n v="0"/>
    <n v="4"/>
    <n v="14"/>
    <n v="3"/>
    <n v="0"/>
    <n v="0"/>
    <n v="0"/>
    <n v="0"/>
    <n v="4"/>
    <n v="14"/>
    <n v="3"/>
    <n v="0"/>
    <n v="0"/>
    <n v="0"/>
    <n v="0"/>
    <n v="0"/>
    <n v="0"/>
    <n v="0"/>
    <n v="0"/>
    <n v="0"/>
    <n v="0"/>
    <n v="0"/>
    <n v="0"/>
    <n v="0"/>
    <n v="0"/>
    <n v="0"/>
    <n v="0"/>
    <n v="0"/>
    <x v="0"/>
    <x v="0"/>
    <x v="0"/>
    <x v="0"/>
    <x v="0"/>
    <m/>
    <x v="0"/>
    <x v="0"/>
    <n v="7"/>
    <m/>
    <m/>
    <m/>
    <m/>
    <m/>
    <n v="21"/>
    <m/>
    <m/>
    <m/>
    <m/>
    <m/>
    <m/>
    <m/>
    <m/>
    <m/>
    <m/>
    <m/>
    <m/>
    <m/>
    <m/>
    <m/>
    <n v="21"/>
    <n v="21"/>
  </r>
  <r>
    <n v="7015"/>
    <x v="2"/>
    <s v="2018/3776"/>
    <s v="York Road Business Centre, 55-59 Lombard Road"/>
    <s v="Core 3"/>
    <n v="526723"/>
    <n v="176108"/>
    <x v="11"/>
    <d v="2019-06-30T00:00:00"/>
    <m/>
    <n v="0"/>
    <n v="39"/>
    <n v="39"/>
    <n v="168"/>
    <n v="168"/>
    <x v="1"/>
    <s v="Demolition of the existing buildings and the erection of a new 9177 sq m 6 storey self-storage facility, including artists' studios (293 sq m) and flexible office space (413 sq m), and a 4/6/8/13/20 storey development comprising 168 residential units with ground floor retail uses (1007 sq m) and 1st and 2nd floor offices (487 sq m) and formation of basement parking (incl. 64 car parking spaces), cycle parking (344 spaces) and surface level parking, loading, servicing and landscaped areas including formation of new plaza on Lombard Road."/>
    <s v="PFLA"/>
    <d v="2018-09-04T00:00:00"/>
    <d v="2019-04-18T00:00:00"/>
    <x v="1"/>
    <s v="Nil"/>
    <m/>
    <s v="BF"/>
    <s v="NB"/>
    <x v="1"/>
    <x v="7"/>
    <n v="7.1000002324581105E-2"/>
    <m/>
    <x v="0"/>
    <m/>
    <x v="2"/>
    <s v="AA"/>
    <s v="10.9"/>
    <m/>
    <n v="0"/>
    <n v="0"/>
    <n v="0"/>
    <n v="4"/>
    <n v="0"/>
    <n v="7"/>
    <n v="26"/>
    <n v="6"/>
    <n v="0"/>
    <n v="0"/>
    <n v="0"/>
    <n v="0"/>
    <n v="7"/>
    <n v="26"/>
    <n v="6"/>
    <n v="0"/>
    <n v="0"/>
    <n v="0"/>
    <n v="0"/>
    <n v="0"/>
    <n v="0"/>
    <n v="0"/>
    <n v="0"/>
    <n v="0"/>
    <n v="0"/>
    <n v="0"/>
    <n v="0"/>
    <n v="0"/>
    <n v="0"/>
    <n v="0"/>
    <n v="0"/>
    <n v="0"/>
    <x v="0"/>
    <x v="0"/>
    <x v="0"/>
    <x v="0"/>
    <x v="0"/>
    <m/>
    <x v="0"/>
    <x v="0"/>
    <n v="7"/>
    <m/>
    <m/>
    <m/>
    <m/>
    <m/>
    <n v="39"/>
    <m/>
    <m/>
    <m/>
    <m/>
    <m/>
    <m/>
    <m/>
    <m/>
    <m/>
    <m/>
    <m/>
    <m/>
    <m/>
    <m/>
    <m/>
    <n v="39"/>
    <n v="39"/>
  </r>
  <r>
    <n v="7024"/>
    <x v="2"/>
    <s v="2019/1908"/>
    <s v="17-19 St Anns Park Road"/>
    <m/>
    <n v="526226"/>
    <n v="174119"/>
    <x v="17"/>
    <m/>
    <m/>
    <n v="5"/>
    <n v="5"/>
    <n v="0"/>
    <n v="5"/>
    <n v="0"/>
    <x v="0"/>
    <s v="Alterations including erection of replacement main roof, raising the ridge by 1.1m  with dormers to all elevations; erection of two-storey front extension with gabled roof and first floor level balconies to front; replacement fenestration throughout in connection with use as 2 x 1-bed and 3 x 2-bed flats."/>
    <s v="PF"/>
    <d v="2019-05-22T00:00:00"/>
    <d v="2019-10-29T00:00:00"/>
    <x v="1"/>
    <s v="Nil"/>
    <m/>
    <s v="BF"/>
    <s v="CON"/>
    <x v="0"/>
    <x v="0"/>
    <n v="4.39999997615814E-2"/>
    <m/>
    <x v="0"/>
    <m/>
    <x v="0"/>
    <s v="M"/>
    <m/>
    <m/>
    <n v="0"/>
    <n v="0"/>
    <n v="0"/>
    <n v="0"/>
    <n v="-1"/>
    <n v="-1"/>
    <n v="2"/>
    <n v="0"/>
    <n v="0"/>
    <n v="0"/>
    <n v="0"/>
    <n v="-1"/>
    <n v="-1"/>
    <n v="2"/>
    <n v="0"/>
    <n v="0"/>
    <n v="0"/>
    <n v="0"/>
    <n v="0"/>
    <n v="0"/>
    <n v="0"/>
    <n v="0"/>
    <n v="0"/>
    <n v="0"/>
    <n v="0"/>
    <n v="0"/>
    <n v="0"/>
    <n v="0"/>
    <n v="0"/>
    <n v="0"/>
    <n v="0"/>
    <n v="0"/>
    <x v="0"/>
    <x v="0"/>
    <x v="0"/>
    <x v="0"/>
    <x v="0"/>
    <m/>
    <x v="0"/>
    <x v="0"/>
    <n v="15"/>
    <m/>
    <n v="0"/>
    <n v="0"/>
    <n v="0"/>
    <m/>
    <m/>
    <m/>
    <m/>
    <m/>
    <m/>
    <m/>
    <m/>
    <m/>
    <m/>
    <m/>
    <m/>
    <m/>
    <m/>
    <m/>
    <m/>
    <m/>
    <n v="0"/>
    <n v="0"/>
  </r>
  <r>
    <n v="7025"/>
    <x v="2"/>
    <s v="2018/4477"/>
    <s v="1-3 Byrne Road"/>
    <s v="1 Byrne Road"/>
    <n v="528764"/>
    <n v="173063"/>
    <x v="19"/>
    <m/>
    <m/>
    <n v="0"/>
    <n v="1"/>
    <n v="1"/>
    <n v="2"/>
    <n v="2"/>
    <x v="0"/>
    <s v="Alterations including the erection of single-storey lower ground floor rear extension; and front and rear lightwells; and reconfiguration of front entrances; in connection with conversion of the lower ground floor into 2 x 2-bedroom flats."/>
    <s v="PF"/>
    <d v="2018-09-28T00:00:00"/>
    <d v="2018-11-23T00:00:00"/>
    <x v="0"/>
    <s v="Nil"/>
    <m/>
    <s v="BF"/>
    <s v="EXT"/>
    <x v="0"/>
    <x v="3"/>
    <n v="7.000000216066839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025"/>
    <x v="2"/>
    <s v="2018/4477"/>
    <s v="1-3 Byrne Road"/>
    <s v="3 Byrne Road"/>
    <n v="528764"/>
    <n v="173063"/>
    <x v="19"/>
    <m/>
    <m/>
    <n v="0"/>
    <n v="1"/>
    <n v="1"/>
    <n v="2"/>
    <n v="2"/>
    <x v="0"/>
    <s v="Alterations including the erection of single-storey lower ground floor rear extension; and front and rear lightwells; and reconfiguration of front entrances; in connection with conversion of the lower ground floor into 2 x 2-bedroom flats."/>
    <s v="PF"/>
    <d v="2018-09-28T00:00:00"/>
    <d v="2018-11-23T00:00:00"/>
    <x v="0"/>
    <s v="Nil"/>
    <m/>
    <s v="BF"/>
    <s v="EXT"/>
    <x v="0"/>
    <x v="3"/>
    <n v="8.0000003799796104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027"/>
    <x v="2"/>
    <s v="2018/4665"/>
    <s v="190a Tooting High Street"/>
    <m/>
    <n v="527173"/>
    <n v="171043"/>
    <x v="1"/>
    <m/>
    <m/>
    <n v="0"/>
    <n v="1"/>
    <n v="1"/>
    <n v="1"/>
    <n v="1"/>
    <x v="0"/>
    <s v="Alterations including erection of mansard extension over main roof to create additional storey of accommodation; erection of first floor rear extensions and roof extension over two-storey back addition in connection with conversion of property into 1 x 1-bedroom and 1 x 3- bedroom flats."/>
    <s v="PF"/>
    <d v="2018-10-01T00:00:00"/>
    <d v="2019-01-23T00:00:00"/>
    <x v="0"/>
    <s v="Nil"/>
    <m/>
    <s v="BF"/>
    <s v="MIX"/>
    <x v="0"/>
    <x v="3"/>
    <n v="0"/>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028"/>
    <x v="2"/>
    <s v="2019/2259"/>
    <s v="393 Upper Richmond Road"/>
    <m/>
    <n v="522426"/>
    <n v="175419"/>
    <x v="15"/>
    <m/>
    <m/>
    <n v="0"/>
    <n v="2"/>
    <n v="2"/>
    <n v="2"/>
    <n v="2"/>
    <x v="0"/>
    <s v="Alterations including hip to gable roof extension, erection of mansard roof extension to main rear roof and roof extension over part of two-storey back addition, together with alterations to existing shopfront to insert a door to provide access to the upper floors. Works in connection with proposed creation of 2 x studio flats on upper floors, together with retained ancillary floorspace for ground floor commercial unit. (Revised description following amendments)"/>
    <s v="PF"/>
    <d v="2019-05-23T00:00:00"/>
    <d v="2020-03-19T00:00:00"/>
    <x v="1"/>
    <s v="Nil"/>
    <m/>
    <s v="BF"/>
    <s v="MIX"/>
    <x v="0"/>
    <x v="3"/>
    <n v="8.0000003799796104E-3"/>
    <m/>
    <x v="0"/>
    <m/>
    <x v="0"/>
    <s v="M"/>
    <m/>
    <m/>
    <n v="0"/>
    <n v="0"/>
    <n v="0"/>
    <n v="0"/>
    <n v="0"/>
    <n v="2"/>
    <n v="0"/>
    <n v="0"/>
    <n v="0"/>
    <n v="0"/>
    <n v="0"/>
    <n v="0"/>
    <n v="2"/>
    <n v="0"/>
    <n v="0"/>
    <n v="0"/>
    <n v="0"/>
    <n v="0"/>
    <n v="0"/>
    <n v="0"/>
    <n v="0"/>
    <n v="0"/>
    <n v="0"/>
    <n v="0"/>
    <n v="0"/>
    <n v="0"/>
    <n v="0"/>
    <n v="0"/>
    <n v="0"/>
    <n v="0"/>
    <n v="0"/>
    <n v="0"/>
    <x v="0"/>
    <x v="0"/>
    <x v="0"/>
    <x v="0"/>
    <x v="0"/>
    <m/>
    <x v="0"/>
    <x v="0"/>
    <n v="15"/>
    <m/>
    <n v="0.66666666666666663"/>
    <n v="0.66666666666666663"/>
    <n v="0.66666666666666663"/>
    <m/>
    <m/>
    <m/>
    <m/>
    <m/>
    <m/>
    <m/>
    <m/>
    <m/>
    <m/>
    <m/>
    <m/>
    <m/>
    <m/>
    <m/>
    <m/>
    <m/>
    <n v="2"/>
    <n v="2"/>
  </r>
  <r>
    <n v="7034"/>
    <x v="2"/>
    <s v="2018/5025"/>
    <s v="111 Elspeth Road"/>
    <m/>
    <n v="527877"/>
    <n v="175239"/>
    <x v="9"/>
    <m/>
    <m/>
    <n v="1"/>
    <n v="0"/>
    <n v="-1"/>
    <n v="0"/>
    <n v="-1"/>
    <x v="0"/>
    <s v="Change of use from dwelling house (Class C3) to 10 person House in Multiple Occupation (Sui Generis)."/>
    <s v="PF"/>
    <d v="2018-10-23T00:00:00"/>
    <d v="2018-12-18T00:00:00"/>
    <x v="0"/>
    <s v="Nil"/>
    <m/>
    <s v="BF"/>
    <s v="COU"/>
    <x v="0"/>
    <x v="11"/>
    <n v="1.2000000104308101E-2"/>
    <m/>
    <x v="0"/>
    <m/>
    <x v="0"/>
    <s v="M"/>
    <m/>
    <m/>
    <n v="0"/>
    <n v="0"/>
    <n v="0"/>
    <n v="0"/>
    <n v="0"/>
    <n v="0"/>
    <n v="0"/>
    <n v="0"/>
    <n v="0"/>
    <n v="-1"/>
    <n v="0"/>
    <n v="0"/>
    <n v="0"/>
    <n v="0"/>
    <n v="0"/>
    <n v="0"/>
    <n v="0"/>
    <n v="0"/>
    <n v="0"/>
    <n v="0"/>
    <n v="0"/>
    <n v="0"/>
    <n v="0"/>
    <n v="-1"/>
    <n v="0"/>
    <n v="0"/>
    <n v="0"/>
    <n v="0"/>
    <n v="0"/>
    <n v="0"/>
    <n v="0"/>
    <n v="0"/>
    <x v="0"/>
    <x v="0"/>
    <x v="0"/>
    <x v="0"/>
    <x v="0"/>
    <m/>
    <x v="0"/>
    <x v="0"/>
    <n v="15"/>
    <m/>
    <n v="-0.33333333333333331"/>
    <n v="-0.33333333333333331"/>
    <n v="-0.33333333333333331"/>
    <m/>
    <m/>
    <m/>
    <m/>
    <m/>
    <m/>
    <m/>
    <m/>
    <m/>
    <m/>
    <m/>
    <m/>
    <m/>
    <m/>
    <m/>
    <m/>
    <m/>
    <n v="-1"/>
    <n v="-1"/>
  </r>
  <r>
    <n v="7038"/>
    <x v="2"/>
    <s v="2018/4850"/>
    <s v="Flats 26 &amp; 27 Waterside Point, 2 Anhalt Road"/>
    <m/>
    <n v="527377"/>
    <n v="177378"/>
    <x v="11"/>
    <m/>
    <m/>
    <n v="2"/>
    <n v="1"/>
    <n v="-1"/>
    <n v="1"/>
    <n v="-1"/>
    <x v="0"/>
    <s v="Conversion of existing 1 x 2 bed and 1 x 3 bed second floor self-contained flats into one x 6 bedroom second floor self-contained flat."/>
    <s v="PF"/>
    <d v="2018-11-13T00:00:00"/>
    <d v="2019-01-08T00:00:00"/>
    <x v="0"/>
    <s v="Nil"/>
    <m/>
    <s v="BF"/>
    <s v="CON"/>
    <x v="0"/>
    <x v="10"/>
    <n v="4.9999998882412902E-3"/>
    <m/>
    <x v="0"/>
    <m/>
    <x v="0"/>
    <s v="M"/>
    <m/>
    <m/>
    <n v="0"/>
    <n v="0"/>
    <n v="0"/>
    <n v="0"/>
    <n v="0"/>
    <n v="0"/>
    <n v="-1"/>
    <n v="-1"/>
    <n v="0"/>
    <n v="1"/>
    <n v="0"/>
    <n v="0"/>
    <n v="0"/>
    <n v="-1"/>
    <n v="-1"/>
    <n v="0"/>
    <n v="1"/>
    <n v="0"/>
    <n v="0"/>
    <n v="0"/>
    <n v="0"/>
    <n v="0"/>
    <n v="0"/>
    <n v="0"/>
    <n v="0"/>
    <n v="0"/>
    <n v="0"/>
    <n v="0"/>
    <n v="0"/>
    <n v="0"/>
    <n v="0"/>
    <n v="0"/>
    <x v="0"/>
    <x v="0"/>
    <x v="0"/>
    <x v="0"/>
    <x v="0"/>
    <m/>
    <x v="1"/>
    <x v="0"/>
    <n v="15"/>
    <m/>
    <n v="-0.33333333333333331"/>
    <n v="-0.33333333333333331"/>
    <n v="-0.33333333333333331"/>
    <m/>
    <m/>
    <m/>
    <m/>
    <m/>
    <m/>
    <m/>
    <m/>
    <m/>
    <m/>
    <m/>
    <m/>
    <m/>
    <m/>
    <m/>
    <m/>
    <m/>
    <n v="-1"/>
    <n v="-1"/>
  </r>
  <r>
    <n v="7039"/>
    <x v="2"/>
    <s v="2019/5224"/>
    <s v="842 Garratt Lane"/>
    <m/>
    <n v="526973"/>
    <n v="171725"/>
    <x v="1"/>
    <m/>
    <m/>
    <n v="1"/>
    <n v="4"/>
    <n v="3"/>
    <n v="4"/>
    <n v="3"/>
    <x v="0"/>
    <s v="Alterations including erection of side and rear mansard extension to main rear roof and over back addition. Erection of part single, part two-storey rear/side extension in connection with conversion of property into 3 x studio and 1 x 1-bedroom flats. Change of use of part of ground floor from mixed A2/C3 to part A2 and part C3"/>
    <s v="PF"/>
    <d v="2020-01-07T00:00:00"/>
    <d v="2020-02-19T00:00:00"/>
    <x v="1"/>
    <s v="Nil"/>
    <m/>
    <s v="BF"/>
    <s v="MIX"/>
    <x v="0"/>
    <x v="0"/>
    <n v="8.9999996125698107E-3"/>
    <m/>
    <x v="0"/>
    <m/>
    <x v="0"/>
    <s v="M"/>
    <m/>
    <m/>
    <n v="0"/>
    <n v="0"/>
    <n v="0"/>
    <n v="0"/>
    <n v="3"/>
    <n v="1"/>
    <n v="0"/>
    <n v="-1"/>
    <n v="0"/>
    <n v="0"/>
    <n v="0"/>
    <n v="3"/>
    <n v="1"/>
    <n v="0"/>
    <n v="-1"/>
    <n v="0"/>
    <n v="0"/>
    <n v="0"/>
    <n v="0"/>
    <n v="0"/>
    <n v="0"/>
    <n v="0"/>
    <n v="0"/>
    <n v="0"/>
    <n v="0"/>
    <n v="0"/>
    <n v="0"/>
    <n v="0"/>
    <n v="0"/>
    <n v="0"/>
    <n v="0"/>
    <n v="0"/>
    <x v="0"/>
    <x v="0"/>
    <x v="0"/>
    <x v="0"/>
    <x v="0"/>
    <m/>
    <x v="0"/>
    <x v="0"/>
    <n v="15"/>
    <m/>
    <n v="1"/>
    <n v="1"/>
    <n v="1"/>
    <m/>
    <m/>
    <m/>
    <m/>
    <m/>
    <m/>
    <m/>
    <m/>
    <m/>
    <m/>
    <m/>
    <m/>
    <m/>
    <m/>
    <m/>
    <m/>
    <m/>
    <n v="3"/>
    <n v="3"/>
  </r>
  <r>
    <n v="7040"/>
    <x v="2"/>
    <s v="2018/5454"/>
    <s v="1 Granville Road"/>
    <m/>
    <n v="525163"/>
    <n v="173836"/>
    <x v="14"/>
    <m/>
    <m/>
    <n v="0"/>
    <n v="1"/>
    <n v="1"/>
    <n v="1"/>
    <n v="1"/>
    <x v="0"/>
    <s v="Determination as to whether prior approval is required for change of use from retail (Class A1) to 1 x 1 bedroom flat (Class C3)."/>
    <s v="PAG"/>
    <d v="2018-11-16T00:00:00"/>
    <d v="2019-01-11T00:00:00"/>
    <x v="0"/>
    <s v="Nil"/>
    <m/>
    <s v="BF"/>
    <s v="COU"/>
    <x v="0"/>
    <x v="4"/>
    <n v="7.000000216066839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042"/>
    <x v="2"/>
    <s v="2018/4919"/>
    <s v="12 St Margarets Crescent"/>
    <m/>
    <n v="522867"/>
    <n v="174692"/>
    <x v="15"/>
    <m/>
    <m/>
    <n v="1"/>
    <n v="1"/>
    <n v="0"/>
    <n v="1"/>
    <n v="0"/>
    <x v="0"/>
    <s v="Demolition of the existing house and and erection of replacement three-storey (plus basement) 7-bedroom house  with associated landscaping and boundary treatment, bin storage and provision for parking for two cars."/>
    <s v="PF"/>
    <d v="2018-10-23T00:00:00"/>
    <d v="2019-02-28T00:00:00"/>
    <x v="0"/>
    <s v="Nil"/>
    <m/>
    <s v="BF"/>
    <s v="NB"/>
    <x v="0"/>
    <x v="5"/>
    <n v="5.2999999374151202E-2"/>
    <m/>
    <x v="0"/>
    <m/>
    <x v="0"/>
    <s v="M"/>
    <m/>
    <m/>
    <n v="0"/>
    <n v="0"/>
    <n v="0"/>
    <n v="0"/>
    <n v="0"/>
    <n v="0"/>
    <n v="0"/>
    <n v="0"/>
    <n v="-1"/>
    <n v="1"/>
    <n v="0"/>
    <n v="0"/>
    <n v="0"/>
    <n v="0"/>
    <n v="0"/>
    <n v="0"/>
    <n v="0"/>
    <n v="0"/>
    <n v="0"/>
    <n v="0"/>
    <n v="0"/>
    <n v="0"/>
    <n v="-1"/>
    <n v="1"/>
    <n v="0"/>
    <n v="0"/>
    <n v="0"/>
    <n v="0"/>
    <n v="0"/>
    <n v="0"/>
    <n v="0"/>
    <n v="0"/>
    <x v="0"/>
    <x v="0"/>
    <x v="0"/>
    <x v="0"/>
    <x v="0"/>
    <m/>
    <x v="0"/>
    <x v="0"/>
    <n v="6"/>
    <m/>
    <m/>
    <n v="0"/>
    <n v="0"/>
    <n v="0"/>
    <n v="0"/>
    <m/>
    <m/>
    <m/>
    <m/>
    <m/>
    <m/>
    <m/>
    <m/>
    <m/>
    <m/>
    <m/>
    <m/>
    <m/>
    <m/>
    <m/>
    <n v="0"/>
    <n v="0"/>
  </r>
  <r>
    <n v="7053"/>
    <x v="2"/>
    <s v="2018/5380"/>
    <s v="42 &amp; 44b Santos Road"/>
    <m/>
    <n v="525097"/>
    <n v="174828"/>
    <x v="2"/>
    <m/>
    <m/>
    <n v="2"/>
    <n v="1"/>
    <n v="-1"/>
    <n v="1"/>
    <n v="-1"/>
    <x v="0"/>
    <s v="Alterations in connection with use of two flats as one single dwelling including erection of part single/part two-storey side extension."/>
    <s v="PF"/>
    <d v="2018-11-30T00:00:00"/>
    <d v="2019-01-25T00:00:00"/>
    <x v="0"/>
    <s v="Nil"/>
    <m/>
    <s v="BF"/>
    <s v="CON"/>
    <x v="0"/>
    <x v="10"/>
    <n v="2.70000007003546E-2"/>
    <m/>
    <x v="0"/>
    <m/>
    <x v="0"/>
    <s v="M"/>
    <m/>
    <m/>
    <n v="0"/>
    <n v="0"/>
    <n v="0"/>
    <n v="0"/>
    <n v="0"/>
    <n v="0"/>
    <n v="-2"/>
    <n v="0"/>
    <n v="1"/>
    <n v="0"/>
    <n v="0"/>
    <n v="0"/>
    <n v="0"/>
    <n v="-2"/>
    <n v="0"/>
    <n v="1"/>
    <n v="0"/>
    <n v="0"/>
    <n v="0"/>
    <n v="0"/>
    <n v="0"/>
    <n v="0"/>
    <n v="0"/>
    <n v="0"/>
    <n v="0"/>
    <n v="0"/>
    <n v="0"/>
    <n v="0"/>
    <n v="0"/>
    <n v="0"/>
    <n v="0"/>
    <n v="0"/>
    <x v="0"/>
    <x v="0"/>
    <x v="0"/>
    <x v="0"/>
    <x v="0"/>
    <m/>
    <x v="0"/>
    <x v="0"/>
    <n v="15"/>
    <m/>
    <n v="-0.33333333333333331"/>
    <n v="-0.33333333333333331"/>
    <n v="-0.33333333333333331"/>
    <m/>
    <m/>
    <m/>
    <m/>
    <m/>
    <m/>
    <m/>
    <m/>
    <m/>
    <m/>
    <m/>
    <m/>
    <m/>
    <m/>
    <m/>
    <m/>
    <m/>
    <n v="-1"/>
    <n v="-1"/>
  </r>
  <r>
    <n v="7055"/>
    <x v="2"/>
    <s v="2018/5521"/>
    <s v="89 Ramsden Road"/>
    <m/>
    <n v="528371"/>
    <n v="173680"/>
    <x v="3"/>
    <m/>
    <m/>
    <n v="5"/>
    <n v="1"/>
    <n v="-4"/>
    <n v="1"/>
    <n v="-4"/>
    <x v="0"/>
    <s v="Alterations in connection with conversion of 5 self-contained flats into one single family dwellinghouse."/>
    <s v="PF"/>
    <d v="2018-11-21T00:00:00"/>
    <d v="2019-01-16T00:00:00"/>
    <x v="0"/>
    <s v="Nil"/>
    <m/>
    <s v="BF"/>
    <s v="CON"/>
    <x v="0"/>
    <x v="8"/>
    <n v="4.1000001132488299E-2"/>
    <m/>
    <x v="0"/>
    <m/>
    <x v="0"/>
    <s v="M"/>
    <m/>
    <m/>
    <n v="0"/>
    <n v="0"/>
    <n v="0"/>
    <n v="0"/>
    <n v="-2"/>
    <n v="-3"/>
    <n v="0"/>
    <n v="0"/>
    <n v="0"/>
    <n v="1"/>
    <n v="0"/>
    <n v="-2"/>
    <n v="-3"/>
    <n v="0"/>
    <n v="0"/>
    <n v="0"/>
    <n v="0"/>
    <n v="0"/>
    <n v="0"/>
    <n v="0"/>
    <n v="0"/>
    <n v="0"/>
    <n v="0"/>
    <n v="1"/>
    <n v="0"/>
    <n v="0"/>
    <n v="0"/>
    <n v="0"/>
    <n v="0"/>
    <n v="0"/>
    <n v="0"/>
    <n v="0"/>
    <x v="0"/>
    <x v="0"/>
    <x v="0"/>
    <x v="0"/>
    <x v="0"/>
    <m/>
    <x v="0"/>
    <x v="0"/>
    <n v="15"/>
    <m/>
    <n v="-1.3333333333333333"/>
    <n v="-1.3333333333333333"/>
    <n v="-1.3333333333333333"/>
    <m/>
    <m/>
    <m/>
    <m/>
    <m/>
    <m/>
    <m/>
    <m/>
    <m/>
    <m/>
    <m/>
    <m/>
    <m/>
    <m/>
    <m/>
    <m/>
    <m/>
    <n v="-4"/>
    <n v="-4"/>
  </r>
  <r>
    <n v="7057"/>
    <x v="2"/>
    <s v="2018/5309"/>
    <s v="121 Roehampton Vale"/>
    <m/>
    <n v="521700"/>
    <n v="172445"/>
    <x v="13"/>
    <m/>
    <m/>
    <n v="1"/>
    <n v="3"/>
    <n v="2"/>
    <n v="3"/>
    <n v="2"/>
    <x v="0"/>
    <s v="Alterations including erection of main roof extension including rear and side dormers; alterations to front elevation in connection with use of garage as additional habitable accommodation and erection of part single part two-storey rear/side extension in connection with conversion of property into 2 x 3-bedroom and 1 x 1-bedroom flats; refuse and cycle stores in front garden."/>
    <s v="PF"/>
    <d v="2019-02-21T00:00:00"/>
    <d v="2019-04-29T00:00:00"/>
    <x v="1"/>
    <s v="Nil"/>
    <m/>
    <s v="BF"/>
    <s v="MIX"/>
    <x v="0"/>
    <x v="2"/>
    <n v="5.4999999701976797E-2"/>
    <m/>
    <x v="0"/>
    <m/>
    <x v="0"/>
    <s v="M"/>
    <m/>
    <m/>
    <n v="0"/>
    <n v="0"/>
    <n v="0"/>
    <n v="0"/>
    <n v="0"/>
    <n v="1"/>
    <n v="0"/>
    <n v="2"/>
    <n v="-1"/>
    <n v="0"/>
    <n v="0"/>
    <n v="0"/>
    <n v="1"/>
    <n v="0"/>
    <n v="2"/>
    <n v="0"/>
    <n v="0"/>
    <n v="0"/>
    <n v="0"/>
    <n v="0"/>
    <n v="0"/>
    <n v="0"/>
    <n v="-1"/>
    <n v="0"/>
    <n v="0"/>
    <n v="0"/>
    <n v="0"/>
    <n v="0"/>
    <n v="0"/>
    <n v="0"/>
    <n v="0"/>
    <n v="0"/>
    <x v="0"/>
    <x v="0"/>
    <x v="0"/>
    <x v="0"/>
    <x v="0"/>
    <m/>
    <x v="0"/>
    <x v="0"/>
    <n v="15"/>
    <m/>
    <n v="0.66666666666666663"/>
    <n v="0.66666666666666663"/>
    <n v="0.66666666666666663"/>
    <m/>
    <m/>
    <m/>
    <m/>
    <m/>
    <m/>
    <m/>
    <m/>
    <m/>
    <m/>
    <m/>
    <m/>
    <m/>
    <m/>
    <m/>
    <m/>
    <m/>
    <n v="2"/>
    <n v="2"/>
  </r>
  <r>
    <n v="7061"/>
    <x v="2"/>
    <s v="2019/1473"/>
    <s v="40 Atheldene Road (and 45 Farlton Road)"/>
    <s v="FIRST FLOOR"/>
    <n v="525997"/>
    <n v="173573"/>
    <x v="8"/>
    <m/>
    <m/>
    <n v="0"/>
    <n v="3"/>
    <n v="3"/>
    <n v="9"/>
    <n v="7"/>
    <x v="0"/>
    <s v="Submission of technical details pursuant to permission in principle ref. 2018/5974 dated 22/01/2019 (Demolition of existing former vicarage, attached residential property and detached garages and the erection of a three storey building to provide 4x 2-bedroom and 5x 3-bedroom flats with terraces to all elevations, cycle and refuse storage together with a disabled parking space)."/>
    <s v="TDC"/>
    <d v="2019-05-09T00:00:00"/>
    <d v="2019-09-19T00:00:00"/>
    <x v="1"/>
    <s v="Nil"/>
    <m/>
    <s v="BF"/>
    <s v="NB"/>
    <x v="0"/>
    <x v="5"/>
    <n v="1.7999999225139601E-2"/>
    <m/>
    <x v="0"/>
    <m/>
    <x v="0"/>
    <s v="M"/>
    <m/>
    <m/>
    <n v="0"/>
    <n v="3"/>
    <n v="0"/>
    <n v="0"/>
    <n v="0"/>
    <n v="0"/>
    <n v="2"/>
    <n v="1"/>
    <n v="0"/>
    <n v="0"/>
    <n v="0"/>
    <n v="0"/>
    <n v="0"/>
    <n v="2"/>
    <n v="1"/>
    <n v="0"/>
    <n v="0"/>
    <n v="0"/>
    <n v="0"/>
    <n v="0"/>
    <n v="0"/>
    <n v="0"/>
    <n v="0"/>
    <n v="0"/>
    <n v="0"/>
    <n v="0"/>
    <n v="0"/>
    <n v="0"/>
    <n v="0"/>
    <n v="0"/>
    <n v="0"/>
    <n v="0"/>
    <x v="0"/>
    <x v="0"/>
    <x v="0"/>
    <x v="0"/>
    <x v="0"/>
    <m/>
    <x v="0"/>
    <x v="0"/>
    <n v="7"/>
    <m/>
    <m/>
    <n v="3"/>
    <m/>
    <m/>
    <m/>
    <m/>
    <m/>
    <m/>
    <m/>
    <m/>
    <m/>
    <m/>
    <m/>
    <m/>
    <m/>
    <m/>
    <m/>
    <m/>
    <m/>
    <m/>
    <n v="3"/>
    <n v="3"/>
  </r>
  <r>
    <n v="7061"/>
    <x v="2"/>
    <s v="2019/1473"/>
    <s v="40 Atheldene Road (and 45 Farlton Road)"/>
    <s v="GROUND FLOOR"/>
    <n v="525997"/>
    <n v="173573"/>
    <x v="8"/>
    <m/>
    <m/>
    <n v="2"/>
    <n v="3"/>
    <n v="1"/>
    <n v="9"/>
    <n v="7"/>
    <x v="0"/>
    <s v="Submission of technical details pursuant to permission in principle ref. 2018/5974 dated 22/01/2019 (Demolition of existing former vicarage, attached residential property and detached garages and the erection of a three storey building to provide 4x 2-bedroom and 5x 3-bedroom flats with terraces to all elevations, cycle and refuse storage together with a disabled parking space)."/>
    <s v="TDC"/>
    <d v="2019-05-09T00:00:00"/>
    <d v="2019-09-19T00:00:00"/>
    <x v="1"/>
    <s v="Nil"/>
    <m/>
    <s v="BF"/>
    <s v="NB"/>
    <x v="0"/>
    <x v="5"/>
    <n v="1.8999999389052401E-2"/>
    <m/>
    <x v="0"/>
    <m/>
    <x v="0"/>
    <s v="M"/>
    <m/>
    <m/>
    <n v="0"/>
    <n v="2"/>
    <n v="0"/>
    <n v="1"/>
    <n v="0"/>
    <n v="-1"/>
    <n v="0"/>
    <n v="2"/>
    <n v="0"/>
    <n v="0"/>
    <n v="0"/>
    <n v="0"/>
    <n v="-1"/>
    <n v="0"/>
    <n v="2"/>
    <n v="0"/>
    <n v="0"/>
    <n v="0"/>
    <n v="0"/>
    <n v="0"/>
    <n v="0"/>
    <n v="0"/>
    <n v="0"/>
    <n v="0"/>
    <n v="0"/>
    <n v="0"/>
    <n v="0"/>
    <n v="0"/>
    <n v="0"/>
    <n v="0"/>
    <n v="0"/>
    <n v="0"/>
    <x v="0"/>
    <x v="0"/>
    <x v="0"/>
    <x v="0"/>
    <x v="0"/>
    <m/>
    <x v="0"/>
    <x v="0"/>
    <n v="7"/>
    <m/>
    <m/>
    <n v="1"/>
    <m/>
    <m/>
    <m/>
    <m/>
    <m/>
    <m/>
    <m/>
    <m/>
    <m/>
    <m/>
    <m/>
    <m/>
    <m/>
    <m/>
    <m/>
    <m/>
    <m/>
    <m/>
    <n v="1"/>
    <n v="1"/>
  </r>
  <r>
    <n v="7061"/>
    <x v="2"/>
    <s v="2019/1473"/>
    <s v="40 Atheldene Road (and 45 Farlton Road)"/>
    <s v="SECOND FLOOR"/>
    <n v="525997"/>
    <n v="173573"/>
    <x v="8"/>
    <m/>
    <m/>
    <n v="0"/>
    <n v="3"/>
    <n v="3"/>
    <n v="9"/>
    <n v="7"/>
    <x v="0"/>
    <s v="Submission of technical details pursuant to permission in principle ref. 2018/5974 dated 22/01/2019 (Demolition of existing former vicarage, attached residential property and detached garages and the erection of a three storey building to provide 4x 2-bedroom and 5x 3-bedroom flats with terraces to all elevations, cycle and refuse storage together with a disabled parking space)."/>
    <s v="TDC"/>
    <d v="2019-05-09T00:00:00"/>
    <d v="2019-09-19T00:00:00"/>
    <x v="1"/>
    <s v="Nil"/>
    <m/>
    <s v="BF"/>
    <s v="NB"/>
    <x v="0"/>
    <x v="5"/>
    <n v="1.7999999225139601E-2"/>
    <m/>
    <x v="0"/>
    <m/>
    <x v="0"/>
    <s v="M"/>
    <m/>
    <m/>
    <n v="0"/>
    <n v="3"/>
    <n v="0"/>
    <n v="0"/>
    <n v="0"/>
    <n v="0"/>
    <n v="2"/>
    <n v="1"/>
    <n v="0"/>
    <n v="0"/>
    <n v="0"/>
    <n v="0"/>
    <n v="0"/>
    <n v="2"/>
    <n v="1"/>
    <n v="0"/>
    <n v="0"/>
    <n v="0"/>
    <n v="0"/>
    <n v="0"/>
    <n v="0"/>
    <n v="0"/>
    <n v="0"/>
    <n v="0"/>
    <n v="0"/>
    <n v="0"/>
    <n v="0"/>
    <n v="0"/>
    <n v="0"/>
    <n v="0"/>
    <n v="0"/>
    <n v="0"/>
    <x v="0"/>
    <x v="0"/>
    <x v="0"/>
    <x v="0"/>
    <x v="0"/>
    <m/>
    <x v="0"/>
    <x v="0"/>
    <n v="7"/>
    <m/>
    <m/>
    <n v="3"/>
    <m/>
    <m/>
    <m/>
    <m/>
    <m/>
    <m/>
    <m/>
    <m/>
    <m/>
    <m/>
    <m/>
    <m/>
    <m/>
    <m/>
    <m/>
    <m/>
    <m/>
    <m/>
    <n v="3"/>
    <n v="3"/>
  </r>
  <r>
    <n v="7066"/>
    <x v="2"/>
    <s v="2018/5918"/>
    <s v="Rear of, 631 Garratt Lane"/>
    <m/>
    <n v="526155"/>
    <n v="172567"/>
    <x v="8"/>
    <m/>
    <m/>
    <n v="0"/>
    <n v="1"/>
    <n v="1"/>
    <n v="1"/>
    <n v="1"/>
    <x v="0"/>
    <s v="Erection of two storey 1-bedroom house with first floor terraces with 1.7m high screen and access from Quinton Street."/>
    <s v="PF"/>
    <d v="2018-12-14T00:00:00"/>
    <d v="2019-05-22T00:00:00"/>
    <x v="1"/>
    <s v="Nil"/>
    <m/>
    <s v="BF"/>
    <s v="NB"/>
    <x v="0"/>
    <x v="5"/>
    <n v="8.0000003799796104E-3"/>
    <m/>
    <x v="0"/>
    <m/>
    <x v="0"/>
    <s v="M"/>
    <m/>
    <m/>
    <n v="0"/>
    <n v="1"/>
    <n v="0"/>
    <n v="0"/>
    <n v="0"/>
    <n v="1"/>
    <n v="0"/>
    <n v="0"/>
    <n v="0"/>
    <n v="0"/>
    <n v="0"/>
    <n v="0"/>
    <n v="0"/>
    <n v="0"/>
    <n v="0"/>
    <n v="0"/>
    <n v="0"/>
    <n v="0"/>
    <n v="0"/>
    <n v="1"/>
    <n v="0"/>
    <n v="0"/>
    <n v="0"/>
    <n v="0"/>
    <n v="0"/>
    <n v="0"/>
    <n v="0"/>
    <n v="0"/>
    <n v="0"/>
    <n v="0"/>
    <n v="0"/>
    <n v="0"/>
    <x v="0"/>
    <x v="0"/>
    <x v="0"/>
    <x v="0"/>
    <x v="0"/>
    <m/>
    <x v="0"/>
    <x v="0"/>
    <n v="6"/>
    <m/>
    <m/>
    <n v="0.25"/>
    <n v="0.25"/>
    <n v="0.25"/>
    <n v="0.25"/>
    <m/>
    <m/>
    <m/>
    <m/>
    <m/>
    <m/>
    <m/>
    <m/>
    <m/>
    <m/>
    <m/>
    <m/>
    <m/>
    <m/>
    <m/>
    <n v="1"/>
    <n v="1"/>
  </r>
  <r>
    <n v="7076"/>
    <x v="2"/>
    <s v="2018/5922"/>
    <s v="57-63 Tooting High Street"/>
    <m/>
    <n v="527497"/>
    <n v="171501"/>
    <x v="10"/>
    <m/>
    <m/>
    <n v="0"/>
    <n v="2"/>
    <n v="2"/>
    <n v="2"/>
    <n v="2"/>
    <x v="0"/>
    <s v="Alterations including erection of two-storey rear extension at second floor level with mansard roof and installation of two dormer windows in front roofslope in connection with creation of additional 1 x 1-bedroom and 1 x 2-bedroom flats."/>
    <s v="PF"/>
    <d v="2018-12-14T00:00:00"/>
    <d v="2019-02-08T00:00:00"/>
    <x v="0"/>
    <s v="Nil"/>
    <m/>
    <s v="BF"/>
    <s v="EXT"/>
    <x v="0"/>
    <x v="3"/>
    <n v="4.9999998882412902E-3"/>
    <m/>
    <x v="0"/>
    <m/>
    <x v="0"/>
    <s v="M"/>
    <s v="5.2"/>
    <m/>
    <n v="0"/>
    <n v="0"/>
    <n v="0"/>
    <n v="0"/>
    <n v="0"/>
    <n v="1"/>
    <n v="1"/>
    <n v="0"/>
    <n v="0"/>
    <n v="0"/>
    <n v="0"/>
    <n v="0"/>
    <n v="1"/>
    <n v="1"/>
    <n v="0"/>
    <n v="0"/>
    <n v="0"/>
    <n v="0"/>
    <n v="0"/>
    <n v="0"/>
    <n v="0"/>
    <n v="0"/>
    <n v="0"/>
    <n v="0"/>
    <n v="0"/>
    <n v="0"/>
    <n v="0"/>
    <n v="0"/>
    <n v="0"/>
    <n v="0"/>
    <n v="0"/>
    <n v="0"/>
    <x v="4"/>
    <x v="0"/>
    <x v="0"/>
    <x v="0"/>
    <x v="0"/>
    <m/>
    <x v="0"/>
    <x v="0"/>
    <n v="15"/>
    <m/>
    <n v="0.66666666666666663"/>
    <n v="0.66666666666666663"/>
    <n v="0.66666666666666663"/>
    <m/>
    <m/>
    <m/>
    <m/>
    <m/>
    <m/>
    <m/>
    <m/>
    <m/>
    <m/>
    <m/>
    <m/>
    <m/>
    <m/>
    <m/>
    <m/>
    <m/>
    <n v="2"/>
    <n v="2"/>
  </r>
  <r>
    <n v="7076"/>
    <x v="2"/>
    <s v="2019/1697"/>
    <s v="57-63 Tooting High Street"/>
    <s v="conversion"/>
    <n v="527497"/>
    <n v="171501"/>
    <x v="10"/>
    <m/>
    <m/>
    <n v="7"/>
    <n v="7"/>
    <n v="0"/>
    <n v="11"/>
    <n v="4"/>
    <x v="1"/>
    <s v="Alterations and extensions including erection of four storey rear extension (with three balconies); two storey side extension over the flat roof of the existing two storey back addition (with second floor roof terrace); conversions and changes to the layouts of the existing 7 flats (1 x 4 bedroom, 4 x 3 bedroom, 1 x 2 bedroom, 1 x 1 bedroom) in order to create 11 flats (8 x 2 bedroom, 1 x 1 bedroom and 2 x studio flats (net increase of 4 flats)); and associated waste and cycle storage."/>
    <s v="PF"/>
    <d v="2019-04-15T00:00:00"/>
    <d v="2019-06-10T00:00:00"/>
    <x v="1"/>
    <s v="Nil"/>
    <m/>
    <s v="BF"/>
    <s v="MIX"/>
    <x v="0"/>
    <x v="0"/>
    <n v="2.3000000044703501E-2"/>
    <m/>
    <x v="0"/>
    <m/>
    <x v="0"/>
    <s v="M"/>
    <s v="5.2"/>
    <m/>
    <n v="0"/>
    <n v="0"/>
    <n v="0"/>
    <n v="0"/>
    <n v="2"/>
    <n v="0"/>
    <n v="3"/>
    <n v="-4"/>
    <n v="-1"/>
    <n v="0"/>
    <n v="0"/>
    <n v="2"/>
    <n v="0"/>
    <n v="3"/>
    <n v="-4"/>
    <n v="-1"/>
    <n v="0"/>
    <n v="0"/>
    <n v="0"/>
    <n v="0"/>
    <n v="0"/>
    <n v="0"/>
    <n v="0"/>
    <n v="0"/>
    <n v="0"/>
    <n v="0"/>
    <n v="0"/>
    <n v="0"/>
    <n v="0"/>
    <n v="0"/>
    <n v="0"/>
    <n v="0"/>
    <x v="4"/>
    <x v="0"/>
    <x v="0"/>
    <x v="0"/>
    <x v="0"/>
    <m/>
    <x v="0"/>
    <x v="0"/>
    <n v="18"/>
    <m/>
    <m/>
    <n v="0"/>
    <n v="0"/>
    <n v="0"/>
    <n v="0"/>
    <m/>
    <m/>
    <m/>
    <m/>
    <m/>
    <m/>
    <m/>
    <m/>
    <m/>
    <m/>
    <m/>
    <m/>
    <m/>
    <m/>
    <m/>
    <n v="0"/>
    <n v="0"/>
  </r>
  <r>
    <n v="7076"/>
    <x v="2"/>
    <s v="2019/1697"/>
    <s v="57-63 Tooting High Street"/>
    <s v="extn"/>
    <n v="527497"/>
    <n v="171501"/>
    <x v="10"/>
    <m/>
    <m/>
    <n v="0"/>
    <n v="4"/>
    <n v="4"/>
    <n v="11"/>
    <n v="4"/>
    <x v="1"/>
    <s v="Alterations and extensions including erection of four storey rear extension (with three balconies); two storey side extension over the flat roof of the existing two storey back addition (with second floor roof terrace); conversions and changes to the layouts of the existing 7 flats (1 x 4 bedroom, 4 x 3 bedroom, 1 x 2 bedroom, 1 x 1 bedroom) in order to create 11 flats (8 x 2 bedroom, 1 x 1 bedroom and 2 x studio flats (net increase of 4 flats)); and associated waste and cycle storage."/>
    <s v="PF"/>
    <d v="2019-04-15T00:00:00"/>
    <d v="2019-06-10T00:00:00"/>
    <x v="1"/>
    <s v="Nil"/>
    <m/>
    <s v="BF"/>
    <s v="MIX"/>
    <x v="0"/>
    <x v="3"/>
    <n v="8.9999996125698107E-3"/>
    <m/>
    <x v="0"/>
    <m/>
    <x v="0"/>
    <s v="M"/>
    <s v="5.2"/>
    <m/>
    <n v="0"/>
    <n v="0"/>
    <n v="0"/>
    <n v="0"/>
    <n v="0"/>
    <n v="0"/>
    <n v="4"/>
    <n v="0"/>
    <n v="0"/>
    <n v="0"/>
    <n v="0"/>
    <n v="0"/>
    <n v="0"/>
    <n v="4"/>
    <n v="0"/>
    <n v="0"/>
    <n v="0"/>
    <n v="0"/>
    <n v="0"/>
    <n v="0"/>
    <n v="0"/>
    <n v="0"/>
    <n v="0"/>
    <n v="0"/>
    <n v="0"/>
    <n v="0"/>
    <n v="0"/>
    <n v="0"/>
    <n v="0"/>
    <n v="0"/>
    <n v="0"/>
    <n v="0"/>
    <x v="4"/>
    <x v="0"/>
    <x v="0"/>
    <x v="0"/>
    <x v="0"/>
    <m/>
    <x v="0"/>
    <x v="0"/>
    <n v="18"/>
    <m/>
    <m/>
    <n v="1"/>
    <n v="1"/>
    <n v="1"/>
    <n v="1"/>
    <m/>
    <m/>
    <m/>
    <m/>
    <m/>
    <m/>
    <m/>
    <m/>
    <m/>
    <m/>
    <m/>
    <m/>
    <m/>
    <m/>
    <m/>
    <n v="4"/>
    <n v="4"/>
  </r>
  <r>
    <n v="7077"/>
    <x v="2"/>
    <s v="2018/5898"/>
    <s v="6 Ravenslea Road"/>
    <m/>
    <n v="527815"/>
    <n v="173666"/>
    <x v="3"/>
    <m/>
    <m/>
    <n v="1"/>
    <n v="2"/>
    <n v="1"/>
    <n v="2"/>
    <n v="1"/>
    <x v="0"/>
    <s v="Alterations in connection with conversion of existing flat into 1x 3-bedroom flat and 1x 2-bedroom flat."/>
    <s v="PF"/>
    <d v="2018-12-12T00:00:00"/>
    <d v="2019-02-06T00:00:00"/>
    <x v="0"/>
    <s v="Nil"/>
    <m/>
    <s v="BF"/>
    <s v="CON"/>
    <x v="0"/>
    <x v="0"/>
    <n v="2.9999999329447701E-2"/>
    <m/>
    <x v="0"/>
    <m/>
    <x v="0"/>
    <s v="M"/>
    <m/>
    <m/>
    <n v="0"/>
    <n v="0"/>
    <n v="0"/>
    <n v="0"/>
    <n v="0"/>
    <n v="0"/>
    <n v="1"/>
    <n v="1"/>
    <n v="-1"/>
    <n v="0"/>
    <n v="0"/>
    <n v="0"/>
    <n v="0"/>
    <n v="1"/>
    <n v="1"/>
    <n v="-1"/>
    <n v="0"/>
    <n v="0"/>
    <n v="0"/>
    <n v="0"/>
    <n v="0"/>
    <n v="0"/>
    <n v="0"/>
    <n v="0"/>
    <n v="0"/>
    <n v="0"/>
    <n v="0"/>
    <n v="0"/>
    <n v="0"/>
    <n v="0"/>
    <n v="0"/>
    <n v="0"/>
    <x v="0"/>
    <x v="0"/>
    <x v="0"/>
    <x v="0"/>
    <x v="0"/>
    <m/>
    <x v="0"/>
    <x v="0"/>
    <n v="15"/>
    <m/>
    <n v="0.33333333333333331"/>
    <n v="0.33333333333333331"/>
    <n v="0.33333333333333331"/>
    <m/>
    <m/>
    <m/>
    <m/>
    <m/>
    <m/>
    <m/>
    <m/>
    <m/>
    <m/>
    <m/>
    <m/>
    <m/>
    <m/>
    <m/>
    <m/>
    <m/>
    <n v="1"/>
    <n v="1"/>
  </r>
  <r>
    <n v="7090"/>
    <x v="2"/>
    <s v="2018/5833"/>
    <s v="The Northcote Library, Chatham Hall and garages west of Chatham Hall, 155e Northcote Road"/>
    <s v="Chatham Hall"/>
    <n v="527587"/>
    <n v="174507"/>
    <x v="4"/>
    <m/>
    <m/>
    <n v="0"/>
    <n v="7"/>
    <n v="7"/>
    <n v="16"/>
    <n v="16"/>
    <x v="1"/>
    <s v="The demolition of the two storey library, the single storey plus two storey roof Chatham Hall and the 8 vehicular garages (single storey) and the erection of a four storey building plus the excavation of a basement at the existing library site comprising two commercial units (Use Class A1) split over basement and ground floor levels (approximately 388sq.m) and nine (9) residential units at upper floor levels; the erection of a part one/two/three storey library (Use Class D1) (approximately 848sq.m) fronting onto Northcote Road; the erection of a part two/ three storey building behind the proposed library comprising a community hall (Use Class D1) at ground floor (approximately 301sq.m) and seven (7) residential flats at upper floor levels; 2 car parking spaces and 20 cycle parking spaces; and associated landscaping and infrastructure works."/>
    <s v="PFLA"/>
    <d v="2019-01-15T00:00:00"/>
    <d v="2020-03-25T00:00:00"/>
    <x v="1"/>
    <s v="Nil"/>
    <m/>
    <s v="BF"/>
    <s v="NB"/>
    <x v="0"/>
    <x v="5"/>
    <n v="6.3000001013279003E-2"/>
    <m/>
    <x v="0"/>
    <m/>
    <x v="0"/>
    <s v="M"/>
    <m/>
    <m/>
    <n v="0"/>
    <n v="1"/>
    <n v="0"/>
    <n v="0"/>
    <n v="0"/>
    <n v="3"/>
    <n v="4"/>
    <n v="0"/>
    <n v="0"/>
    <n v="0"/>
    <n v="0"/>
    <n v="0"/>
    <n v="3"/>
    <n v="4"/>
    <n v="0"/>
    <n v="0"/>
    <n v="0"/>
    <n v="0"/>
    <n v="0"/>
    <n v="0"/>
    <n v="0"/>
    <n v="0"/>
    <n v="0"/>
    <n v="0"/>
    <n v="0"/>
    <n v="0"/>
    <n v="0"/>
    <n v="0"/>
    <n v="0"/>
    <n v="0"/>
    <n v="0"/>
    <n v="0"/>
    <x v="0"/>
    <x v="0"/>
    <x v="0"/>
    <x v="0"/>
    <x v="0"/>
    <m/>
    <x v="0"/>
    <x v="0"/>
    <n v="7"/>
    <m/>
    <m/>
    <m/>
    <n v="7"/>
    <m/>
    <m/>
    <m/>
    <m/>
    <m/>
    <m/>
    <m/>
    <m/>
    <m/>
    <m/>
    <m/>
    <m/>
    <m/>
    <m/>
    <m/>
    <m/>
    <m/>
    <n v="7"/>
    <n v="7"/>
  </r>
  <r>
    <n v="7090"/>
    <x v="2"/>
    <s v="2018/5833"/>
    <s v="The Northcote Library, Chatham Hall and garages west of Chatham Hall, 155e Northcote Road"/>
    <s v="Northcote Library Site"/>
    <n v="527587"/>
    <n v="174507"/>
    <x v="4"/>
    <m/>
    <m/>
    <n v="0"/>
    <n v="9"/>
    <n v="9"/>
    <n v="16"/>
    <n v="16"/>
    <x v="1"/>
    <s v="The demolition of the two storey library, the single storey plus two storey roof Chatham Hall and the 8 vehicular garages (single storey) and the erection of a four storey building plus the excavation of a basement at the existing library site comprising two commercial units (Use Class A1) split over basement and ground floor levels (approximately 388sq.m) and nine (9) residential units at upper floor levels; the erection of a part one/two/three storey library (Use Class D1) (approximately 848sq.m) fronting onto Northcote Road; the erection of a part two/ three storey building behind the proposed library comprising a community hall (Use Class D1) at ground floor (approximately 301sq.m) and seven (7) residential flats at upper floor levels; 2 car parking spaces and 20 cycle parking spaces; and associated landscaping and infrastructure works."/>
    <s v="PFLA"/>
    <d v="2019-01-15T00:00:00"/>
    <d v="2020-03-25T00:00:00"/>
    <x v="1"/>
    <s v="Nil"/>
    <m/>
    <s v="BF"/>
    <s v="NB"/>
    <x v="0"/>
    <x v="5"/>
    <n v="6.5999999642372104E-2"/>
    <m/>
    <x v="0"/>
    <m/>
    <x v="0"/>
    <s v="M"/>
    <m/>
    <m/>
    <n v="0"/>
    <n v="0"/>
    <n v="0"/>
    <n v="0"/>
    <n v="0"/>
    <n v="1"/>
    <n v="8"/>
    <n v="0"/>
    <n v="0"/>
    <n v="0"/>
    <n v="0"/>
    <n v="0"/>
    <n v="1"/>
    <n v="8"/>
    <n v="0"/>
    <n v="0"/>
    <n v="0"/>
    <n v="0"/>
    <n v="0"/>
    <n v="0"/>
    <n v="0"/>
    <n v="0"/>
    <n v="0"/>
    <n v="0"/>
    <n v="0"/>
    <n v="0"/>
    <n v="0"/>
    <n v="0"/>
    <n v="0"/>
    <n v="0"/>
    <n v="0"/>
    <n v="0"/>
    <x v="0"/>
    <x v="0"/>
    <x v="0"/>
    <x v="0"/>
    <x v="0"/>
    <m/>
    <x v="0"/>
    <x v="0"/>
    <n v="7"/>
    <m/>
    <m/>
    <m/>
    <n v="9"/>
    <m/>
    <m/>
    <m/>
    <m/>
    <m/>
    <m/>
    <m/>
    <m/>
    <m/>
    <m/>
    <m/>
    <m/>
    <m/>
    <m/>
    <m/>
    <m/>
    <m/>
    <n v="9"/>
    <n v="9"/>
  </r>
  <r>
    <n v="7094"/>
    <x v="2"/>
    <s v="2019/2980"/>
    <s v="80 Moyser Road"/>
    <m/>
    <n v="528890"/>
    <n v="171096"/>
    <x v="7"/>
    <m/>
    <m/>
    <n v="0"/>
    <n v="1"/>
    <n v="1"/>
    <n v="1"/>
    <n v="1"/>
    <x v="0"/>
    <s v="Alterations to the shopfront and rear elevation at ground floor level in connection with change of use of part rear ground floor from retail (Class A1) to 1 x 1 studio flat (Class C3)."/>
    <s v="PF"/>
    <d v="2019-09-10T00:00:00"/>
    <d v="2019-11-12T00:00:00"/>
    <x v="1"/>
    <s v="Nil"/>
    <m/>
    <s v="BF"/>
    <s v="COU"/>
    <x v="0"/>
    <x v="4"/>
    <n v="4.0000001899898104E-3"/>
    <m/>
    <x v="0"/>
    <m/>
    <x v="0"/>
    <s v="M"/>
    <m/>
    <m/>
    <n v="0"/>
    <n v="0"/>
    <n v="0"/>
    <n v="0"/>
    <n v="1"/>
    <n v="0"/>
    <n v="0"/>
    <n v="0"/>
    <n v="0"/>
    <n v="0"/>
    <n v="0"/>
    <n v="1"/>
    <n v="0"/>
    <n v="0"/>
    <n v="0"/>
    <n v="0"/>
    <n v="0"/>
    <n v="0"/>
    <n v="0"/>
    <n v="0"/>
    <n v="0"/>
    <n v="0"/>
    <n v="0"/>
    <n v="0"/>
    <n v="0"/>
    <n v="0"/>
    <n v="0"/>
    <n v="0"/>
    <n v="0"/>
    <n v="0"/>
    <n v="0"/>
    <n v="0"/>
    <x v="0"/>
    <x v="0"/>
    <x v="0"/>
    <x v="0"/>
    <x v="0"/>
    <m/>
    <x v="0"/>
    <x v="0"/>
    <n v="15"/>
    <m/>
    <n v="0.33333333333333331"/>
    <n v="0.33333333333333331"/>
    <n v="0.33333333333333331"/>
    <m/>
    <m/>
    <m/>
    <m/>
    <m/>
    <m/>
    <m/>
    <m/>
    <m/>
    <m/>
    <m/>
    <m/>
    <m/>
    <m/>
    <m/>
    <m/>
    <m/>
    <n v="1"/>
    <n v="1"/>
  </r>
  <r>
    <n v="7098"/>
    <x v="2"/>
    <s v="2019/4024"/>
    <s v="92 East Hill"/>
    <m/>
    <n v="526209"/>
    <n v="174797"/>
    <x v="2"/>
    <m/>
    <m/>
    <n v="0"/>
    <n v="1"/>
    <n v="1"/>
    <n v="1"/>
    <n v="1"/>
    <x v="0"/>
    <s v="Alterations including erection of a rear mansard roof extension to main rear roof; Removal of chimney stack and formation of a rear roof terrace with brick surround above 3 storey rear addition; Removal of rear access staircase to upper ground floor in connection with change of use of first and second floors from office (Class A2) to residential (Class C3) to provide 1 x 3-bed flat."/>
    <s v="PF"/>
    <d v="2019-09-26T00:00:00"/>
    <d v="2020-02-18T00:00:00"/>
    <x v="1"/>
    <s v="Nil"/>
    <m/>
    <s v="BF"/>
    <s v="COU"/>
    <x v="0"/>
    <x v="6"/>
    <n v="1.4000000432133701E-2"/>
    <m/>
    <x v="0"/>
    <m/>
    <x v="0"/>
    <s v="M"/>
    <m/>
    <m/>
    <n v="0"/>
    <n v="0"/>
    <n v="0"/>
    <n v="0"/>
    <n v="0"/>
    <n v="0"/>
    <n v="0"/>
    <n v="1"/>
    <n v="0"/>
    <n v="0"/>
    <n v="0"/>
    <n v="0"/>
    <n v="0"/>
    <n v="0"/>
    <n v="1"/>
    <n v="0"/>
    <n v="0"/>
    <n v="0"/>
    <n v="0"/>
    <n v="0"/>
    <n v="0"/>
    <n v="0"/>
    <n v="0"/>
    <n v="0"/>
    <n v="0"/>
    <n v="0"/>
    <n v="0"/>
    <n v="0"/>
    <n v="0"/>
    <n v="0"/>
    <n v="0"/>
    <n v="0"/>
    <x v="0"/>
    <x v="0"/>
    <x v="0"/>
    <x v="0"/>
    <x v="0"/>
    <m/>
    <x v="0"/>
    <x v="0"/>
    <n v="15"/>
    <m/>
    <n v="0.33333333333333331"/>
    <n v="0.33333333333333331"/>
    <n v="0.33333333333333331"/>
    <m/>
    <m/>
    <m/>
    <m/>
    <m/>
    <m/>
    <m/>
    <m/>
    <m/>
    <m/>
    <m/>
    <m/>
    <m/>
    <m/>
    <m/>
    <m/>
    <m/>
    <n v="1"/>
    <n v="1"/>
  </r>
  <r>
    <n v="7100"/>
    <x v="2"/>
    <s v="2019/0370"/>
    <s v="190-194 St Anns Hill"/>
    <m/>
    <n v="525939"/>
    <n v="174515"/>
    <x v="2"/>
    <m/>
    <m/>
    <n v="1"/>
    <n v="9"/>
    <n v="8"/>
    <n v="9"/>
    <n v="8"/>
    <x v="0"/>
    <s v="Demolition of parts of the existing building, including the retention of the existing front and rear facades; erection of a three-storey building (plus basement floor and roof accommodation) with front and rear roof terraces at first and second floor levels; development to include 4 x 2-bedroom, 5 x 1-bedroom flats (Class C3) and 616 sqm of light industrial floorspace (Class B1c)."/>
    <s v="PF"/>
    <d v="2019-01-28T00:00:00"/>
    <d v="2019-04-02T00:00:00"/>
    <x v="1"/>
    <s v="Nil"/>
    <m/>
    <s v="BF"/>
    <s v="NB"/>
    <x v="0"/>
    <x v="5"/>
    <n v="3.5000000149011598E-2"/>
    <m/>
    <x v="0"/>
    <m/>
    <x v="0"/>
    <s v="M"/>
    <m/>
    <m/>
    <n v="0"/>
    <n v="9"/>
    <n v="0"/>
    <n v="0"/>
    <n v="0"/>
    <n v="5"/>
    <n v="4"/>
    <n v="0"/>
    <n v="0"/>
    <n v="0"/>
    <n v="-1"/>
    <n v="0"/>
    <n v="5"/>
    <n v="4"/>
    <n v="0"/>
    <n v="0"/>
    <n v="0"/>
    <n v="-1"/>
    <n v="0"/>
    <n v="0"/>
    <n v="0"/>
    <n v="0"/>
    <n v="0"/>
    <n v="0"/>
    <n v="0"/>
    <n v="0"/>
    <n v="0"/>
    <n v="0"/>
    <n v="0"/>
    <n v="0"/>
    <n v="0"/>
    <n v="0"/>
    <x v="0"/>
    <x v="0"/>
    <x v="0"/>
    <x v="0"/>
    <x v="0"/>
    <m/>
    <x v="0"/>
    <x v="0"/>
    <n v="9"/>
    <m/>
    <m/>
    <m/>
    <m/>
    <n v="2.6666666666666665"/>
    <n v="2.6666666666666665"/>
    <n v="2.6666666666666665"/>
    <m/>
    <m/>
    <m/>
    <m/>
    <m/>
    <m/>
    <m/>
    <m/>
    <m/>
    <m/>
    <m/>
    <m/>
    <m/>
    <m/>
    <n v="5.333333333333333"/>
    <n v="8"/>
  </r>
  <r>
    <n v="7103"/>
    <x v="2"/>
    <s v="2019/0452"/>
    <s v="117 Fernlea Road"/>
    <s v="conversion"/>
    <n v="529082"/>
    <n v="173094"/>
    <x v="6"/>
    <m/>
    <m/>
    <n v="1"/>
    <n v="2"/>
    <n v="1"/>
    <n v="3"/>
    <n v="2"/>
    <x v="0"/>
    <s v="Alterations including erection of dormer roof extension to main rear roof and formation of roof terrace over part of three-storey back addition, erection of single storey rear/side extension, single storey side extension and replacement two storey rear extension at first floor level in connection with conversion of building into 1 x 4-bedroom, 1 x 2-bedroom and 1 x 1-bedroom flats."/>
    <s v="PF"/>
    <d v="2019-02-01T00:00:00"/>
    <d v="2019-03-29T00:00:00"/>
    <x v="0"/>
    <s v="Nil"/>
    <m/>
    <s v="BF"/>
    <s v="MIX"/>
    <x v="0"/>
    <x v="2"/>
    <n v="1.30000002682209E-2"/>
    <m/>
    <x v="0"/>
    <m/>
    <x v="0"/>
    <s v="M"/>
    <m/>
    <m/>
    <n v="0"/>
    <n v="0"/>
    <n v="0"/>
    <n v="0"/>
    <n v="0"/>
    <n v="0"/>
    <n v="1"/>
    <n v="0"/>
    <n v="1"/>
    <n v="-1"/>
    <n v="0"/>
    <n v="0"/>
    <n v="0"/>
    <n v="1"/>
    <n v="0"/>
    <n v="1"/>
    <n v="0"/>
    <n v="0"/>
    <n v="0"/>
    <n v="0"/>
    <n v="0"/>
    <n v="0"/>
    <n v="0"/>
    <n v="-1"/>
    <n v="0"/>
    <n v="0"/>
    <n v="0"/>
    <n v="0"/>
    <n v="0"/>
    <n v="0"/>
    <n v="0"/>
    <n v="0"/>
    <x v="0"/>
    <x v="0"/>
    <x v="0"/>
    <x v="0"/>
    <x v="0"/>
    <m/>
    <x v="0"/>
    <x v="0"/>
    <n v="15"/>
    <m/>
    <n v="0.33333333333333331"/>
    <n v="0.33333333333333331"/>
    <n v="0.33333333333333331"/>
    <m/>
    <m/>
    <m/>
    <m/>
    <m/>
    <m/>
    <m/>
    <m/>
    <m/>
    <m/>
    <m/>
    <m/>
    <m/>
    <m/>
    <m/>
    <m/>
    <m/>
    <n v="1"/>
    <n v="1"/>
  </r>
  <r>
    <n v="7103"/>
    <x v="2"/>
    <s v="2019/0452"/>
    <s v="117 Fernlea Road"/>
    <s v="extn to ex"/>
    <n v="529082"/>
    <n v="173094"/>
    <x v="6"/>
    <m/>
    <m/>
    <n v="0"/>
    <n v="1"/>
    <n v="1"/>
    <n v="3"/>
    <n v="2"/>
    <x v="0"/>
    <s v="Alterations including erection of dormer roof extension to main rear roof and formation of roof terrace over part of three-storey back addition, erection of single storey rear/side extension, single storey side extension and replacement two storey rear extension at first floor level in connection with conversion of building into 1 x 4-bedroom, 1 x 2-bedroom and 1 x 1-bedroom flats."/>
    <s v="PF"/>
    <d v="2019-02-01T00:00:00"/>
    <d v="2019-03-29T00:00:00"/>
    <x v="0"/>
    <s v="Nil"/>
    <m/>
    <s v="BF"/>
    <s v="MIX"/>
    <x v="0"/>
    <x v="3"/>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129"/>
    <x v="2"/>
    <s v="2019/0772"/>
    <s v="33-35 St Johns Road"/>
    <s v="conversion"/>
    <n v="527405"/>
    <n v="175327"/>
    <x v="4"/>
    <m/>
    <m/>
    <n v="2"/>
    <n v="4"/>
    <n v="2"/>
    <n v="5"/>
    <n v="3"/>
    <x v="0"/>
    <s v="Remodelling and extension of main rear elevation with conversion of existing flats into 4 x 1-bedroom flats and erection of a two-bedroom two-storey dwelling unit over existing rear ground floor roof level."/>
    <s v="PF"/>
    <d v="2019-03-13T00:00:00"/>
    <d v="2019-04-17T00:00:00"/>
    <x v="1"/>
    <s v="Nil"/>
    <m/>
    <s v="BF"/>
    <s v="MIX"/>
    <x v="0"/>
    <x v="0"/>
    <n v="1.7999999225139601E-2"/>
    <m/>
    <x v="0"/>
    <m/>
    <x v="0"/>
    <s v="M"/>
    <m/>
    <m/>
    <n v="0"/>
    <n v="0"/>
    <n v="0"/>
    <n v="0"/>
    <n v="0"/>
    <n v="4"/>
    <n v="-1"/>
    <n v="-1"/>
    <n v="0"/>
    <n v="0"/>
    <n v="0"/>
    <n v="0"/>
    <n v="4"/>
    <n v="-1"/>
    <n v="-1"/>
    <n v="0"/>
    <n v="0"/>
    <n v="0"/>
    <n v="0"/>
    <n v="0"/>
    <n v="0"/>
    <n v="0"/>
    <n v="0"/>
    <n v="0"/>
    <n v="0"/>
    <n v="0"/>
    <n v="0"/>
    <n v="0"/>
    <n v="0"/>
    <n v="0"/>
    <n v="0"/>
    <n v="0"/>
    <x v="1"/>
    <x v="0"/>
    <x v="0"/>
    <x v="0"/>
    <x v="0"/>
    <m/>
    <x v="0"/>
    <x v="0"/>
    <n v="15"/>
    <m/>
    <n v="0.66666666666666663"/>
    <n v="0.66666666666666663"/>
    <n v="0.66666666666666663"/>
    <m/>
    <m/>
    <m/>
    <m/>
    <m/>
    <m/>
    <m/>
    <m/>
    <m/>
    <m/>
    <m/>
    <m/>
    <m/>
    <m/>
    <m/>
    <m/>
    <m/>
    <n v="2"/>
    <n v="2"/>
  </r>
  <r>
    <n v="7129"/>
    <x v="2"/>
    <s v="2019/0772"/>
    <s v="33-35 St Johns Road"/>
    <m/>
    <n v="527405"/>
    <n v="175327"/>
    <x v="4"/>
    <m/>
    <m/>
    <n v="0"/>
    <n v="1"/>
    <n v="1"/>
    <n v="5"/>
    <n v="3"/>
    <x v="0"/>
    <s v="Remodelling and extension of main rear elevation with conversion of existing flats into 4 x 1-bedroom flats and erection of a two-bedroom two-storey dwelling unit over existing rear ground floor roof level."/>
    <s v="PF"/>
    <d v="2019-03-13T00:00:00"/>
    <d v="2019-04-17T00:00:00"/>
    <x v="1"/>
    <s v="Nil"/>
    <m/>
    <s v="BF"/>
    <s v="MIX"/>
    <x v="0"/>
    <x v="5"/>
    <n v="4.9999998882412902E-3"/>
    <m/>
    <x v="0"/>
    <m/>
    <x v="0"/>
    <s v="M"/>
    <m/>
    <m/>
    <n v="0"/>
    <n v="0"/>
    <n v="0"/>
    <n v="0"/>
    <n v="0"/>
    <n v="0"/>
    <n v="1"/>
    <n v="0"/>
    <n v="0"/>
    <n v="0"/>
    <n v="0"/>
    <n v="0"/>
    <n v="0"/>
    <n v="0"/>
    <n v="0"/>
    <n v="0"/>
    <n v="0"/>
    <n v="0"/>
    <n v="0"/>
    <n v="0"/>
    <n v="1"/>
    <n v="0"/>
    <n v="0"/>
    <n v="0"/>
    <n v="0"/>
    <n v="0"/>
    <n v="0"/>
    <n v="0"/>
    <n v="0"/>
    <n v="0"/>
    <n v="0"/>
    <n v="0"/>
    <x v="1"/>
    <x v="0"/>
    <x v="0"/>
    <x v="0"/>
    <x v="0"/>
    <m/>
    <x v="0"/>
    <x v="0"/>
    <n v="15"/>
    <m/>
    <n v="0.33333333333333331"/>
    <n v="0.33333333333333331"/>
    <n v="0.33333333333333331"/>
    <m/>
    <m/>
    <m/>
    <m/>
    <m/>
    <m/>
    <m/>
    <m/>
    <m/>
    <m/>
    <m/>
    <m/>
    <m/>
    <m/>
    <m/>
    <m/>
    <m/>
    <n v="1"/>
    <n v="1"/>
  </r>
  <r>
    <n v="7130"/>
    <x v="2"/>
    <s v="2019/0899"/>
    <s v="55 Gayville Road"/>
    <m/>
    <n v="527830"/>
    <n v="174273"/>
    <x v="4"/>
    <m/>
    <m/>
    <n v="1"/>
    <n v="1"/>
    <n v="0"/>
    <n v="2"/>
    <n v="1"/>
    <x v="0"/>
    <s v="Alterations including erection of a mansard roof extension to main rear roof, installation of glazed doors (with safety railing) at first floor level and erection of a single storey rear/side extension in connection with conversion to 1 x 2-bed and 1 x 3-bed flats."/>
    <s v="PF"/>
    <d v="2019-07-30T00:00:00"/>
    <d v="2019-09-17T00:00:00"/>
    <x v="1"/>
    <s v="Nil"/>
    <m/>
    <s v="BF"/>
    <s v="MIX"/>
    <x v="0"/>
    <x v="2"/>
    <n v="7.0000002160668399E-3"/>
    <m/>
    <x v="0"/>
    <m/>
    <x v="0"/>
    <s v="M"/>
    <m/>
    <m/>
    <n v="0"/>
    <n v="0"/>
    <n v="0"/>
    <n v="0"/>
    <n v="0"/>
    <n v="0"/>
    <n v="0"/>
    <n v="1"/>
    <n v="-1"/>
    <n v="0"/>
    <n v="0"/>
    <n v="0"/>
    <n v="0"/>
    <n v="0"/>
    <n v="1"/>
    <n v="0"/>
    <n v="0"/>
    <n v="0"/>
    <n v="0"/>
    <n v="0"/>
    <n v="0"/>
    <n v="0"/>
    <n v="-1"/>
    <n v="0"/>
    <n v="0"/>
    <n v="0"/>
    <n v="0"/>
    <n v="0"/>
    <n v="0"/>
    <n v="0"/>
    <n v="0"/>
    <n v="0"/>
    <x v="0"/>
    <x v="0"/>
    <x v="0"/>
    <x v="0"/>
    <x v="0"/>
    <m/>
    <x v="0"/>
    <x v="0"/>
    <n v="15"/>
    <m/>
    <n v="0"/>
    <n v="0"/>
    <n v="0"/>
    <m/>
    <m/>
    <m/>
    <m/>
    <m/>
    <m/>
    <m/>
    <m/>
    <m/>
    <m/>
    <m/>
    <m/>
    <m/>
    <m/>
    <m/>
    <m/>
    <m/>
    <n v="0"/>
    <n v="0"/>
  </r>
  <r>
    <n v="7130"/>
    <x v="2"/>
    <s v="2019/0899"/>
    <s v="55 Gayville Road"/>
    <m/>
    <n v="527830"/>
    <n v="174273"/>
    <x v="4"/>
    <m/>
    <m/>
    <n v="0"/>
    <n v="1"/>
    <n v="1"/>
    <n v="2"/>
    <n v="1"/>
    <x v="0"/>
    <s v="Alterations including erection of a mansard roof extension to main rear roof, installation of glazed doors (with safety railing) at first floor level and erection of a single storey rear/side extension in connection with conversion to 1 x 2-bed and 1 x 3-bed flats."/>
    <s v="PF"/>
    <d v="2019-07-30T00:00:00"/>
    <d v="2019-09-17T00:00:00"/>
    <x v="1"/>
    <s v="Nil"/>
    <m/>
    <s v="BF"/>
    <s v="MIX"/>
    <x v="0"/>
    <x v="3"/>
    <n v="7.000000216066839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134"/>
    <x v="2"/>
    <s v="2019/0922"/>
    <s v="Land rear of, 26 Roehampton High Street"/>
    <m/>
    <n v="522411"/>
    <n v="173805"/>
    <x v="13"/>
    <m/>
    <m/>
    <n v="0"/>
    <n v="1"/>
    <n v="1"/>
    <n v="1"/>
    <n v="1"/>
    <x v="0"/>
    <s v="Erection of part single/part two-storey 1-bedroom house with associated boundary treatment, cycle and refuse storage."/>
    <s v="PF"/>
    <d v="2019-03-21T00:00:00"/>
    <d v="2019-10-14T00:00:00"/>
    <x v="1"/>
    <s v="Nil"/>
    <m/>
    <s v="BF"/>
    <s v="NB"/>
    <x v="0"/>
    <x v="5"/>
    <n v="6.0000000521540598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7148"/>
    <x v="2"/>
    <s v="2019/2504"/>
    <s v="91 St Johns Road"/>
    <m/>
    <n v="527437"/>
    <n v="175150"/>
    <x v="4"/>
    <m/>
    <m/>
    <n v="0"/>
    <n v="1"/>
    <n v="1"/>
    <n v="1"/>
    <n v="1"/>
    <x v="0"/>
    <s v="Alterations including erection of a two storey extension (top floor mansard roof); new shopfront; in connection with the change of use of part of the ground floor and the whole of the first floor from retail (Class A1) to create a 1 x 1-bedroom flat (Class C3)."/>
    <s v="PF"/>
    <d v="2019-07-02T00:00:00"/>
    <d v="2019-08-02T00:00:00"/>
    <x v="1"/>
    <s v="Nil"/>
    <m/>
    <s v="BF"/>
    <s v="MIX"/>
    <x v="0"/>
    <x v="3"/>
    <n v="1.00000004749745E-3"/>
    <m/>
    <x v="0"/>
    <m/>
    <x v="0"/>
    <s v="M"/>
    <m/>
    <m/>
    <n v="0"/>
    <n v="0"/>
    <n v="0"/>
    <n v="0"/>
    <n v="0"/>
    <n v="1"/>
    <n v="0"/>
    <n v="0"/>
    <n v="0"/>
    <n v="0"/>
    <n v="0"/>
    <n v="0"/>
    <n v="1"/>
    <n v="0"/>
    <n v="0"/>
    <n v="0"/>
    <n v="0"/>
    <n v="0"/>
    <n v="0"/>
    <n v="0"/>
    <n v="0"/>
    <n v="0"/>
    <n v="0"/>
    <n v="0"/>
    <n v="0"/>
    <n v="0"/>
    <n v="0"/>
    <n v="0"/>
    <n v="0"/>
    <n v="0"/>
    <n v="0"/>
    <n v="0"/>
    <x v="1"/>
    <x v="0"/>
    <x v="0"/>
    <x v="0"/>
    <x v="0"/>
    <m/>
    <x v="0"/>
    <x v="0"/>
    <n v="15"/>
    <m/>
    <n v="0.33333333333333331"/>
    <n v="0.33333333333333331"/>
    <n v="0.33333333333333331"/>
    <m/>
    <m/>
    <m/>
    <m/>
    <m/>
    <m/>
    <m/>
    <m/>
    <m/>
    <m/>
    <m/>
    <m/>
    <m/>
    <m/>
    <m/>
    <m/>
    <m/>
    <n v="1"/>
    <n v="1"/>
  </r>
  <r>
    <n v="7149"/>
    <x v="2"/>
    <s v="2018/3089"/>
    <s v="Garages east of, 147 Whitlock Drive"/>
    <m/>
    <n v="524351"/>
    <n v="173350"/>
    <x v="18"/>
    <m/>
    <m/>
    <n v="0"/>
    <n v="3"/>
    <n v="3"/>
    <n v="3"/>
    <n v="3"/>
    <x v="0"/>
    <s v="Erection of 3 x  2-bedroom houses to a shell and core stage as part of a pilot known as the Resident Custom Housebuilding Scheme"/>
    <s v="PF"/>
    <d v="2018-07-03T00:00:00"/>
    <d v="2018-09-18T00:00:00"/>
    <x v="0"/>
    <s v="Nil"/>
    <m/>
    <s v="BF"/>
    <s v="NB"/>
    <x v="0"/>
    <x v="5"/>
    <n v="2.5000000372528999E-2"/>
    <m/>
    <x v="0"/>
    <m/>
    <x v="0"/>
    <s v="M"/>
    <m/>
    <m/>
    <n v="0"/>
    <n v="0"/>
    <n v="0"/>
    <n v="0"/>
    <n v="0"/>
    <n v="0"/>
    <n v="3"/>
    <n v="0"/>
    <n v="0"/>
    <n v="0"/>
    <n v="0"/>
    <n v="0"/>
    <n v="0"/>
    <n v="0"/>
    <n v="0"/>
    <n v="0"/>
    <n v="0"/>
    <n v="0"/>
    <n v="0"/>
    <n v="0"/>
    <n v="3"/>
    <n v="0"/>
    <n v="0"/>
    <n v="0"/>
    <n v="0"/>
    <n v="0"/>
    <n v="0"/>
    <n v="0"/>
    <n v="0"/>
    <n v="0"/>
    <n v="0"/>
    <n v="0"/>
    <x v="0"/>
    <x v="0"/>
    <x v="0"/>
    <x v="0"/>
    <x v="0"/>
    <m/>
    <x v="0"/>
    <x v="0"/>
    <n v="6"/>
    <m/>
    <m/>
    <n v="0.75"/>
    <n v="0.75"/>
    <n v="0.75"/>
    <n v="0.75"/>
    <m/>
    <m/>
    <m/>
    <m/>
    <m/>
    <m/>
    <m/>
    <m/>
    <m/>
    <m/>
    <m/>
    <m/>
    <m/>
    <m/>
    <m/>
    <n v="3"/>
    <n v="3"/>
  </r>
  <r>
    <n v="7152"/>
    <x v="2"/>
    <s v="2018/5605"/>
    <s v="66A North Side Wandsworth Common"/>
    <m/>
    <n v="526518"/>
    <n v="174839"/>
    <x v="2"/>
    <m/>
    <m/>
    <n v="1"/>
    <n v="1"/>
    <n v="0"/>
    <n v="2"/>
    <n v="1"/>
    <x v="0"/>
    <s v="Alterations in connection with conversion of basement into 1-bedroom flat."/>
    <s v="PF"/>
    <d v="2018-12-10T00:00:00"/>
    <d v="2019-03-25T00:00:00"/>
    <x v="0"/>
    <s v="Nil"/>
    <m/>
    <s v="BF"/>
    <s v="CON"/>
    <x v="0"/>
    <x v="2"/>
    <n v="3.0000000260770299E-3"/>
    <m/>
    <x v="0"/>
    <m/>
    <x v="0"/>
    <s v="M"/>
    <m/>
    <m/>
    <n v="0"/>
    <n v="0"/>
    <n v="0"/>
    <n v="0"/>
    <n v="0"/>
    <n v="1"/>
    <n v="0"/>
    <n v="0"/>
    <n v="0"/>
    <n v="-1"/>
    <n v="0"/>
    <n v="0"/>
    <n v="1"/>
    <n v="0"/>
    <n v="0"/>
    <n v="0"/>
    <n v="0"/>
    <n v="0"/>
    <n v="0"/>
    <n v="0"/>
    <n v="0"/>
    <n v="0"/>
    <n v="0"/>
    <n v="-1"/>
    <n v="0"/>
    <n v="0"/>
    <n v="0"/>
    <n v="0"/>
    <n v="0"/>
    <n v="0"/>
    <n v="0"/>
    <n v="0"/>
    <x v="0"/>
    <x v="0"/>
    <x v="0"/>
    <x v="0"/>
    <x v="0"/>
    <m/>
    <x v="0"/>
    <x v="0"/>
    <n v="15"/>
    <m/>
    <n v="0"/>
    <n v="0"/>
    <n v="0"/>
    <m/>
    <m/>
    <m/>
    <m/>
    <m/>
    <m/>
    <m/>
    <m/>
    <m/>
    <m/>
    <m/>
    <m/>
    <m/>
    <m/>
    <m/>
    <m/>
    <m/>
    <n v="0"/>
    <n v="0"/>
  </r>
  <r>
    <n v="7152"/>
    <x v="2"/>
    <s v="2018/5605"/>
    <s v="66A North Side Wandsworth Common"/>
    <m/>
    <n v="526518"/>
    <n v="174839"/>
    <x v="2"/>
    <m/>
    <m/>
    <n v="0"/>
    <n v="1"/>
    <n v="1"/>
    <n v="2"/>
    <n v="1"/>
    <x v="0"/>
    <s v="Alterations in connection with conversion of basement into 1-bedroom flat."/>
    <s v="PF"/>
    <d v="2018-12-10T00:00:00"/>
    <d v="2019-03-25T00:00:00"/>
    <x v="0"/>
    <s v="Nil"/>
    <m/>
    <s v="BF"/>
    <s v="CON"/>
    <x v="0"/>
    <x v="14"/>
    <n v="8.0000003799796104E-3"/>
    <m/>
    <x v="0"/>
    <m/>
    <x v="0"/>
    <s v="M"/>
    <m/>
    <m/>
    <n v="0"/>
    <n v="0"/>
    <n v="0"/>
    <n v="0"/>
    <n v="0"/>
    <n v="0"/>
    <n v="0"/>
    <n v="0"/>
    <n v="0"/>
    <n v="1"/>
    <n v="0"/>
    <n v="0"/>
    <n v="0"/>
    <n v="0"/>
    <n v="0"/>
    <n v="0"/>
    <n v="0"/>
    <n v="0"/>
    <n v="0"/>
    <n v="0"/>
    <n v="0"/>
    <n v="0"/>
    <n v="0"/>
    <n v="1"/>
    <n v="0"/>
    <n v="0"/>
    <n v="0"/>
    <n v="0"/>
    <n v="0"/>
    <n v="0"/>
    <n v="0"/>
    <n v="0"/>
    <x v="0"/>
    <x v="0"/>
    <x v="0"/>
    <x v="0"/>
    <x v="0"/>
    <m/>
    <x v="0"/>
    <x v="0"/>
    <n v="15"/>
    <m/>
    <n v="0.33333333333333331"/>
    <n v="0.33333333333333331"/>
    <n v="0.33333333333333331"/>
    <m/>
    <m/>
    <m/>
    <m/>
    <m/>
    <m/>
    <m/>
    <m/>
    <m/>
    <m/>
    <m/>
    <m/>
    <m/>
    <m/>
    <m/>
    <m/>
    <m/>
    <n v="1"/>
    <n v="1"/>
  </r>
  <r>
    <n v="7153"/>
    <x v="2"/>
    <s v="2018/2174"/>
    <s v="42-43 Halston Close"/>
    <m/>
    <n v="527497"/>
    <n v="174444"/>
    <x v="4"/>
    <m/>
    <m/>
    <n v="3"/>
    <n v="5"/>
    <n v="2"/>
    <n v="5"/>
    <n v="2"/>
    <x v="0"/>
    <s v="Alterations including the reconfiguration of three existing lower ground floor flats ( 2 lawful and 1 unlawful ) within no. 42 Halston Close to create two studio flats accessed by the creation of a new external entrance to the side of No.42 Halston Close. The removal of internal staircases at No.42 Halston Close to enlarge existing lawful ground floor studio flat 2C. The enlargement of the existing lawful first floor flat 3A across both Nos.42 and 43 to form a studio flat, accessed by way of a newly created staircase and street facing private entrance. Conversion of the unlawful flats at lower ground floor (3 units) and ground floor (3 units) at No.43 to create 1 x three-bedroom five person flat at lower ground floor and 1 x one-bedroom two person flat at ground floor. The erection of a single storey rear extension at lower ground floor level."/>
    <s v="PF"/>
    <d v="2018-05-16T00:00:00"/>
    <d v="2018-09-24T00:00:00"/>
    <x v="0"/>
    <s v="Nil"/>
    <m/>
    <s v="BF"/>
    <s v="CON"/>
    <x v="0"/>
    <x v="2"/>
    <n v="3.5000000149011598E-2"/>
    <m/>
    <x v="0"/>
    <m/>
    <x v="0"/>
    <s v="M"/>
    <m/>
    <m/>
    <n v="0"/>
    <n v="0"/>
    <n v="0"/>
    <n v="0"/>
    <n v="1"/>
    <n v="1"/>
    <n v="0"/>
    <n v="0"/>
    <n v="0"/>
    <n v="0"/>
    <n v="0"/>
    <n v="1"/>
    <n v="1"/>
    <n v="0"/>
    <n v="1"/>
    <n v="0"/>
    <n v="0"/>
    <n v="0"/>
    <n v="0"/>
    <n v="0"/>
    <n v="0"/>
    <n v="-1"/>
    <n v="0"/>
    <n v="0"/>
    <n v="0"/>
    <n v="0"/>
    <n v="0"/>
    <n v="0"/>
    <n v="0"/>
    <n v="0"/>
    <n v="0"/>
    <n v="0"/>
    <x v="0"/>
    <x v="0"/>
    <x v="0"/>
    <x v="0"/>
    <x v="0"/>
    <m/>
    <x v="0"/>
    <x v="0"/>
    <n v="15"/>
    <m/>
    <n v="0.66666666666666663"/>
    <n v="0.66666666666666663"/>
    <n v="0.66666666666666663"/>
    <m/>
    <m/>
    <m/>
    <m/>
    <m/>
    <m/>
    <m/>
    <m/>
    <m/>
    <m/>
    <m/>
    <m/>
    <m/>
    <m/>
    <m/>
    <m/>
    <m/>
    <n v="2"/>
    <n v="2"/>
  </r>
  <r>
    <n v="7155"/>
    <x v="2"/>
    <s v="2019/1830"/>
    <s v="784 Garratt Lane"/>
    <s v="conversion"/>
    <n v="526848"/>
    <n v="171854"/>
    <x v="1"/>
    <m/>
    <m/>
    <n v="1"/>
    <n v="1"/>
    <n v="0"/>
    <n v="2"/>
    <n v="1"/>
    <x v="0"/>
    <s v="Alterations including erection of mansard roof extension to main rear roof (with french doors and safety railings); erection of roof extension and formation of roof terrace with 1.7m glazed screen surround over two storey back addition; in connection with the conversion of the upper floor flat into 2 x 1-bedroom flats."/>
    <s v="PF"/>
    <d v="2019-04-26T00:00:00"/>
    <d v="2019-06-21T00:00:00"/>
    <x v="1"/>
    <s v="Nil"/>
    <m/>
    <s v="BF"/>
    <s v="MIX"/>
    <x v="0"/>
    <x v="0"/>
    <n v="4.0000001899898104E-3"/>
    <m/>
    <x v="0"/>
    <m/>
    <x v="0"/>
    <s v="M"/>
    <m/>
    <m/>
    <n v="0"/>
    <n v="0"/>
    <n v="0"/>
    <n v="0"/>
    <n v="0"/>
    <n v="0"/>
    <n v="0"/>
    <n v="0"/>
    <n v="0"/>
    <n v="0"/>
    <n v="0"/>
    <n v="0"/>
    <n v="0"/>
    <n v="0"/>
    <n v="0"/>
    <n v="0"/>
    <n v="0"/>
    <n v="0"/>
    <n v="0"/>
    <n v="0"/>
    <n v="0"/>
    <n v="0"/>
    <n v="0"/>
    <n v="0"/>
    <n v="0"/>
    <n v="0"/>
    <n v="0"/>
    <n v="0"/>
    <n v="0"/>
    <n v="0"/>
    <n v="0"/>
    <n v="0"/>
    <x v="0"/>
    <x v="0"/>
    <x v="0"/>
    <x v="0"/>
    <x v="0"/>
    <m/>
    <x v="0"/>
    <x v="0"/>
    <n v="15"/>
    <m/>
    <n v="0"/>
    <n v="0"/>
    <n v="0"/>
    <m/>
    <m/>
    <m/>
    <m/>
    <m/>
    <m/>
    <m/>
    <m/>
    <m/>
    <m/>
    <m/>
    <m/>
    <m/>
    <m/>
    <m/>
    <m/>
    <m/>
    <n v="0"/>
    <n v="0"/>
  </r>
  <r>
    <n v="7155"/>
    <x v="2"/>
    <s v="2019/1830"/>
    <s v="784 Garratt Lane"/>
    <s v="extn"/>
    <n v="526848"/>
    <n v="171854"/>
    <x v="1"/>
    <m/>
    <m/>
    <n v="0"/>
    <n v="1"/>
    <n v="1"/>
    <n v="2"/>
    <n v="1"/>
    <x v="0"/>
    <s v="Alterations including erection of mansard roof extension to main rear roof (with french doors and safety railings); erection of roof extension and formation of roof terrace with 1.7m glazed screen surround over two storey back addition; in connection with the conversion of the upper floor flat into 2 x 1-bedroom flats."/>
    <s v="PF"/>
    <d v="2019-04-26T00:00:00"/>
    <d v="2019-06-21T00:00:00"/>
    <x v="1"/>
    <s v="Nil"/>
    <m/>
    <s v="BF"/>
    <s v="MIX"/>
    <x v="0"/>
    <x v="3"/>
    <n v="3.000000026077029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157"/>
    <x v="2"/>
    <s v="2019/1680"/>
    <s v="40 Lavender Hill"/>
    <m/>
    <n v="528409"/>
    <n v="175769"/>
    <x v="9"/>
    <m/>
    <m/>
    <n v="0"/>
    <n v="1"/>
    <n v="1"/>
    <n v="1"/>
    <n v="1"/>
    <x v="0"/>
    <s v="Alterations in connection with change of use of hot food takeaway (Class A5) to retail (Class A1) and residential (Class C3) to provide 1 x 1-bedroom flat."/>
    <s v="PF"/>
    <d v="2019-04-15T00:00:00"/>
    <d v="2019-06-10T00:00:00"/>
    <x v="1"/>
    <s v="Nil"/>
    <m/>
    <s v="BF"/>
    <s v="CON"/>
    <x v="0"/>
    <x v="1"/>
    <n v="6.0000000521540598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161"/>
    <x v="2"/>
    <s v="2019/2233"/>
    <s v="43 Sisters Avenue"/>
    <m/>
    <n v="528016"/>
    <n v="175405"/>
    <x v="9"/>
    <m/>
    <m/>
    <n v="1"/>
    <n v="4"/>
    <n v="3"/>
    <n v="4"/>
    <n v="3"/>
    <x v="0"/>
    <s v="Creation of a rear courtyard in connection with conversion from a single dwelling to 3 x 3-bed and 1 x 1-bed flats, with associated cycle and refuse storage to front garden"/>
    <s v="PF"/>
    <d v="2019-05-22T00:00:00"/>
    <d v="2019-07-17T00:00:00"/>
    <x v="1"/>
    <s v="Nil"/>
    <m/>
    <s v="BF"/>
    <s v="CON"/>
    <x v="0"/>
    <x v="2"/>
    <n v="2.5000000372528999E-2"/>
    <m/>
    <x v="0"/>
    <m/>
    <x v="0"/>
    <s v="M"/>
    <m/>
    <m/>
    <n v="0"/>
    <n v="0"/>
    <n v="0"/>
    <n v="0"/>
    <n v="0"/>
    <n v="1"/>
    <n v="0"/>
    <n v="3"/>
    <n v="-1"/>
    <n v="0"/>
    <n v="0"/>
    <n v="0"/>
    <n v="1"/>
    <n v="0"/>
    <n v="3"/>
    <n v="0"/>
    <n v="0"/>
    <n v="0"/>
    <n v="0"/>
    <n v="0"/>
    <n v="0"/>
    <n v="0"/>
    <n v="-1"/>
    <n v="0"/>
    <n v="0"/>
    <n v="0"/>
    <n v="0"/>
    <n v="0"/>
    <n v="0"/>
    <n v="0"/>
    <n v="0"/>
    <n v="0"/>
    <x v="0"/>
    <x v="0"/>
    <x v="0"/>
    <x v="0"/>
    <x v="0"/>
    <m/>
    <x v="0"/>
    <x v="0"/>
    <n v="15"/>
    <m/>
    <n v="1"/>
    <n v="1"/>
    <n v="1"/>
    <m/>
    <m/>
    <m/>
    <m/>
    <m/>
    <m/>
    <m/>
    <m/>
    <m/>
    <m/>
    <m/>
    <m/>
    <m/>
    <m/>
    <m/>
    <m/>
    <m/>
    <n v="3"/>
    <n v="3"/>
  </r>
  <r>
    <n v="7163"/>
    <x v="2"/>
    <s v="2019/1706"/>
    <s v="148 Earlsfield Road"/>
    <m/>
    <n v="526291"/>
    <n v="173671"/>
    <x v="17"/>
    <m/>
    <m/>
    <n v="0"/>
    <n v="1"/>
    <n v="1"/>
    <n v="1"/>
    <n v="1"/>
    <x v="0"/>
    <s v="Alterations including excavation to create basement in connection with creation of 1 x 1-bedroom flat."/>
    <s v="PF"/>
    <d v="2019-04-16T00:00:00"/>
    <d v="2019-07-16T00:00:00"/>
    <x v="1"/>
    <s v="Nil"/>
    <m/>
    <s v="BF"/>
    <s v="EXT"/>
    <x v="0"/>
    <x v="3"/>
    <n v="4.9999998882412902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166"/>
    <x v="2"/>
    <s v="2019/1481"/>
    <s v="10-15 The Boulevard, Balham High Road"/>
    <m/>
    <n v="528340"/>
    <n v="172918"/>
    <x v="19"/>
    <m/>
    <m/>
    <n v="0"/>
    <n v="2"/>
    <n v="2"/>
    <n v="2"/>
    <n v="2"/>
    <x v="0"/>
    <s v="Alterations including erection of mansard roof extensions to rear roof slope in connection with formation of 1 x 2-bedroom and 1 x 1-bedroom flats."/>
    <s v="PF"/>
    <d v="2019-04-03T00:00:00"/>
    <d v="2019-05-29T00:00:00"/>
    <x v="1"/>
    <s v="Nil"/>
    <m/>
    <s v="BF"/>
    <s v="EXT"/>
    <x v="0"/>
    <x v="3"/>
    <n v="7.0000002160668399E-3"/>
    <m/>
    <x v="0"/>
    <m/>
    <x v="0"/>
    <s v="M"/>
    <m/>
    <m/>
    <n v="0"/>
    <n v="0"/>
    <n v="0"/>
    <n v="0"/>
    <n v="0"/>
    <n v="1"/>
    <n v="1"/>
    <n v="0"/>
    <n v="0"/>
    <n v="0"/>
    <n v="0"/>
    <n v="0"/>
    <n v="1"/>
    <n v="1"/>
    <n v="0"/>
    <n v="0"/>
    <n v="0"/>
    <n v="0"/>
    <n v="0"/>
    <n v="0"/>
    <n v="0"/>
    <n v="0"/>
    <n v="0"/>
    <n v="0"/>
    <n v="0"/>
    <n v="0"/>
    <n v="0"/>
    <n v="0"/>
    <n v="0"/>
    <n v="0"/>
    <n v="0"/>
    <n v="0"/>
    <x v="0"/>
    <x v="0"/>
    <x v="0"/>
    <x v="0"/>
    <x v="0"/>
    <m/>
    <x v="0"/>
    <x v="0"/>
    <n v="15"/>
    <m/>
    <n v="0.66666666666666663"/>
    <n v="0.66666666666666663"/>
    <n v="0.66666666666666663"/>
    <m/>
    <m/>
    <m/>
    <m/>
    <m/>
    <m/>
    <m/>
    <m/>
    <m/>
    <m/>
    <m/>
    <m/>
    <m/>
    <m/>
    <m/>
    <m/>
    <m/>
    <n v="2"/>
    <n v="2"/>
  </r>
  <r>
    <n v="7167"/>
    <x v="2"/>
    <s v="2019/2033"/>
    <s v="11 Barmouth Road"/>
    <m/>
    <n v="526267"/>
    <n v="174208"/>
    <x v="17"/>
    <m/>
    <m/>
    <n v="0"/>
    <n v="1"/>
    <n v="1"/>
    <n v="1"/>
    <n v="1"/>
    <x v="0"/>
    <s v="Alterations including changes to front elevation fenestration and erection of single-storey rear/side extension in connection with change of use from office (Class B1) to residential (Class C3) to create 1 x 2-bedroom flat."/>
    <s v="PF"/>
    <d v="2019-05-10T00:00:00"/>
    <d v="2019-10-03T00:00:00"/>
    <x v="1"/>
    <s v="Nil"/>
    <m/>
    <s v="BF"/>
    <s v="MIX"/>
    <x v="0"/>
    <x v="6"/>
    <n v="4.9999998882412902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169"/>
    <x v="2"/>
    <s v="2019/1643"/>
    <s v="Ground Floor 2 Duchess Court, 2 Dinsmore Road"/>
    <m/>
    <n v="528809"/>
    <n v="173795"/>
    <x v="6"/>
    <m/>
    <m/>
    <n v="0"/>
    <n v="1"/>
    <n v="1"/>
    <n v="1"/>
    <n v="1"/>
    <x v="0"/>
    <s v="Determination as to whether prior approval is required for change of use of office at ground floor level from office (Class B1a) to residential (Class C3) to provide 1 x 2-bedroom flat."/>
    <s v="PAG"/>
    <d v="2019-04-15T00:00:00"/>
    <d v="2019-06-05T00:00:00"/>
    <x v="1"/>
    <s v="Nil"/>
    <m/>
    <s v="BF"/>
    <s v="COU"/>
    <x v="0"/>
    <x v="6"/>
    <n v="2.000000094994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170"/>
    <x v="2"/>
    <s v="2019/1924"/>
    <s v="97 East Hill"/>
    <m/>
    <n v="526060"/>
    <n v="174693"/>
    <x v="2"/>
    <m/>
    <m/>
    <n v="0"/>
    <n v="1"/>
    <n v="1"/>
    <n v="1"/>
    <n v="1"/>
    <x v="0"/>
    <s v="Alterations including erection of part single, part three-storey rear/side extension, excavation to enlarge basement, erection of roof extension to main rear roof,  in connection with retention of retail unit in part of ground and basement levels and provision of 1 x 1-bedroom and 2 x 2-bedroom flats."/>
    <s v="PF"/>
    <d v="2019-05-22T00:00:00"/>
    <d v="2019-08-29T00:00:00"/>
    <x v="1"/>
    <s v="Nil"/>
    <m/>
    <s v="BF"/>
    <s v="EXT"/>
    <x v="0"/>
    <x v="3"/>
    <n v="2.000000094994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171"/>
    <x v="2"/>
    <s v="2019/2018"/>
    <s v="737 Garratt Lane"/>
    <m/>
    <n v="526265"/>
    <n v="172170"/>
    <x v="8"/>
    <m/>
    <m/>
    <n v="0"/>
    <n v="3"/>
    <n v="3"/>
    <n v="3"/>
    <n v="3"/>
    <x v="0"/>
    <s v="Alterations including installation of bay windows and French doors to the south elevation of the building in connection with change of use from office (Class B1) to residential (Class C3) to create 2 x 1-bedroom and 1 x 2-bedroom flats with associated refuse and cycle storage."/>
    <s v="PF"/>
    <d v="2019-05-09T00:00:00"/>
    <d v="2019-10-29T00:00:00"/>
    <x v="1"/>
    <s v="Nil"/>
    <m/>
    <s v="BF"/>
    <s v="COU"/>
    <x v="0"/>
    <x v="6"/>
    <n v="2.3000000044703501E-2"/>
    <m/>
    <x v="0"/>
    <m/>
    <x v="0"/>
    <s v="M"/>
    <m/>
    <m/>
    <n v="0"/>
    <n v="0"/>
    <n v="0"/>
    <n v="0"/>
    <n v="0"/>
    <n v="2"/>
    <n v="1"/>
    <n v="0"/>
    <n v="0"/>
    <n v="0"/>
    <n v="0"/>
    <n v="0"/>
    <n v="2"/>
    <n v="1"/>
    <n v="0"/>
    <n v="0"/>
    <n v="0"/>
    <n v="0"/>
    <n v="0"/>
    <n v="0"/>
    <n v="0"/>
    <n v="0"/>
    <n v="0"/>
    <n v="0"/>
    <n v="0"/>
    <n v="0"/>
    <n v="0"/>
    <n v="0"/>
    <n v="0"/>
    <n v="0"/>
    <n v="0"/>
    <n v="0"/>
    <x v="0"/>
    <x v="0"/>
    <x v="0"/>
    <x v="0"/>
    <x v="0"/>
    <m/>
    <x v="0"/>
    <x v="0"/>
    <n v="15"/>
    <m/>
    <n v="1"/>
    <n v="1"/>
    <n v="1"/>
    <m/>
    <m/>
    <m/>
    <m/>
    <m/>
    <m/>
    <m/>
    <m/>
    <m/>
    <m/>
    <m/>
    <m/>
    <m/>
    <m/>
    <m/>
    <m/>
    <m/>
    <n v="3"/>
    <n v="3"/>
  </r>
  <r>
    <n v="7173"/>
    <x v="2"/>
    <s v="2019/1659"/>
    <s v="173 Lavender Hill"/>
    <m/>
    <n v="527960"/>
    <n v="175575"/>
    <x v="9"/>
    <m/>
    <m/>
    <n v="0"/>
    <n v="3"/>
    <n v="3"/>
    <n v="3"/>
    <n v="3"/>
    <x v="0"/>
    <s v="Alterations including erection of front and rear mansard extension to main rear roof and extension above existing three storey rear addition; alterations and replacement of windows to rear and side of back addition and replacement of shopfront in connection with change of use from Royal British Legion clubhouse (Class D1) to community use unit (Class D1) at basement and ground floors and creation of 2 x 2-bedroom and 1 x 1-bedroom flats."/>
    <s v="PF"/>
    <d v="2019-04-12T00:00:00"/>
    <d v="2019-06-06T00:00:00"/>
    <x v="1"/>
    <s v="Nil"/>
    <m/>
    <s v="BF"/>
    <s v="MIX"/>
    <x v="0"/>
    <x v="3"/>
    <n v="8.0000003799796104E-3"/>
    <m/>
    <x v="0"/>
    <m/>
    <x v="0"/>
    <s v="M"/>
    <m/>
    <m/>
    <n v="0"/>
    <n v="0"/>
    <n v="0"/>
    <n v="0"/>
    <n v="0"/>
    <n v="1"/>
    <n v="2"/>
    <n v="0"/>
    <n v="0"/>
    <n v="0"/>
    <n v="0"/>
    <n v="0"/>
    <n v="1"/>
    <n v="2"/>
    <n v="0"/>
    <n v="0"/>
    <n v="0"/>
    <n v="0"/>
    <n v="0"/>
    <n v="0"/>
    <n v="0"/>
    <n v="0"/>
    <n v="0"/>
    <n v="0"/>
    <n v="0"/>
    <n v="0"/>
    <n v="0"/>
    <n v="0"/>
    <n v="0"/>
    <n v="0"/>
    <n v="0"/>
    <n v="0"/>
    <x v="0"/>
    <x v="0"/>
    <x v="0"/>
    <x v="0"/>
    <x v="0"/>
    <m/>
    <x v="0"/>
    <x v="0"/>
    <n v="15"/>
    <m/>
    <n v="1"/>
    <n v="1"/>
    <n v="1"/>
    <m/>
    <m/>
    <m/>
    <m/>
    <m/>
    <m/>
    <m/>
    <m/>
    <m/>
    <m/>
    <m/>
    <m/>
    <m/>
    <m/>
    <m/>
    <m/>
    <m/>
    <n v="3"/>
    <n v="3"/>
  </r>
  <r>
    <n v="7179"/>
    <x v="2"/>
    <s v="2019/1818"/>
    <s v="197-199 Merton Road"/>
    <m/>
    <n v="525217"/>
    <n v="173866"/>
    <x v="14"/>
    <m/>
    <m/>
    <n v="0"/>
    <n v="2"/>
    <n v="2"/>
    <n v="2"/>
    <n v="2"/>
    <x v="0"/>
    <s v="Alterations including erection of two storey rear extension in connection with creation of 2 x 1-bedroom flats with access from Coliston Passage."/>
    <s v="PF"/>
    <d v="2019-04-25T00:00:00"/>
    <d v="2019-11-25T00:00:00"/>
    <x v="1"/>
    <s v="Nil"/>
    <m/>
    <s v="BF"/>
    <s v="NB"/>
    <x v="0"/>
    <x v="5"/>
    <n v="8.0000003799796104E-3"/>
    <m/>
    <x v="0"/>
    <m/>
    <x v="0"/>
    <s v="M"/>
    <m/>
    <m/>
    <n v="0"/>
    <n v="0"/>
    <n v="0"/>
    <n v="0"/>
    <n v="0"/>
    <n v="2"/>
    <n v="0"/>
    <n v="0"/>
    <n v="0"/>
    <n v="0"/>
    <n v="0"/>
    <n v="0"/>
    <n v="2"/>
    <n v="0"/>
    <n v="0"/>
    <n v="0"/>
    <n v="0"/>
    <n v="0"/>
    <n v="0"/>
    <n v="0"/>
    <n v="0"/>
    <n v="0"/>
    <n v="0"/>
    <n v="0"/>
    <n v="0"/>
    <n v="0"/>
    <n v="0"/>
    <n v="0"/>
    <n v="0"/>
    <n v="0"/>
    <n v="0"/>
    <n v="0"/>
    <x v="0"/>
    <x v="0"/>
    <x v="0"/>
    <x v="0"/>
    <x v="0"/>
    <m/>
    <x v="0"/>
    <x v="0"/>
    <n v="6"/>
    <m/>
    <m/>
    <n v="0.5"/>
    <n v="0.5"/>
    <n v="0.5"/>
    <n v="0.5"/>
    <m/>
    <m/>
    <m/>
    <m/>
    <m/>
    <m/>
    <m/>
    <m/>
    <m/>
    <m/>
    <m/>
    <m/>
    <m/>
    <m/>
    <m/>
    <n v="2"/>
    <n v="2"/>
  </r>
  <r>
    <n v="7182"/>
    <x v="2"/>
    <s v="2019/1945"/>
    <s v="Burdwood Court, 46 Putney Hill"/>
    <m/>
    <n v="523838"/>
    <n v="174742"/>
    <x v="5"/>
    <m/>
    <m/>
    <n v="0"/>
    <n v="4"/>
    <n v="4"/>
    <n v="4"/>
    <n v="4"/>
    <x v="0"/>
    <s v="Erection of additional storey of at fourth floor level to provide 4 x 1-bedroom flats including two roof terraces;  installation of replacement fenestration to all elevations."/>
    <s v="PF"/>
    <d v="2019-05-03T00:00:00"/>
    <d v="2019-11-28T00:00:00"/>
    <x v="1"/>
    <s v="Nil"/>
    <m/>
    <s v="BF"/>
    <s v="MIX"/>
    <x v="0"/>
    <x v="1"/>
    <n v="1.7999999225139601E-2"/>
    <m/>
    <x v="0"/>
    <m/>
    <x v="0"/>
    <s v="M"/>
    <m/>
    <m/>
    <n v="0"/>
    <n v="0"/>
    <n v="0"/>
    <n v="0"/>
    <n v="0"/>
    <n v="4"/>
    <n v="0"/>
    <n v="0"/>
    <n v="0"/>
    <n v="0"/>
    <n v="0"/>
    <n v="0"/>
    <n v="4"/>
    <n v="0"/>
    <n v="0"/>
    <n v="0"/>
    <n v="0"/>
    <n v="0"/>
    <n v="0"/>
    <n v="0"/>
    <n v="0"/>
    <n v="0"/>
    <n v="0"/>
    <n v="0"/>
    <n v="0"/>
    <n v="0"/>
    <n v="0"/>
    <n v="0"/>
    <n v="0"/>
    <n v="0"/>
    <n v="0"/>
    <n v="0"/>
    <x v="0"/>
    <x v="0"/>
    <x v="0"/>
    <x v="0"/>
    <x v="0"/>
    <m/>
    <x v="0"/>
    <x v="0"/>
    <n v="15"/>
    <m/>
    <n v="1.3333333333333333"/>
    <n v="1.3333333333333333"/>
    <n v="1.3333333333333333"/>
    <m/>
    <m/>
    <m/>
    <m/>
    <m/>
    <m/>
    <m/>
    <m/>
    <m/>
    <m/>
    <m/>
    <m/>
    <m/>
    <m/>
    <m/>
    <m/>
    <m/>
    <n v="4"/>
    <n v="4"/>
  </r>
  <r>
    <n v="7184"/>
    <x v="2"/>
    <s v="2019/1933"/>
    <s v="43 Queenstown Road"/>
    <m/>
    <n v="528548"/>
    <n v="175966"/>
    <x v="12"/>
    <m/>
    <m/>
    <n v="0"/>
    <n v="1"/>
    <n v="1"/>
    <n v="1"/>
    <n v="1"/>
    <x v="0"/>
    <s v="Alterations and erection of a part single, part two-storey rear addition with change of use of part of the ground floor unit from retail (Class A1) to form a live/work unit (Sui Generis). Addtional window to the existing first floor flat (side elevation facing Stanley Grove ). (Amended development description and site address)."/>
    <s v="PF"/>
    <d v="2019-05-03T00:00:00"/>
    <d v="2019-09-18T00:00:00"/>
    <x v="1"/>
    <s v="Nil"/>
    <m/>
    <s v="BF"/>
    <s v="MIX"/>
    <x v="0"/>
    <x v="4"/>
    <n v="3.0000000260770299E-3"/>
    <m/>
    <x v="0"/>
    <m/>
    <x v="0"/>
    <s v="M"/>
    <m/>
    <m/>
    <n v="0"/>
    <n v="0"/>
    <n v="0"/>
    <n v="0"/>
    <n v="0"/>
    <n v="1"/>
    <n v="0"/>
    <n v="0"/>
    <n v="0"/>
    <n v="0"/>
    <n v="0"/>
    <n v="0"/>
    <n v="0"/>
    <n v="0"/>
    <n v="0"/>
    <n v="0"/>
    <n v="0"/>
    <n v="0"/>
    <n v="0"/>
    <n v="0"/>
    <n v="0"/>
    <n v="0"/>
    <n v="0"/>
    <n v="0"/>
    <n v="0"/>
    <n v="0"/>
    <n v="1"/>
    <n v="0"/>
    <n v="0"/>
    <n v="0"/>
    <n v="0"/>
    <n v="0"/>
    <x v="0"/>
    <x v="0"/>
    <x v="0"/>
    <x v="0"/>
    <x v="0"/>
    <m/>
    <x v="0"/>
    <x v="0"/>
    <n v="15"/>
    <m/>
    <n v="0.33333333333333331"/>
    <n v="0.33333333333333331"/>
    <n v="0.33333333333333331"/>
    <m/>
    <m/>
    <m/>
    <m/>
    <m/>
    <m/>
    <m/>
    <m/>
    <m/>
    <m/>
    <m/>
    <m/>
    <m/>
    <m/>
    <m/>
    <m/>
    <m/>
    <n v="1"/>
    <n v="1"/>
  </r>
  <r>
    <n v="7186"/>
    <x v="2"/>
    <s v="2019/2137"/>
    <s v="54a Waldron Road"/>
    <m/>
    <n v="526344"/>
    <n v="172515"/>
    <x v="8"/>
    <m/>
    <m/>
    <n v="0"/>
    <n v="1"/>
    <n v="1"/>
    <n v="1"/>
    <n v="1"/>
    <x v="0"/>
    <s v="Alterations including erection of mansard roof extension to main rear roof, erection of roof extension and formation of roof terrace with 1.8m glazed screen surround over two storey back addition in connection with creation of 1-bedroom flat."/>
    <s v="PF"/>
    <d v="2019-05-16T00:00:00"/>
    <d v="2019-10-01T00:00:00"/>
    <x v="1"/>
    <s v="Nil"/>
    <m/>
    <s v="BF"/>
    <s v="EXT"/>
    <x v="0"/>
    <x v="3"/>
    <n v="8.0000003799796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188"/>
    <x v="2"/>
    <s v="2019/1757"/>
    <s v="Terrapin Court, Terrapin Road"/>
    <m/>
    <n v="528902"/>
    <n v="172500"/>
    <x v="19"/>
    <m/>
    <m/>
    <n v="0"/>
    <n v="2"/>
    <n v="2"/>
    <n v="2"/>
    <n v="2"/>
    <x v="0"/>
    <s v="Alterations including erection of roof extension and roof terraces to provide 2 x 2-bedroom flats within extended roof. Provision of associated refuse and cycle storage for existing and proposed dwellings."/>
    <s v="PF"/>
    <d v="2019-06-17T00:00:00"/>
    <d v="2019-08-30T00:00:00"/>
    <x v="1"/>
    <s v="Nil"/>
    <m/>
    <s v="BF"/>
    <s v="EXT"/>
    <x v="0"/>
    <x v="3"/>
    <n v="1.30000002682209E-2"/>
    <m/>
    <x v="0"/>
    <m/>
    <x v="0"/>
    <s v="M"/>
    <m/>
    <m/>
    <n v="0"/>
    <n v="0"/>
    <n v="0"/>
    <n v="0"/>
    <n v="0"/>
    <n v="0"/>
    <n v="2"/>
    <n v="0"/>
    <n v="0"/>
    <n v="0"/>
    <n v="0"/>
    <n v="0"/>
    <n v="0"/>
    <n v="2"/>
    <n v="0"/>
    <n v="0"/>
    <n v="0"/>
    <n v="0"/>
    <n v="0"/>
    <n v="0"/>
    <n v="0"/>
    <n v="0"/>
    <n v="0"/>
    <n v="0"/>
    <n v="0"/>
    <n v="0"/>
    <n v="0"/>
    <n v="0"/>
    <n v="0"/>
    <n v="0"/>
    <n v="0"/>
    <n v="0"/>
    <x v="0"/>
    <x v="0"/>
    <x v="0"/>
    <x v="0"/>
    <x v="0"/>
    <m/>
    <x v="0"/>
    <x v="0"/>
    <n v="15"/>
    <m/>
    <n v="0.66666666666666663"/>
    <n v="0.66666666666666663"/>
    <n v="0.66666666666666663"/>
    <m/>
    <m/>
    <m/>
    <m/>
    <m/>
    <m/>
    <m/>
    <m/>
    <m/>
    <m/>
    <m/>
    <m/>
    <m/>
    <m/>
    <m/>
    <m/>
    <m/>
    <n v="2"/>
    <n v="2"/>
  </r>
  <r>
    <n v="7190"/>
    <x v="2"/>
    <s v="2019/2585"/>
    <s v="Wildcroft Manor, Wildcroft Road"/>
    <m/>
    <n v="523349"/>
    <n v="173599"/>
    <x v="13"/>
    <m/>
    <m/>
    <n v="0"/>
    <n v="9"/>
    <n v="9"/>
    <n v="9"/>
    <n v="9"/>
    <x v="0"/>
    <s v="Alterations including erection of front and rear dormer roof extensions to all blocks to provide to 6 x 2-bedroom and 3 x 3-bedroom flats; 18 cycle storage spaces ."/>
    <s v="PF"/>
    <d v="2019-06-27T00:00:00"/>
    <d v="2019-09-18T00:00:00"/>
    <x v="1"/>
    <s v="Nil"/>
    <m/>
    <s v="BF"/>
    <s v="EXT"/>
    <x v="0"/>
    <x v="3"/>
    <n v="3.5999998450279201E-2"/>
    <m/>
    <x v="0"/>
    <m/>
    <x v="0"/>
    <s v="M"/>
    <m/>
    <m/>
    <n v="0"/>
    <n v="0"/>
    <n v="0"/>
    <n v="0"/>
    <n v="0"/>
    <n v="0"/>
    <n v="6"/>
    <n v="3"/>
    <n v="0"/>
    <n v="0"/>
    <n v="0"/>
    <n v="0"/>
    <n v="0"/>
    <n v="6"/>
    <n v="3"/>
    <n v="0"/>
    <n v="0"/>
    <n v="0"/>
    <n v="0"/>
    <n v="0"/>
    <n v="0"/>
    <n v="0"/>
    <n v="0"/>
    <n v="0"/>
    <n v="0"/>
    <n v="0"/>
    <n v="0"/>
    <n v="0"/>
    <n v="0"/>
    <n v="0"/>
    <n v="0"/>
    <n v="0"/>
    <x v="0"/>
    <x v="0"/>
    <x v="0"/>
    <x v="0"/>
    <x v="0"/>
    <m/>
    <x v="0"/>
    <x v="0"/>
    <n v="16"/>
    <m/>
    <m/>
    <m/>
    <m/>
    <n v="9"/>
    <m/>
    <m/>
    <m/>
    <m/>
    <m/>
    <m/>
    <m/>
    <m/>
    <m/>
    <m/>
    <m/>
    <m/>
    <m/>
    <m/>
    <m/>
    <m/>
    <n v="9"/>
    <n v="9"/>
  </r>
  <r>
    <n v="7191"/>
    <x v="2"/>
    <s v="2019/2583"/>
    <s v="245a Wimbledon Park Road"/>
    <m/>
    <n v="524767"/>
    <n v="173302"/>
    <x v="14"/>
    <m/>
    <m/>
    <n v="0"/>
    <n v="1"/>
    <n v="1"/>
    <n v="1"/>
    <n v="1"/>
    <x v="0"/>
    <s v="Determination as to whether prior approval is required for change of use of lower ground floor from Estate agents(Class A2) to 1 x 1-bedroom flat (Class C3)."/>
    <s v="PANR"/>
    <d v="2019-06-27T00:00:00"/>
    <d v="2019-08-16T00:00:00"/>
    <x v="1"/>
    <s v="Nil"/>
    <m/>
    <s v="BF"/>
    <s v="COU"/>
    <x v="0"/>
    <x v="6"/>
    <n v="2.0000000949949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194"/>
    <x v="2"/>
    <s v="2019/2251"/>
    <s v="22 Carlton Drive"/>
    <s v="Existing"/>
    <n v="524291"/>
    <n v="174776"/>
    <x v="5"/>
    <m/>
    <m/>
    <n v="15"/>
    <n v="0"/>
    <n v="-15"/>
    <n v="8"/>
    <n v="-7"/>
    <x v="0"/>
    <s v="Alterations including erection of pitch roof to first floor front extension in connection with conversion of property 1 x1 bedroom flat, 6 x2 bedroom flats and 1 x3 bedroom flat. Erection of front boundary wall to 1.8m high"/>
    <s v="PF"/>
    <d v="2019-06-19T00:00:00"/>
    <d v="2019-08-19T00:00:00"/>
    <x v="1"/>
    <s v="Nil"/>
    <m/>
    <s v="BF"/>
    <s v="COU"/>
    <x v="0"/>
    <x v="10"/>
    <n v="0"/>
    <m/>
    <x v="0"/>
    <m/>
    <x v="2"/>
    <s v="AU"/>
    <m/>
    <m/>
    <n v="0"/>
    <n v="0"/>
    <n v="0"/>
    <n v="0"/>
    <n v="-15"/>
    <n v="0"/>
    <n v="0"/>
    <n v="0"/>
    <n v="0"/>
    <n v="0"/>
    <n v="0"/>
    <n v="-15"/>
    <n v="0"/>
    <n v="0"/>
    <n v="0"/>
    <n v="0"/>
    <n v="0"/>
    <n v="0"/>
    <n v="0"/>
    <n v="0"/>
    <n v="0"/>
    <n v="0"/>
    <n v="0"/>
    <n v="0"/>
    <n v="0"/>
    <n v="0"/>
    <n v="0"/>
    <n v="0"/>
    <n v="0"/>
    <n v="0"/>
    <n v="0"/>
    <n v="0"/>
    <x v="0"/>
    <x v="0"/>
    <x v="0"/>
    <x v="0"/>
    <x v="0"/>
    <m/>
    <x v="0"/>
    <x v="0"/>
    <n v="18"/>
    <m/>
    <m/>
    <n v="-3.75"/>
    <n v="-3.75"/>
    <n v="-3.75"/>
    <n v="-3.75"/>
    <m/>
    <m/>
    <m/>
    <m/>
    <m/>
    <m/>
    <m/>
    <m/>
    <m/>
    <m/>
    <m/>
    <m/>
    <m/>
    <m/>
    <m/>
    <n v="-15"/>
    <n v="-15"/>
  </r>
  <r>
    <n v="7194"/>
    <x v="2"/>
    <s v="2019/2251"/>
    <s v="22 Carlton Drive"/>
    <s v="Proposed"/>
    <n v="524291"/>
    <n v="174776"/>
    <x v="5"/>
    <m/>
    <m/>
    <n v="0"/>
    <n v="8"/>
    <n v="8"/>
    <n v="8"/>
    <n v="-7"/>
    <x v="0"/>
    <s v="Alterations including erection of pitch roof to first floor front extension in connection with conversion of property 1 x1 bedroom flat, 6 x2 bedroom flats and 1 x3 bedroom flat. Erection of front boundary wall to 1.8m high"/>
    <s v="PF"/>
    <d v="2019-06-19T00:00:00"/>
    <d v="2019-08-19T00:00:00"/>
    <x v="1"/>
    <s v="Nil"/>
    <m/>
    <s v="BF"/>
    <s v="COU"/>
    <x v="0"/>
    <x v="10"/>
    <n v="0.10700000077485999"/>
    <m/>
    <x v="0"/>
    <m/>
    <x v="2"/>
    <s v="AU"/>
    <m/>
    <m/>
    <n v="0"/>
    <n v="0"/>
    <n v="0"/>
    <n v="0"/>
    <n v="0"/>
    <n v="1"/>
    <n v="6"/>
    <n v="1"/>
    <n v="0"/>
    <n v="0"/>
    <n v="0"/>
    <n v="0"/>
    <n v="1"/>
    <n v="6"/>
    <n v="1"/>
    <n v="0"/>
    <n v="0"/>
    <n v="0"/>
    <n v="0"/>
    <n v="0"/>
    <n v="0"/>
    <n v="0"/>
    <n v="0"/>
    <n v="0"/>
    <n v="0"/>
    <n v="0"/>
    <n v="0"/>
    <n v="0"/>
    <n v="0"/>
    <n v="0"/>
    <n v="0"/>
    <n v="0"/>
    <x v="0"/>
    <x v="0"/>
    <x v="0"/>
    <x v="0"/>
    <x v="0"/>
    <m/>
    <x v="0"/>
    <x v="0"/>
    <n v="18"/>
    <m/>
    <m/>
    <n v="2"/>
    <n v="2"/>
    <n v="2"/>
    <n v="2"/>
    <m/>
    <m/>
    <m/>
    <m/>
    <m/>
    <m/>
    <m/>
    <m/>
    <m/>
    <m/>
    <m/>
    <m/>
    <m/>
    <m/>
    <m/>
    <n v="8"/>
    <n v="8"/>
  </r>
  <r>
    <n v="7196"/>
    <x v="2"/>
    <s v="2019/2365"/>
    <s v="rear of, 10-12 Replingham Road"/>
    <m/>
    <n v="524799"/>
    <n v="173260"/>
    <x v="14"/>
    <m/>
    <m/>
    <n v="0"/>
    <n v="1"/>
    <n v="1"/>
    <n v="1"/>
    <n v="1"/>
    <x v="0"/>
    <s v="Alterations in connection with change of use from offices (Class B1) to residential (Class C3) to provide two storey 1-bedroom house."/>
    <s v="PF"/>
    <d v="2019-06-17T00:00:00"/>
    <d v="2019-09-10T00:00:00"/>
    <x v="1"/>
    <s v="Nil"/>
    <m/>
    <s v="BF"/>
    <s v="COU"/>
    <x v="0"/>
    <x v="6"/>
    <n v="7.0000002160668399E-3"/>
    <m/>
    <x v="0"/>
    <m/>
    <x v="0"/>
    <s v="M"/>
    <m/>
    <m/>
    <n v="0"/>
    <n v="0"/>
    <n v="0"/>
    <n v="0"/>
    <n v="0"/>
    <n v="1"/>
    <n v="0"/>
    <n v="0"/>
    <n v="0"/>
    <n v="0"/>
    <n v="0"/>
    <n v="0"/>
    <n v="0"/>
    <n v="0"/>
    <n v="0"/>
    <n v="0"/>
    <n v="0"/>
    <n v="0"/>
    <n v="0"/>
    <n v="1"/>
    <n v="0"/>
    <n v="0"/>
    <n v="0"/>
    <n v="0"/>
    <n v="0"/>
    <n v="0"/>
    <n v="0"/>
    <n v="0"/>
    <n v="0"/>
    <n v="0"/>
    <n v="0"/>
    <n v="0"/>
    <x v="0"/>
    <x v="0"/>
    <x v="0"/>
    <x v="0"/>
    <x v="0"/>
    <m/>
    <x v="0"/>
    <x v="0"/>
    <n v="15"/>
    <m/>
    <n v="0.33333333333333331"/>
    <n v="0.33333333333333331"/>
    <n v="0.33333333333333331"/>
    <m/>
    <m/>
    <m/>
    <m/>
    <m/>
    <m/>
    <m/>
    <m/>
    <m/>
    <m/>
    <m/>
    <m/>
    <m/>
    <m/>
    <m/>
    <m/>
    <m/>
    <n v="1"/>
    <n v="1"/>
  </r>
  <r>
    <n v="7208"/>
    <x v="2"/>
    <s v="2019/2933"/>
    <s v="22 Westhorpe Road"/>
    <m/>
    <n v="523414"/>
    <n v="175659"/>
    <x v="0"/>
    <m/>
    <m/>
    <n v="2"/>
    <n v="1"/>
    <n v="-1"/>
    <n v="1"/>
    <n v="-1"/>
    <x v="0"/>
    <s v="Alterations in connection use as a single dwellinghouse."/>
    <s v="PF"/>
    <d v="2019-07-18T00:00:00"/>
    <d v="2019-09-10T00:00:00"/>
    <x v="1"/>
    <s v="Nil"/>
    <m/>
    <s v="BF"/>
    <s v="CON"/>
    <x v="0"/>
    <x v="8"/>
    <n v="1.30000002682209E-2"/>
    <m/>
    <x v="0"/>
    <m/>
    <x v="0"/>
    <s v="M"/>
    <m/>
    <m/>
    <n v="0"/>
    <n v="0"/>
    <n v="0"/>
    <n v="0"/>
    <n v="0"/>
    <n v="-1"/>
    <n v="-1"/>
    <n v="0"/>
    <n v="1"/>
    <n v="0"/>
    <n v="0"/>
    <n v="0"/>
    <n v="-1"/>
    <n v="-1"/>
    <n v="0"/>
    <n v="0"/>
    <n v="0"/>
    <n v="0"/>
    <n v="0"/>
    <n v="0"/>
    <n v="0"/>
    <n v="0"/>
    <n v="1"/>
    <n v="0"/>
    <n v="0"/>
    <n v="0"/>
    <n v="0"/>
    <n v="0"/>
    <n v="0"/>
    <n v="0"/>
    <n v="0"/>
    <n v="0"/>
    <x v="0"/>
    <x v="0"/>
    <x v="0"/>
    <x v="0"/>
    <x v="0"/>
    <m/>
    <x v="0"/>
    <x v="0"/>
    <n v="15"/>
    <m/>
    <n v="-0.33333333333333331"/>
    <n v="-0.33333333333333331"/>
    <n v="-0.33333333333333331"/>
    <m/>
    <m/>
    <m/>
    <m/>
    <m/>
    <m/>
    <m/>
    <m/>
    <m/>
    <m/>
    <m/>
    <m/>
    <m/>
    <m/>
    <m/>
    <m/>
    <m/>
    <n v="-1"/>
    <n v="-1"/>
  </r>
  <r>
    <n v="7210"/>
    <x v="2"/>
    <s v="2019/2977"/>
    <s v="180 Balham High Road"/>
    <m/>
    <n v="528481"/>
    <n v="173303"/>
    <x v="3"/>
    <m/>
    <m/>
    <n v="0"/>
    <n v="4"/>
    <n v="4"/>
    <n v="4"/>
    <n v="4"/>
    <x v="0"/>
    <s v="Alterations including part demolition of existing building and erection of part four, part five storey building to provide retail (Class A1) at basement and ground floor levels and residential (Class C3) above to provide 4 x 1 bedroom and 1 x 2 bedroom flats with associated balconies. Provision of cycle and refuse storages."/>
    <s v="PF"/>
    <d v="2019-07-25T00:00:00"/>
    <d v="2019-12-02T00:00:00"/>
    <x v="1"/>
    <s v="Nil"/>
    <m/>
    <s v="BF"/>
    <s v="NB"/>
    <x v="0"/>
    <x v="5"/>
    <n v="1.09999999403954E-2"/>
    <m/>
    <x v="0"/>
    <m/>
    <x v="0"/>
    <s v="M"/>
    <m/>
    <m/>
    <n v="0"/>
    <n v="0"/>
    <n v="0"/>
    <n v="0"/>
    <n v="0"/>
    <n v="3"/>
    <n v="1"/>
    <n v="0"/>
    <n v="0"/>
    <n v="0"/>
    <n v="0"/>
    <n v="0"/>
    <n v="3"/>
    <n v="1"/>
    <n v="0"/>
    <n v="0"/>
    <n v="0"/>
    <n v="0"/>
    <n v="0"/>
    <n v="0"/>
    <n v="0"/>
    <n v="0"/>
    <n v="0"/>
    <n v="0"/>
    <n v="0"/>
    <n v="0"/>
    <n v="0"/>
    <n v="0"/>
    <n v="0"/>
    <n v="0"/>
    <n v="0"/>
    <n v="0"/>
    <x v="5"/>
    <x v="0"/>
    <x v="0"/>
    <x v="0"/>
    <x v="0"/>
    <m/>
    <x v="0"/>
    <x v="0"/>
    <n v="6"/>
    <m/>
    <m/>
    <n v="1"/>
    <n v="1"/>
    <n v="1"/>
    <n v="1"/>
    <m/>
    <m/>
    <m/>
    <m/>
    <m/>
    <m/>
    <m/>
    <m/>
    <m/>
    <m/>
    <m/>
    <m/>
    <m/>
    <m/>
    <m/>
    <n v="4"/>
    <n v="4"/>
  </r>
  <r>
    <n v="7211"/>
    <x v="2"/>
    <s v="2019/5582"/>
    <s v="916 Garratt Lane"/>
    <m/>
    <n v="527235"/>
    <n v="171597"/>
    <x v="1"/>
    <m/>
    <m/>
    <n v="0"/>
    <n v="1"/>
    <n v="1"/>
    <n v="1"/>
    <n v="1"/>
    <x v="0"/>
    <s v="Demolition of existing buildings and erection of single-storey building plus basement to form 1x2-bedroom flat"/>
    <s v="PF"/>
    <d v="2020-01-21T00:00:00"/>
    <d v="2020-02-21T00:00:00"/>
    <x v="1"/>
    <s v="Nil"/>
    <m/>
    <s v="BF"/>
    <s v="NB"/>
    <x v="0"/>
    <x v="5"/>
    <n v="8.9999996125698107E-3"/>
    <m/>
    <x v="0"/>
    <m/>
    <x v="0"/>
    <s v="M"/>
    <m/>
    <m/>
    <n v="0"/>
    <n v="0"/>
    <n v="0"/>
    <n v="0"/>
    <n v="0"/>
    <n v="0"/>
    <n v="1"/>
    <n v="0"/>
    <n v="0"/>
    <n v="0"/>
    <n v="0"/>
    <n v="0"/>
    <n v="0"/>
    <n v="1"/>
    <n v="0"/>
    <n v="0"/>
    <n v="0"/>
    <n v="0"/>
    <n v="0"/>
    <n v="0"/>
    <n v="0"/>
    <n v="0"/>
    <n v="0"/>
    <n v="0"/>
    <n v="0"/>
    <n v="0"/>
    <n v="0"/>
    <n v="0"/>
    <n v="0"/>
    <n v="0"/>
    <n v="0"/>
    <n v="0"/>
    <x v="0"/>
    <x v="0"/>
    <x v="0"/>
    <x v="0"/>
    <x v="0"/>
    <m/>
    <x v="0"/>
    <x v="0"/>
    <n v="6"/>
    <m/>
    <m/>
    <n v="0.25"/>
    <n v="0.25"/>
    <n v="0.25"/>
    <n v="0.25"/>
    <m/>
    <m/>
    <m/>
    <m/>
    <m/>
    <m/>
    <m/>
    <m/>
    <m/>
    <m/>
    <m/>
    <m/>
    <m/>
    <m/>
    <m/>
    <n v="1"/>
    <n v="1"/>
  </r>
  <r>
    <n v="7212"/>
    <x v="2"/>
    <s v="2019/1993"/>
    <s v="19 Roedean Crescent"/>
    <m/>
    <n v="521190"/>
    <n v="174507"/>
    <x v="13"/>
    <m/>
    <m/>
    <n v="1"/>
    <n v="1"/>
    <n v="0"/>
    <n v="1"/>
    <n v="0"/>
    <x v="0"/>
    <s v="Demolition of existing building and erection of a two-storey (plus basement and roof levels) 6-bedroom detached house with rear first floor terrace."/>
    <s v="PF"/>
    <d v="2019-05-28T00:00:00"/>
    <d v="2019-08-29T00:00:00"/>
    <x v="1"/>
    <s v="Nil"/>
    <m/>
    <s v="BF"/>
    <s v="NB"/>
    <x v="0"/>
    <x v="5"/>
    <n v="0.12600000202655801"/>
    <m/>
    <x v="0"/>
    <m/>
    <x v="0"/>
    <s v="M"/>
    <m/>
    <m/>
    <n v="0"/>
    <n v="0"/>
    <n v="0"/>
    <n v="0"/>
    <n v="0"/>
    <n v="0"/>
    <n v="0"/>
    <n v="0"/>
    <n v="0"/>
    <n v="0"/>
    <n v="0"/>
    <n v="0"/>
    <n v="0"/>
    <n v="0"/>
    <n v="0"/>
    <n v="0"/>
    <n v="0"/>
    <n v="0"/>
    <n v="0"/>
    <n v="0"/>
    <n v="0"/>
    <n v="0"/>
    <n v="0"/>
    <n v="0"/>
    <n v="0"/>
    <n v="0"/>
    <n v="0"/>
    <n v="0"/>
    <n v="0"/>
    <n v="0"/>
    <n v="0"/>
    <n v="0"/>
    <x v="0"/>
    <x v="0"/>
    <x v="0"/>
    <x v="0"/>
    <x v="0"/>
    <m/>
    <x v="0"/>
    <x v="0"/>
    <n v="6"/>
    <m/>
    <m/>
    <n v="0"/>
    <n v="0"/>
    <n v="0"/>
    <n v="0"/>
    <m/>
    <m/>
    <m/>
    <m/>
    <m/>
    <m/>
    <m/>
    <m/>
    <m/>
    <m/>
    <m/>
    <m/>
    <m/>
    <m/>
    <m/>
    <n v="0"/>
    <n v="0"/>
  </r>
  <r>
    <n v="7213"/>
    <x v="2"/>
    <s v="2019/2315"/>
    <s v="94 Balham High Road"/>
    <m/>
    <n v="528646"/>
    <n v="173527"/>
    <x v="6"/>
    <m/>
    <m/>
    <n v="0"/>
    <n v="1"/>
    <n v="1"/>
    <n v="2"/>
    <n v="2"/>
    <x v="0"/>
    <s v="Alterations including erection of mansard roof extension to main rear roof; excavation works to enlarge lower ground floor and part single, part two, part three storey rear and side extensions; formation of rear roof terrace at second floor level with 1.7m high obscured glazed screening in connection with reconfiguration and enlargement of social club (Class D1) and change of use of second floor from D1 to C3 in connection with creation of 2 x 1-bedroom and 1 x studio flats."/>
    <s v="PF"/>
    <d v="2019-08-02T00:00:00"/>
    <d v="2019-10-18T00:00:00"/>
    <x v="1"/>
    <s v="Nil"/>
    <m/>
    <s v="BF"/>
    <s v="MIX"/>
    <x v="0"/>
    <x v="1"/>
    <n v="2.0000000949949E-3"/>
    <m/>
    <x v="0"/>
    <m/>
    <x v="0"/>
    <s v="M"/>
    <m/>
    <m/>
    <n v="0"/>
    <n v="0"/>
    <n v="0"/>
    <n v="0"/>
    <n v="0"/>
    <n v="1"/>
    <n v="0"/>
    <n v="0"/>
    <n v="0"/>
    <n v="0"/>
    <n v="0"/>
    <n v="0"/>
    <n v="1"/>
    <n v="0"/>
    <n v="0"/>
    <n v="0"/>
    <n v="0"/>
    <n v="0"/>
    <n v="0"/>
    <n v="0"/>
    <n v="0"/>
    <n v="0"/>
    <n v="0"/>
    <n v="0"/>
    <n v="0"/>
    <n v="0"/>
    <n v="0"/>
    <n v="0"/>
    <n v="0"/>
    <n v="0"/>
    <n v="0"/>
    <n v="0"/>
    <x v="5"/>
    <x v="0"/>
    <x v="0"/>
    <x v="0"/>
    <x v="0"/>
    <m/>
    <x v="0"/>
    <x v="0"/>
    <n v="15"/>
    <m/>
    <n v="0.33333333333333331"/>
    <n v="0.33333333333333331"/>
    <n v="0.33333333333333331"/>
    <m/>
    <m/>
    <m/>
    <m/>
    <m/>
    <m/>
    <m/>
    <m/>
    <m/>
    <m/>
    <m/>
    <m/>
    <m/>
    <m/>
    <m/>
    <m/>
    <m/>
    <n v="1"/>
    <n v="1"/>
  </r>
  <r>
    <n v="7213"/>
    <x v="2"/>
    <s v="2019/2315"/>
    <s v="94 Balham High Road"/>
    <m/>
    <n v="528646"/>
    <n v="173527"/>
    <x v="6"/>
    <m/>
    <m/>
    <n v="0"/>
    <n v="1"/>
    <n v="1"/>
    <n v="2"/>
    <n v="2"/>
    <x v="0"/>
    <s v="Alterations including erection of mansard roof extension to main rear roof; excavation works to enlarge lower ground floor and part single, part two, part three storey rear and side extensions; formation of rear roof terrace at second floor level with 1.7m high obscured glazed screening in connection with reconfiguration and enlargement of social club (Class D1) and change of use of second floor from D1 to C3 in connection with creation of 2 x 1-bedroom and 1 x studio flats."/>
    <s v="PF"/>
    <d v="2019-08-02T00:00:00"/>
    <d v="2019-10-18T00:00:00"/>
    <x v="1"/>
    <s v="Nil"/>
    <m/>
    <s v="BF"/>
    <s v="MIX"/>
    <x v="0"/>
    <x v="3"/>
    <n v="1.00000004749745E-3"/>
    <m/>
    <x v="0"/>
    <m/>
    <x v="0"/>
    <s v="M"/>
    <m/>
    <m/>
    <n v="0"/>
    <n v="0"/>
    <n v="0"/>
    <n v="0"/>
    <n v="1"/>
    <n v="0"/>
    <n v="0"/>
    <n v="0"/>
    <n v="0"/>
    <n v="0"/>
    <n v="0"/>
    <n v="1"/>
    <n v="0"/>
    <n v="0"/>
    <n v="0"/>
    <n v="0"/>
    <n v="0"/>
    <n v="0"/>
    <n v="0"/>
    <n v="0"/>
    <n v="0"/>
    <n v="0"/>
    <n v="0"/>
    <n v="0"/>
    <n v="0"/>
    <n v="0"/>
    <n v="0"/>
    <n v="0"/>
    <n v="0"/>
    <n v="0"/>
    <n v="0"/>
    <n v="0"/>
    <x v="5"/>
    <x v="0"/>
    <x v="0"/>
    <x v="0"/>
    <x v="0"/>
    <m/>
    <x v="0"/>
    <x v="0"/>
    <n v="15"/>
    <m/>
    <n v="0.33333333333333331"/>
    <n v="0.33333333333333331"/>
    <n v="0.33333333333333331"/>
    <m/>
    <m/>
    <m/>
    <m/>
    <m/>
    <m/>
    <m/>
    <m/>
    <m/>
    <m/>
    <m/>
    <m/>
    <m/>
    <m/>
    <m/>
    <m/>
    <m/>
    <n v="1"/>
    <n v="1"/>
  </r>
  <r>
    <n v="7221"/>
    <x v="2"/>
    <s v="2019/3302"/>
    <s v="74 Brookwood Road"/>
    <m/>
    <n v="525047"/>
    <n v="173143"/>
    <x v="14"/>
    <m/>
    <m/>
    <n v="0"/>
    <n v="1"/>
    <n v="1"/>
    <n v="1"/>
    <n v="1"/>
    <x v="0"/>
    <s v="Determination as to whether prior approval is required for change of use from Shop (A1) to Residental (C3)."/>
    <s v="PANR"/>
    <d v="2019-08-02T00:00:00"/>
    <d v="2019-09-25T00:00:00"/>
    <x v="1"/>
    <s v="Nil"/>
    <m/>
    <s v="BF"/>
    <s v="COU"/>
    <x v="0"/>
    <x v="4"/>
    <n v="6.0000000521540598E-3"/>
    <m/>
    <x v="0"/>
    <m/>
    <x v="0"/>
    <s v="M"/>
    <m/>
    <m/>
    <n v="0"/>
    <n v="0"/>
    <n v="0"/>
    <n v="0"/>
    <n v="0"/>
    <n v="0"/>
    <n v="0"/>
    <n v="1"/>
    <n v="0"/>
    <n v="0"/>
    <n v="0"/>
    <n v="0"/>
    <n v="0"/>
    <n v="0"/>
    <n v="1"/>
    <n v="0"/>
    <n v="0"/>
    <n v="0"/>
    <n v="0"/>
    <n v="0"/>
    <n v="0"/>
    <n v="0"/>
    <n v="0"/>
    <n v="0"/>
    <n v="0"/>
    <n v="0"/>
    <n v="0"/>
    <n v="0"/>
    <n v="0"/>
    <n v="0"/>
    <n v="0"/>
    <n v="0"/>
    <x v="0"/>
    <x v="0"/>
    <x v="0"/>
    <x v="0"/>
    <x v="0"/>
    <m/>
    <x v="0"/>
    <x v="0"/>
    <n v="15"/>
    <m/>
    <n v="0.33333333333333331"/>
    <n v="0.33333333333333331"/>
    <n v="0.33333333333333331"/>
    <m/>
    <m/>
    <m/>
    <m/>
    <m/>
    <m/>
    <m/>
    <m/>
    <m/>
    <m/>
    <m/>
    <m/>
    <m/>
    <m/>
    <m/>
    <m/>
    <m/>
    <n v="1"/>
    <n v="1"/>
  </r>
  <r>
    <n v="7232"/>
    <x v="2"/>
    <s v="2019/3241"/>
    <s v="87 Nightingale Lane"/>
    <m/>
    <n v="528139"/>
    <n v="173962"/>
    <x v="3"/>
    <m/>
    <m/>
    <n v="1"/>
    <n v="2"/>
    <n v="1"/>
    <n v="2"/>
    <n v="1"/>
    <x v="0"/>
    <s v="Conversion of first and second floors to 2 x 1-bedroom flats."/>
    <s v="PF"/>
    <d v="2019-08-20T00:00:00"/>
    <d v="2019-10-02T00:00:00"/>
    <x v="1"/>
    <s v="Nil"/>
    <m/>
    <s v="BF"/>
    <s v="CON"/>
    <x v="0"/>
    <x v="0"/>
    <n v="8.9999996125698107E-3"/>
    <m/>
    <x v="0"/>
    <m/>
    <x v="0"/>
    <s v="M"/>
    <m/>
    <m/>
    <n v="0"/>
    <n v="0"/>
    <n v="0"/>
    <n v="0"/>
    <n v="0"/>
    <n v="2"/>
    <n v="0"/>
    <n v="-1"/>
    <n v="0"/>
    <n v="0"/>
    <n v="0"/>
    <n v="0"/>
    <n v="2"/>
    <n v="0"/>
    <n v="-1"/>
    <n v="0"/>
    <n v="0"/>
    <n v="0"/>
    <n v="0"/>
    <n v="0"/>
    <n v="0"/>
    <n v="0"/>
    <n v="0"/>
    <n v="0"/>
    <n v="0"/>
    <n v="0"/>
    <n v="0"/>
    <n v="0"/>
    <n v="0"/>
    <n v="0"/>
    <n v="0"/>
    <n v="0"/>
    <x v="0"/>
    <x v="0"/>
    <x v="0"/>
    <x v="0"/>
    <x v="0"/>
    <m/>
    <x v="0"/>
    <x v="0"/>
    <n v="15"/>
    <m/>
    <n v="0.33333333333333331"/>
    <n v="0.33333333333333331"/>
    <n v="0.33333333333333331"/>
    <m/>
    <m/>
    <m/>
    <m/>
    <m/>
    <m/>
    <m/>
    <m/>
    <m/>
    <m/>
    <m/>
    <m/>
    <m/>
    <m/>
    <m/>
    <m/>
    <m/>
    <n v="1"/>
    <n v="1"/>
  </r>
  <r>
    <n v="7233"/>
    <x v="2"/>
    <s v="2019/3388"/>
    <s v="77 Broomwood Road"/>
    <m/>
    <n v="527787"/>
    <n v="174343"/>
    <x v="4"/>
    <m/>
    <m/>
    <n v="3"/>
    <n v="3"/>
    <n v="0"/>
    <n v="4"/>
    <n v="1"/>
    <x v="0"/>
    <s v="Alterations including erection of dormer roof extensions to side and rear roof (with french doors and safety railings); erection of part single, part three-storey front, side and rear extension; excavation to enlarge basement including formation front lightwell; all in connection with the conversion of 2 x 1 bedroom flats and 1 x 3 bedroom flat into 3 x 2 bedroom flats and 1 x 3 bedroom flat."/>
    <s v="PF"/>
    <d v="2019-08-19T00:00:00"/>
    <d v="2019-09-27T00:00:00"/>
    <x v="1"/>
    <s v="Nil"/>
    <m/>
    <s v="BF"/>
    <s v="MIX"/>
    <x v="0"/>
    <x v="3"/>
    <n v="2.3000000044703501E-2"/>
    <m/>
    <x v="0"/>
    <m/>
    <x v="0"/>
    <s v="M"/>
    <m/>
    <m/>
    <n v="0"/>
    <n v="0"/>
    <n v="0"/>
    <n v="0"/>
    <n v="0"/>
    <n v="-2"/>
    <n v="3"/>
    <n v="-1"/>
    <n v="0"/>
    <n v="0"/>
    <n v="0"/>
    <n v="0"/>
    <n v="-2"/>
    <n v="3"/>
    <n v="-1"/>
    <n v="0"/>
    <n v="0"/>
    <n v="0"/>
    <n v="0"/>
    <n v="0"/>
    <n v="0"/>
    <n v="0"/>
    <n v="0"/>
    <n v="0"/>
    <n v="0"/>
    <n v="0"/>
    <n v="0"/>
    <n v="0"/>
    <n v="0"/>
    <n v="0"/>
    <n v="0"/>
    <n v="0"/>
    <x v="0"/>
    <x v="0"/>
    <x v="0"/>
    <x v="0"/>
    <x v="0"/>
    <m/>
    <x v="0"/>
    <x v="0"/>
    <n v="15"/>
    <m/>
    <n v="0"/>
    <n v="0"/>
    <n v="0"/>
    <m/>
    <m/>
    <m/>
    <m/>
    <m/>
    <m/>
    <m/>
    <m/>
    <m/>
    <m/>
    <m/>
    <m/>
    <m/>
    <m/>
    <m/>
    <m/>
    <m/>
    <n v="0"/>
    <n v="0"/>
  </r>
  <r>
    <n v="7233"/>
    <x v="2"/>
    <s v="2019/3388"/>
    <s v="77 Broomwood Road"/>
    <m/>
    <n v="527787"/>
    <n v="174343"/>
    <x v="4"/>
    <m/>
    <m/>
    <n v="0"/>
    <n v="1"/>
    <n v="1"/>
    <n v="4"/>
    <n v="1"/>
    <x v="0"/>
    <s v="Alterations including erection of dormer roof extensions to side and rear roof (with french doors and safety railings); erection of part single, part three-storey front, side and rear extension; excavation to enlarge basement including formation front lightwell; all in connection with the conversion of 2 x 1 bedroom flats and 1 x 3 bedroom flat into 3 x 2 bedroom flats and 1 x 3 bedroom flat."/>
    <s v="PF"/>
    <d v="2019-08-19T00:00:00"/>
    <d v="2019-09-27T00:00:00"/>
    <x v="1"/>
    <s v="Nil"/>
    <m/>
    <s v="BF"/>
    <s v="MIX"/>
    <x v="0"/>
    <x v="0"/>
    <n v="4.9999998882412902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235"/>
    <x v="2"/>
    <s v="2019/3539"/>
    <s v="95-97 Putney High Street"/>
    <m/>
    <n v="524049"/>
    <n v="175301"/>
    <x v="0"/>
    <m/>
    <m/>
    <n v="2"/>
    <n v="0"/>
    <n v="-2"/>
    <n v="0"/>
    <n v="-2"/>
    <x v="0"/>
    <s v="Erection of single to three-storey rear and side extensions and formation of roof terraces at first and  third floor levels in connection with use of the upper floors as a 19 person HMO (Sui Generis) with refuse and cycle storage at the rear; restoration of the facade of No. 95."/>
    <s v="PF"/>
    <d v="2019-08-21T00:00:00"/>
    <d v="2019-10-16T00:00:00"/>
    <x v="1"/>
    <s v="Nil"/>
    <m/>
    <s v="BF"/>
    <s v="MIX"/>
    <x v="0"/>
    <x v="11"/>
    <n v="1.8999999389052401E-2"/>
    <m/>
    <x v="0"/>
    <m/>
    <x v="0"/>
    <s v="M"/>
    <m/>
    <m/>
    <n v="0"/>
    <n v="0"/>
    <n v="0"/>
    <n v="0"/>
    <n v="0"/>
    <n v="0"/>
    <n v="0"/>
    <n v="0"/>
    <n v="-2"/>
    <n v="0"/>
    <n v="0"/>
    <n v="0"/>
    <n v="0"/>
    <n v="0"/>
    <n v="0"/>
    <n v="-2"/>
    <n v="0"/>
    <n v="0"/>
    <n v="0"/>
    <n v="0"/>
    <n v="0"/>
    <n v="0"/>
    <n v="0"/>
    <n v="0"/>
    <n v="0"/>
    <n v="0"/>
    <n v="0"/>
    <n v="0"/>
    <n v="0"/>
    <n v="0"/>
    <n v="0"/>
    <n v="0"/>
    <x v="2"/>
    <x v="0"/>
    <x v="0"/>
    <x v="0"/>
    <x v="0"/>
    <m/>
    <x v="0"/>
    <x v="0"/>
    <n v="15"/>
    <m/>
    <n v="-0.66666666666666663"/>
    <n v="-0.66666666666666663"/>
    <n v="-0.66666666666666663"/>
    <m/>
    <m/>
    <m/>
    <m/>
    <m/>
    <m/>
    <m/>
    <m/>
    <m/>
    <m/>
    <m/>
    <m/>
    <m/>
    <m/>
    <m/>
    <m/>
    <m/>
    <n v="-2"/>
    <n v="-2"/>
  </r>
  <r>
    <n v="7239"/>
    <x v="2"/>
    <s v="2019/3522"/>
    <s v="26a Replingham Road"/>
    <m/>
    <n v="524869"/>
    <n v="173278"/>
    <x v="14"/>
    <m/>
    <m/>
    <n v="0"/>
    <n v="1"/>
    <n v="1"/>
    <n v="2"/>
    <n v="1"/>
    <x v="0"/>
    <s v="Alterations including erection of mansard roof extension to main rear roof (with French doors and safety railings) and extension above part of two-storey back addition in connection with conversion of flat into 2 x1bedroom flats."/>
    <s v="PF"/>
    <d v="2019-08-27T00:00:00"/>
    <d v="2019-10-16T00:00:00"/>
    <x v="1"/>
    <s v="Nil"/>
    <m/>
    <s v="BF"/>
    <s v="MIX"/>
    <x v="0"/>
    <x v="3"/>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239"/>
    <x v="2"/>
    <s v="2019/3522"/>
    <s v="26a Replingham Road"/>
    <m/>
    <n v="524869"/>
    <n v="173278"/>
    <x v="14"/>
    <m/>
    <m/>
    <n v="1"/>
    <n v="1"/>
    <n v="0"/>
    <n v="2"/>
    <n v="1"/>
    <x v="0"/>
    <s v="Alterations including erection of mansard roof extension to main rear roof (with French doors and safety railings) and extension above part of two-storey back addition in connection with conversion of flat into 2 x1bedroom flats."/>
    <s v="PF"/>
    <d v="2019-08-27T00:00:00"/>
    <d v="2019-10-16T00:00:00"/>
    <x v="1"/>
    <s v="Nil"/>
    <m/>
    <s v="BF"/>
    <s v="MIX"/>
    <x v="0"/>
    <x v="0"/>
    <n v="4.9999998882412902E-3"/>
    <m/>
    <x v="0"/>
    <m/>
    <x v="0"/>
    <s v="M"/>
    <m/>
    <m/>
    <n v="0"/>
    <n v="0"/>
    <n v="0"/>
    <n v="0"/>
    <n v="0"/>
    <n v="1"/>
    <n v="-1"/>
    <n v="0"/>
    <n v="0"/>
    <n v="0"/>
    <n v="0"/>
    <n v="0"/>
    <n v="1"/>
    <n v="-1"/>
    <n v="0"/>
    <n v="0"/>
    <n v="0"/>
    <n v="0"/>
    <n v="0"/>
    <n v="0"/>
    <n v="0"/>
    <n v="0"/>
    <n v="0"/>
    <n v="0"/>
    <n v="0"/>
    <n v="0"/>
    <n v="0"/>
    <n v="0"/>
    <n v="0"/>
    <n v="0"/>
    <n v="0"/>
    <n v="0"/>
    <x v="0"/>
    <x v="0"/>
    <x v="0"/>
    <x v="0"/>
    <x v="0"/>
    <m/>
    <x v="0"/>
    <x v="0"/>
    <n v="15"/>
    <m/>
    <n v="0"/>
    <n v="0"/>
    <n v="0"/>
    <m/>
    <m/>
    <m/>
    <m/>
    <m/>
    <m/>
    <m/>
    <m/>
    <m/>
    <m/>
    <m/>
    <m/>
    <m/>
    <m/>
    <m/>
    <m/>
    <m/>
    <n v="0"/>
    <n v="0"/>
  </r>
  <r>
    <n v="7245"/>
    <x v="2"/>
    <s v="2019/3563"/>
    <s v="58a Gosberton Road"/>
    <m/>
    <n v="528090"/>
    <n v="173486"/>
    <x v="3"/>
    <m/>
    <m/>
    <n v="0"/>
    <n v="2"/>
    <n v="2"/>
    <n v="2"/>
    <n v="2"/>
    <x v="0"/>
    <s v="Determination as to whether prior approval is required for change of use from retail (Class A1) to 2 x studio flats (Class C3) with associated external alterations to front and side elevations."/>
    <s v="PANR"/>
    <d v="2019-09-12T00:00:00"/>
    <d v="2019-11-04T00:00:00"/>
    <x v="1"/>
    <s v="Nil"/>
    <m/>
    <s v="BF"/>
    <s v="COU"/>
    <x v="0"/>
    <x v="4"/>
    <n v="7.0000002160668399E-3"/>
    <m/>
    <x v="0"/>
    <m/>
    <x v="0"/>
    <s v="M"/>
    <m/>
    <m/>
    <n v="0"/>
    <n v="0"/>
    <n v="0"/>
    <n v="0"/>
    <n v="2"/>
    <n v="0"/>
    <n v="0"/>
    <n v="0"/>
    <n v="0"/>
    <n v="0"/>
    <n v="0"/>
    <n v="2"/>
    <n v="0"/>
    <n v="0"/>
    <n v="0"/>
    <n v="0"/>
    <n v="0"/>
    <n v="0"/>
    <n v="0"/>
    <n v="0"/>
    <n v="0"/>
    <n v="0"/>
    <n v="0"/>
    <n v="0"/>
    <n v="0"/>
    <n v="0"/>
    <n v="0"/>
    <n v="0"/>
    <n v="0"/>
    <n v="0"/>
    <n v="0"/>
    <n v="0"/>
    <x v="0"/>
    <x v="0"/>
    <x v="0"/>
    <x v="0"/>
    <x v="0"/>
    <m/>
    <x v="0"/>
    <x v="0"/>
    <n v="15"/>
    <m/>
    <n v="0.66666666666666663"/>
    <n v="0.66666666666666663"/>
    <n v="0.66666666666666663"/>
    <m/>
    <m/>
    <m/>
    <m/>
    <m/>
    <m/>
    <m/>
    <m/>
    <m/>
    <m/>
    <m/>
    <m/>
    <m/>
    <m/>
    <m/>
    <m/>
    <m/>
    <n v="2"/>
    <n v="2"/>
  </r>
  <r>
    <n v="7250"/>
    <x v="2"/>
    <s v="2019/3718"/>
    <s v="260 Upper Tooting Road"/>
    <m/>
    <n v="527560"/>
    <n v="171688"/>
    <x v="1"/>
    <m/>
    <m/>
    <n v="0"/>
    <n v="3"/>
    <n v="3"/>
    <n v="4"/>
    <n v="4"/>
    <x v="0"/>
    <s v="Alterations in connection with change of use of first, second and third floors from retail (Class A1) to residential (Class C3) and erection of part single, part two, part three, part four storey rear extension to create 1 x studio, 2 x one bedroom and 1 x two bedroom flats with associated roof terraces and provision of new access  via adjoining 262 Upper Tooting Road. Provision of bin and cycle storage."/>
    <s v="PF"/>
    <d v="2019-09-11T00:00:00"/>
    <d v="2020-02-05T00:00:00"/>
    <x v="1"/>
    <s v="Nil"/>
    <m/>
    <s v="BF"/>
    <s v="MIX"/>
    <x v="0"/>
    <x v="4"/>
    <n v="4.0000001899898104E-3"/>
    <m/>
    <x v="0"/>
    <m/>
    <x v="0"/>
    <s v="M"/>
    <m/>
    <m/>
    <n v="0"/>
    <n v="0"/>
    <n v="0"/>
    <n v="0"/>
    <n v="0"/>
    <n v="2"/>
    <n v="1"/>
    <n v="0"/>
    <n v="0"/>
    <n v="0"/>
    <n v="0"/>
    <n v="0"/>
    <n v="2"/>
    <n v="1"/>
    <n v="0"/>
    <n v="0"/>
    <n v="0"/>
    <n v="0"/>
    <n v="0"/>
    <n v="0"/>
    <n v="0"/>
    <n v="0"/>
    <n v="0"/>
    <n v="0"/>
    <n v="0"/>
    <n v="0"/>
    <n v="0"/>
    <n v="0"/>
    <n v="0"/>
    <n v="0"/>
    <n v="0"/>
    <n v="0"/>
    <x v="4"/>
    <x v="0"/>
    <x v="0"/>
    <x v="0"/>
    <x v="0"/>
    <m/>
    <x v="0"/>
    <x v="0"/>
    <n v="15"/>
    <m/>
    <n v="1"/>
    <n v="1"/>
    <n v="1"/>
    <m/>
    <m/>
    <m/>
    <m/>
    <m/>
    <m/>
    <m/>
    <m/>
    <m/>
    <m/>
    <m/>
    <m/>
    <m/>
    <m/>
    <m/>
    <m/>
    <m/>
    <n v="3"/>
    <n v="3"/>
  </r>
  <r>
    <n v="7250"/>
    <x v="2"/>
    <s v="2019/3718"/>
    <s v="260 Upper Tooting Road"/>
    <m/>
    <n v="527560"/>
    <n v="171688"/>
    <x v="1"/>
    <m/>
    <m/>
    <n v="0"/>
    <n v="1"/>
    <n v="1"/>
    <n v="4"/>
    <n v="4"/>
    <x v="0"/>
    <s v="Alterations in connection with change of use of first, second and third floors from retail (Class A1) to residential (Class C3) and erection of part single, part two, part three, part four storey rear extension to create 1 x studio, 2 x one bedroom and 1 x two bedroom flats with associated roof terraces and provision of new access  via adjoining 262 Upper Tooting Road. Provision of bin and cycle storage."/>
    <s v="PF"/>
    <d v="2019-09-11T00:00:00"/>
    <d v="2020-02-05T00:00:00"/>
    <x v="1"/>
    <s v="Nil"/>
    <m/>
    <s v="BF"/>
    <s v="MIX"/>
    <x v="0"/>
    <x v="3"/>
    <n v="1.00000004749745E-3"/>
    <m/>
    <x v="0"/>
    <m/>
    <x v="0"/>
    <s v="M"/>
    <m/>
    <m/>
    <n v="0"/>
    <n v="0"/>
    <n v="0"/>
    <n v="0"/>
    <n v="1"/>
    <n v="0"/>
    <n v="0"/>
    <n v="0"/>
    <n v="0"/>
    <n v="0"/>
    <n v="0"/>
    <n v="1"/>
    <n v="0"/>
    <n v="0"/>
    <n v="0"/>
    <n v="0"/>
    <n v="0"/>
    <n v="0"/>
    <n v="0"/>
    <n v="0"/>
    <n v="0"/>
    <n v="0"/>
    <n v="0"/>
    <n v="0"/>
    <n v="0"/>
    <n v="0"/>
    <n v="0"/>
    <n v="0"/>
    <n v="0"/>
    <n v="0"/>
    <n v="0"/>
    <n v="0"/>
    <x v="4"/>
    <x v="0"/>
    <x v="0"/>
    <x v="0"/>
    <x v="0"/>
    <m/>
    <x v="0"/>
    <x v="0"/>
    <n v="15"/>
    <m/>
    <n v="0.33333333333333331"/>
    <n v="0.33333333333333331"/>
    <n v="0.33333333333333331"/>
    <m/>
    <m/>
    <m/>
    <m/>
    <m/>
    <m/>
    <m/>
    <m/>
    <m/>
    <m/>
    <m/>
    <m/>
    <m/>
    <m/>
    <m/>
    <m/>
    <m/>
    <n v="1"/>
    <n v="1"/>
  </r>
  <r>
    <n v="7252"/>
    <x v="2"/>
    <s v="2019/3708"/>
    <s v="5 Denton Street"/>
    <m/>
    <n v="525925"/>
    <n v="174394"/>
    <x v="2"/>
    <m/>
    <m/>
    <n v="0"/>
    <n v="1"/>
    <n v="1"/>
    <n v="1"/>
    <n v="1"/>
    <x v="0"/>
    <s v="Alterations including erection of roof extension to main rear roof (with French doors and safety railings) and extension above part of two-storey back addition (both sides); raising of the ridge height by 278mm; formation of roof terrace above part of two-storey back addition with 1.7m high screen surround in connection with creation of 1 x 2 bedroom flat."/>
    <s v="PF"/>
    <d v="2019-09-18T00:00:00"/>
    <d v="2019-12-11T00:00:00"/>
    <x v="1"/>
    <s v="Nil"/>
    <m/>
    <s v="BF"/>
    <s v="EXT"/>
    <x v="0"/>
    <x v="3"/>
    <n v="3.000000026077029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256"/>
    <x v="2"/>
    <s v="2019/3812"/>
    <s v="17 Sangora Road"/>
    <m/>
    <n v="526975"/>
    <n v="175105"/>
    <x v="2"/>
    <m/>
    <m/>
    <n v="1"/>
    <n v="2"/>
    <n v="1"/>
    <n v="3"/>
    <n v="1"/>
    <x v="0"/>
    <s v="Alterations including erection of mansard roof extension to main rear roof (with French doors and safety railings) including formation of roof terrace above four-storey back addition with 1.2m high screen surround; erection of single-storey rear/ side extension. Excavation to enlarge basement in connection with the conversion of property into 1 x 1bedroom flat, 1 x 2 bedroom flat and 1 x 3 bedroom flat."/>
    <s v="PF"/>
    <d v="2019-09-24T00:00:00"/>
    <d v="2019-10-29T00:00:00"/>
    <x v="1"/>
    <s v="Nil"/>
    <m/>
    <s v="BF"/>
    <s v="MIX"/>
    <x v="0"/>
    <x v="2"/>
    <n v="8.9999996125698107E-3"/>
    <m/>
    <x v="0"/>
    <m/>
    <x v="0"/>
    <s v="M"/>
    <m/>
    <m/>
    <n v="0"/>
    <n v="0"/>
    <n v="0"/>
    <n v="0"/>
    <n v="0"/>
    <n v="0"/>
    <n v="1"/>
    <n v="1"/>
    <n v="0"/>
    <n v="-1"/>
    <n v="0"/>
    <n v="0"/>
    <n v="0"/>
    <n v="1"/>
    <n v="1"/>
    <n v="0"/>
    <n v="0"/>
    <n v="0"/>
    <n v="0"/>
    <n v="0"/>
    <n v="0"/>
    <n v="0"/>
    <n v="0"/>
    <n v="-1"/>
    <n v="0"/>
    <n v="0"/>
    <n v="0"/>
    <n v="0"/>
    <n v="0"/>
    <n v="0"/>
    <n v="0"/>
    <n v="0"/>
    <x v="0"/>
    <x v="0"/>
    <x v="0"/>
    <x v="0"/>
    <x v="0"/>
    <m/>
    <x v="0"/>
    <x v="0"/>
    <n v="15"/>
    <m/>
    <n v="0.33333333333333331"/>
    <n v="0.33333333333333331"/>
    <n v="0.33333333333333331"/>
    <m/>
    <m/>
    <m/>
    <m/>
    <m/>
    <m/>
    <m/>
    <m/>
    <m/>
    <m/>
    <m/>
    <m/>
    <m/>
    <m/>
    <m/>
    <m/>
    <m/>
    <n v="1"/>
    <n v="1"/>
  </r>
  <r>
    <n v="7256"/>
    <x v="2"/>
    <s v="2019/3812"/>
    <s v="17 Sangora Road"/>
    <m/>
    <n v="526975"/>
    <n v="175105"/>
    <x v="2"/>
    <m/>
    <m/>
    <n v="1"/>
    <n v="1"/>
    <n v="0"/>
    <n v="3"/>
    <n v="1"/>
    <x v="0"/>
    <s v="Alterations including erection of mansard roof extension to main rear roof (with French doors and safety railings) including formation of roof terrace above four-storey back addition with 1.2m high screen surround; erection of single-storey rear/ side extension. Excavation to enlarge basement in connection with the conversion of property into 1 x 1bedroom flat, 1 x 2 bedroom flat and 1 x 3 bedroom flat."/>
    <s v="PF"/>
    <d v="2019-09-24T00:00:00"/>
    <d v="2019-10-29T00:00:00"/>
    <x v="1"/>
    <s v="Nil"/>
    <m/>
    <s v="BF"/>
    <s v="MIX"/>
    <x v="0"/>
    <x v="3"/>
    <n v="2.0000000949949E-3"/>
    <m/>
    <x v="0"/>
    <m/>
    <x v="0"/>
    <s v="M"/>
    <m/>
    <m/>
    <n v="0"/>
    <n v="0"/>
    <n v="0"/>
    <n v="0"/>
    <n v="0"/>
    <n v="1"/>
    <n v="0"/>
    <n v="0"/>
    <n v="0"/>
    <n v="-1"/>
    <n v="0"/>
    <n v="0"/>
    <n v="1"/>
    <n v="0"/>
    <n v="0"/>
    <n v="0"/>
    <n v="0"/>
    <n v="0"/>
    <n v="0"/>
    <n v="0"/>
    <n v="0"/>
    <n v="0"/>
    <n v="0"/>
    <n v="-1"/>
    <n v="0"/>
    <n v="0"/>
    <n v="0"/>
    <n v="0"/>
    <n v="0"/>
    <n v="0"/>
    <n v="0"/>
    <n v="0"/>
    <x v="0"/>
    <x v="0"/>
    <x v="0"/>
    <x v="0"/>
    <x v="0"/>
    <m/>
    <x v="0"/>
    <x v="0"/>
    <n v="15"/>
    <m/>
    <n v="0"/>
    <n v="0"/>
    <n v="0"/>
    <m/>
    <m/>
    <m/>
    <m/>
    <m/>
    <m/>
    <m/>
    <m/>
    <m/>
    <m/>
    <m/>
    <m/>
    <m/>
    <m/>
    <m/>
    <m/>
    <m/>
    <n v="0"/>
    <n v="0"/>
  </r>
  <r>
    <n v="7258"/>
    <x v="2"/>
    <s v="2019/3778"/>
    <s v="Flat B &amp; C, 39 Bolingbroke Grove"/>
    <m/>
    <n v="527490"/>
    <n v="174270"/>
    <x v="4"/>
    <m/>
    <m/>
    <n v="2"/>
    <n v="1"/>
    <n v="-1"/>
    <n v="1"/>
    <n v="-1"/>
    <x v="0"/>
    <s v="Alterations including erection of single-storey rear/side extension at lower ground floor level in connection with de-conversion of the properties from 2 x 1-bedroom flats into 1 x 4 bedroom flat (amended description)."/>
    <s v="PF"/>
    <d v="2019-09-26T00:00:00"/>
    <d v="2019-11-18T00:00:00"/>
    <x v="1"/>
    <s v="Nil"/>
    <m/>
    <s v="BF"/>
    <s v="MIX"/>
    <x v="0"/>
    <x v="0"/>
    <n v="1.30000002682209E-2"/>
    <m/>
    <x v="0"/>
    <m/>
    <x v="0"/>
    <s v="M"/>
    <m/>
    <m/>
    <n v="0"/>
    <n v="0"/>
    <n v="0"/>
    <n v="0"/>
    <n v="0"/>
    <n v="-2"/>
    <n v="0"/>
    <n v="0"/>
    <n v="1"/>
    <n v="0"/>
    <n v="0"/>
    <n v="0"/>
    <n v="-2"/>
    <n v="0"/>
    <n v="0"/>
    <n v="1"/>
    <n v="0"/>
    <n v="0"/>
    <n v="0"/>
    <n v="0"/>
    <n v="0"/>
    <n v="0"/>
    <n v="0"/>
    <n v="0"/>
    <n v="0"/>
    <n v="0"/>
    <n v="0"/>
    <n v="0"/>
    <n v="0"/>
    <n v="0"/>
    <n v="0"/>
    <n v="0"/>
    <x v="0"/>
    <x v="0"/>
    <x v="0"/>
    <x v="0"/>
    <x v="0"/>
    <m/>
    <x v="0"/>
    <x v="0"/>
    <n v="15"/>
    <m/>
    <n v="-0.33333333333333331"/>
    <n v="-0.33333333333333331"/>
    <n v="-0.33333333333333331"/>
    <m/>
    <m/>
    <m/>
    <m/>
    <m/>
    <m/>
    <m/>
    <m/>
    <m/>
    <m/>
    <m/>
    <m/>
    <m/>
    <m/>
    <m/>
    <m/>
    <m/>
    <n v="-1"/>
    <n v="-1"/>
  </r>
  <r>
    <n v="7266"/>
    <x v="2"/>
    <s v="2019/3870"/>
    <s v="32 Latchmere Road"/>
    <m/>
    <n v="527567"/>
    <n v="176185"/>
    <x v="16"/>
    <m/>
    <m/>
    <n v="1"/>
    <n v="2"/>
    <n v="1"/>
    <n v="3"/>
    <n v="2"/>
    <x v="0"/>
    <s v="Alterations including erection of extension to provide an additional floor of accomodation, including formation of rear roof terrace; Rebuilding existing front bay window and insertion of two additional bay windows and formation of two balconies at first and second floor levels; Installation of rear access stair with screening to first and second floors; Erection of first floor rear extension in connection with conversion to 1 x 2-bedroom and 2 x 3-bedroom flats, with associated refuse and cycle storage."/>
    <s v="PF"/>
    <d v="2019-10-04T00:00:00"/>
    <d v="2020-01-07T00:00:00"/>
    <x v="1"/>
    <s v="Nil"/>
    <m/>
    <s v="BF"/>
    <s v="MIX"/>
    <x v="0"/>
    <x v="2"/>
    <n v="1.4000000432133701E-2"/>
    <m/>
    <x v="0"/>
    <m/>
    <x v="0"/>
    <s v="M"/>
    <m/>
    <m/>
    <n v="0"/>
    <n v="0"/>
    <n v="0"/>
    <n v="0"/>
    <n v="0"/>
    <n v="0"/>
    <n v="1"/>
    <n v="0"/>
    <n v="0"/>
    <n v="0"/>
    <n v="0"/>
    <n v="0"/>
    <n v="0"/>
    <n v="1"/>
    <n v="1"/>
    <n v="0"/>
    <n v="0"/>
    <n v="0"/>
    <n v="0"/>
    <n v="0"/>
    <n v="0"/>
    <n v="-1"/>
    <n v="0"/>
    <n v="0"/>
    <n v="0"/>
    <n v="0"/>
    <n v="0"/>
    <n v="0"/>
    <n v="0"/>
    <n v="0"/>
    <n v="0"/>
    <n v="0"/>
    <x v="0"/>
    <x v="0"/>
    <x v="0"/>
    <x v="0"/>
    <x v="0"/>
    <m/>
    <x v="0"/>
    <x v="0"/>
    <n v="15"/>
    <m/>
    <n v="0.33333333333333331"/>
    <n v="0.33333333333333331"/>
    <n v="0.33333333333333331"/>
    <m/>
    <m/>
    <m/>
    <m/>
    <m/>
    <m/>
    <m/>
    <m/>
    <m/>
    <m/>
    <m/>
    <m/>
    <m/>
    <m/>
    <m/>
    <m/>
    <m/>
    <n v="1"/>
    <n v="1"/>
  </r>
  <r>
    <n v="7266"/>
    <x v="2"/>
    <s v="2019/3870"/>
    <s v="32 Latchmere Road"/>
    <m/>
    <n v="527567"/>
    <n v="176185"/>
    <x v="16"/>
    <m/>
    <m/>
    <n v="0"/>
    <n v="1"/>
    <n v="1"/>
    <n v="3"/>
    <n v="2"/>
    <x v="0"/>
    <s v="Alterations including erection of extension to provide an additional floor of accomodation, including formation of rear roof terrace; Rebuilding existing front bay window and insertion of two additional bay windows and formation of two balconies at first and second floor levels; Installation of rear access stair with screening to first and second floors; Erection of first floor rear extension in connection with conversion to 1 x 2-bedroom and 2 x 3-bedroom flats, with associated refuse and cycle storage."/>
    <s v="PF"/>
    <d v="2019-10-04T00:00:00"/>
    <d v="2020-01-07T00:00:00"/>
    <x v="1"/>
    <s v="Nil"/>
    <m/>
    <s v="BF"/>
    <s v="MIX"/>
    <x v="0"/>
    <x v="3"/>
    <n v="8.0000003799796104E-3"/>
    <m/>
    <x v="0"/>
    <m/>
    <x v="0"/>
    <s v="M"/>
    <m/>
    <m/>
    <n v="0"/>
    <n v="0"/>
    <n v="0"/>
    <n v="0"/>
    <n v="0"/>
    <n v="0"/>
    <n v="0"/>
    <n v="1"/>
    <n v="0"/>
    <n v="0"/>
    <n v="0"/>
    <n v="0"/>
    <n v="0"/>
    <n v="0"/>
    <n v="1"/>
    <n v="0"/>
    <n v="0"/>
    <n v="0"/>
    <n v="0"/>
    <n v="0"/>
    <n v="0"/>
    <n v="0"/>
    <n v="0"/>
    <n v="0"/>
    <n v="0"/>
    <n v="0"/>
    <n v="0"/>
    <n v="0"/>
    <n v="0"/>
    <n v="0"/>
    <n v="0"/>
    <n v="0"/>
    <x v="0"/>
    <x v="0"/>
    <x v="0"/>
    <x v="0"/>
    <x v="0"/>
    <m/>
    <x v="0"/>
    <x v="0"/>
    <n v="15"/>
    <m/>
    <n v="0.33333333333333331"/>
    <n v="0.33333333333333331"/>
    <n v="0.33333333333333331"/>
    <m/>
    <m/>
    <m/>
    <m/>
    <m/>
    <m/>
    <m/>
    <m/>
    <m/>
    <m/>
    <m/>
    <m/>
    <m/>
    <m/>
    <m/>
    <m/>
    <m/>
    <n v="1"/>
    <n v="1"/>
  </r>
  <r>
    <n v="7268"/>
    <x v="2"/>
    <s v="2019/4219"/>
    <s v="124a Putney High Street"/>
    <m/>
    <n v="523988"/>
    <n v="175246"/>
    <x v="0"/>
    <m/>
    <m/>
    <n v="1"/>
    <n v="3"/>
    <n v="2"/>
    <n v="3"/>
    <n v="2"/>
    <x v="0"/>
    <s v="Alterations including erection of rear extension at first, second and third floors, and the installation of new windows and a roof light on the rear elevation, in connection with conversion to 3 x 1-bed flats [Amended Discription]."/>
    <s v="PF"/>
    <d v="2019-10-17T00:00:00"/>
    <d v="2019-12-05T00:00:00"/>
    <x v="1"/>
    <s v="Nil"/>
    <m/>
    <s v="BF"/>
    <s v="MIX"/>
    <x v="0"/>
    <x v="0"/>
    <n v="1.09999999403954E-2"/>
    <m/>
    <x v="0"/>
    <m/>
    <x v="0"/>
    <s v="M"/>
    <m/>
    <m/>
    <n v="0"/>
    <n v="0"/>
    <n v="0"/>
    <n v="0"/>
    <n v="0"/>
    <n v="3"/>
    <n v="0"/>
    <n v="0"/>
    <n v="-1"/>
    <n v="0"/>
    <n v="0"/>
    <n v="0"/>
    <n v="3"/>
    <n v="0"/>
    <n v="0"/>
    <n v="-1"/>
    <n v="0"/>
    <n v="0"/>
    <n v="0"/>
    <n v="0"/>
    <n v="0"/>
    <n v="0"/>
    <n v="0"/>
    <n v="0"/>
    <n v="0"/>
    <n v="0"/>
    <n v="0"/>
    <n v="0"/>
    <n v="0"/>
    <n v="0"/>
    <n v="0"/>
    <n v="0"/>
    <x v="2"/>
    <x v="0"/>
    <x v="0"/>
    <x v="0"/>
    <x v="0"/>
    <m/>
    <x v="0"/>
    <x v="0"/>
    <n v="15"/>
    <m/>
    <n v="0.66666666666666663"/>
    <n v="0.66666666666666663"/>
    <n v="0.66666666666666663"/>
    <m/>
    <m/>
    <m/>
    <m/>
    <m/>
    <m/>
    <m/>
    <m/>
    <m/>
    <m/>
    <m/>
    <m/>
    <m/>
    <m/>
    <m/>
    <m/>
    <m/>
    <n v="2"/>
    <n v="2"/>
  </r>
  <r>
    <n v="7272"/>
    <x v="2"/>
    <s v="2019/4343"/>
    <s v="72 Stapleton Road"/>
    <m/>
    <n v="528165"/>
    <n v="172146"/>
    <x v="19"/>
    <m/>
    <m/>
    <n v="0"/>
    <n v="1"/>
    <n v="1"/>
    <n v="1"/>
    <n v="1"/>
    <x v="0"/>
    <s v="Erection of mansard roof extension to main rear roof and extension above part of two-storey back addition (with French doors and safety railings); formation of roof terrace above two-storey back addition with 1.7m high screen surround and the creation of 1-bedroom/1-person flat."/>
    <s v="PF"/>
    <d v="2019-10-23T00:00:00"/>
    <d v="2019-12-03T00:00:00"/>
    <x v="1"/>
    <s v="Nil"/>
    <m/>
    <s v="BF"/>
    <s v="EXT"/>
    <x v="0"/>
    <x v="3"/>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7273"/>
    <x v="2"/>
    <s v="2019/4158"/>
    <s v="335a Garratt Lane"/>
    <m/>
    <n v="525942"/>
    <n v="173479"/>
    <x v="8"/>
    <m/>
    <m/>
    <n v="1"/>
    <n v="2"/>
    <n v="1"/>
    <n v="2"/>
    <n v="1"/>
    <x v="0"/>
    <s v="Alterations including erection of a mansard roof extension (with French doors and safety railings) to main rear roof and extension above part of two storey back addition; Formation of a roof terrace above two-storey back addition with 1.7m high screen surround in connection with creation of 2 x 1 bed flats."/>
    <s v="PF"/>
    <d v="2019-10-24T00:00:00"/>
    <d v="2019-12-10T00:00:00"/>
    <x v="1"/>
    <s v="Nil"/>
    <m/>
    <s v="BF"/>
    <s v="CON"/>
    <x v="0"/>
    <x v="0"/>
    <n v="7.0000002160668399E-3"/>
    <m/>
    <x v="0"/>
    <m/>
    <x v="0"/>
    <s v="M"/>
    <m/>
    <m/>
    <n v="0"/>
    <n v="0"/>
    <n v="0"/>
    <n v="0"/>
    <n v="0"/>
    <n v="2"/>
    <n v="-1"/>
    <n v="0"/>
    <n v="0"/>
    <n v="0"/>
    <n v="0"/>
    <n v="0"/>
    <n v="2"/>
    <n v="-1"/>
    <n v="0"/>
    <n v="0"/>
    <n v="0"/>
    <n v="0"/>
    <n v="0"/>
    <n v="0"/>
    <n v="0"/>
    <n v="0"/>
    <n v="0"/>
    <n v="0"/>
    <n v="0"/>
    <n v="0"/>
    <n v="0"/>
    <n v="0"/>
    <n v="0"/>
    <n v="0"/>
    <n v="0"/>
    <n v="0"/>
    <x v="0"/>
    <x v="0"/>
    <x v="0"/>
    <x v="0"/>
    <x v="0"/>
    <m/>
    <x v="0"/>
    <x v="0"/>
    <n v="15"/>
    <m/>
    <n v="0.33333333333333331"/>
    <n v="0.33333333333333331"/>
    <n v="0.33333333333333331"/>
    <m/>
    <m/>
    <m/>
    <m/>
    <m/>
    <m/>
    <m/>
    <m/>
    <m/>
    <m/>
    <m/>
    <m/>
    <m/>
    <m/>
    <m/>
    <m/>
    <m/>
    <n v="1"/>
    <n v="1"/>
  </r>
  <r>
    <n v="7277"/>
    <x v="2"/>
    <s v="2019/4285"/>
    <s v="2a York Road"/>
    <m/>
    <n v="527057"/>
    <n v="176162"/>
    <x v="11"/>
    <m/>
    <m/>
    <n v="0"/>
    <n v="1"/>
    <n v="1"/>
    <n v="1"/>
    <n v="1"/>
    <x v="0"/>
    <s v="Erection of first floor extension to existing flat and erection of two additional storeys to provide second and third floors, in connection with creation of a 1 x 2 bed flat."/>
    <s v="PF"/>
    <d v="2019-10-23T00:00:00"/>
    <d v="2019-11-23T00:00:00"/>
    <x v="1"/>
    <s v="Nil"/>
    <m/>
    <s v="BF"/>
    <s v="EXT"/>
    <x v="0"/>
    <x v="3"/>
    <n v="3.0000000260770299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278"/>
    <x v="2"/>
    <s v="2019/4408"/>
    <s v="199b Latchmere Road"/>
    <m/>
    <n v="527781"/>
    <n v="175640"/>
    <x v="9"/>
    <m/>
    <m/>
    <n v="0"/>
    <n v="1"/>
    <n v="1"/>
    <n v="1"/>
    <n v="1"/>
    <x v="0"/>
    <s v="Erection of mansard roof extension to main rear roof including raising ridge by 300mm and roof extension and formation of roof terrace with 1.7m safety glazed surround over three storey back addition; enlarged opening to the existing rear roof terrace to create 1 x two bedroom self-contained flat."/>
    <s v="PF"/>
    <d v="2019-11-07T00:00:00"/>
    <d v="2019-12-06T00:00:00"/>
    <x v="1"/>
    <s v="Nil"/>
    <m/>
    <s v="BF"/>
    <s v="EXT"/>
    <x v="0"/>
    <x v="3"/>
    <n v="8.0000003799796104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283"/>
    <x v="2"/>
    <s v="2019/4912"/>
    <s v="72 Bolingbroke Grove"/>
    <m/>
    <n v="527381"/>
    <n v="174501"/>
    <x v="4"/>
    <m/>
    <m/>
    <n v="1"/>
    <n v="3"/>
    <n v="2"/>
    <n v="3"/>
    <n v="2"/>
    <x v="0"/>
    <s v="Conversion of property into three self-contained flats (2 x 2-bedroom and 1 x 3 bedroom) to include the erection of a single-storey rear extension; erection of a dormer roof extension to main rear roof and above part of three-storey rear addition. Formation of rear roof terrace with obscured balastrade. Excavation of basement and formation of lightwells to front and rear elevations."/>
    <s v="PF"/>
    <d v="2019-12-05T00:00:00"/>
    <d v="2020-01-06T00:00:00"/>
    <x v="1"/>
    <s v="Nil"/>
    <m/>
    <s v="BF"/>
    <s v="MIX"/>
    <x v="0"/>
    <x v="2"/>
    <n v="1.60000007599592E-2"/>
    <m/>
    <x v="0"/>
    <m/>
    <x v="0"/>
    <s v="M"/>
    <m/>
    <m/>
    <n v="0"/>
    <n v="0"/>
    <n v="0"/>
    <n v="0"/>
    <n v="0"/>
    <n v="0"/>
    <n v="2"/>
    <n v="1"/>
    <n v="0"/>
    <n v="-1"/>
    <n v="0"/>
    <n v="0"/>
    <n v="0"/>
    <n v="2"/>
    <n v="1"/>
    <n v="0"/>
    <n v="0"/>
    <n v="0"/>
    <n v="0"/>
    <n v="0"/>
    <n v="0"/>
    <n v="0"/>
    <n v="0"/>
    <n v="-1"/>
    <n v="0"/>
    <n v="0"/>
    <n v="0"/>
    <n v="0"/>
    <n v="0"/>
    <n v="0"/>
    <n v="0"/>
    <n v="0"/>
    <x v="0"/>
    <x v="0"/>
    <x v="0"/>
    <x v="0"/>
    <x v="0"/>
    <m/>
    <x v="0"/>
    <x v="0"/>
    <n v="15"/>
    <m/>
    <n v="0.66666666666666663"/>
    <n v="0.66666666666666663"/>
    <n v="0.66666666666666663"/>
    <m/>
    <m/>
    <m/>
    <m/>
    <m/>
    <m/>
    <m/>
    <m/>
    <m/>
    <m/>
    <m/>
    <m/>
    <m/>
    <m/>
    <m/>
    <m/>
    <m/>
    <n v="2"/>
    <n v="2"/>
  </r>
  <r>
    <n v="7289"/>
    <x v="2"/>
    <s v="2019/4774"/>
    <s v="62 Thrale Road"/>
    <s v="conv"/>
    <n v="529107"/>
    <n v="171539"/>
    <x v="7"/>
    <m/>
    <m/>
    <n v="4"/>
    <n v="4"/>
    <n v="0"/>
    <n v="6"/>
    <n v="2"/>
    <x v="0"/>
    <s v="Alterations including erection of two storey side and single storey rear extensions, addition of side and rear rooflights, internal re-configuration in connection with creation of two additional flats (existing = 2 x 1-bedroom and 2 x 2-bedroom units and proposed = 1 x 1-bedroom, 4 x 2-bedroom and 1 x 3-bedroom)"/>
    <s v="PF"/>
    <d v="2019-11-28T00:00:00"/>
    <d v="2020-01-21T00:00:00"/>
    <x v="1"/>
    <s v="Nil"/>
    <m/>
    <s v="BF"/>
    <s v="MIX"/>
    <x v="0"/>
    <x v="0"/>
    <n v="6.1000000685453401E-2"/>
    <m/>
    <x v="0"/>
    <m/>
    <x v="0"/>
    <s v="M"/>
    <m/>
    <m/>
    <n v="0"/>
    <n v="0"/>
    <n v="0"/>
    <n v="0"/>
    <n v="0"/>
    <n v="-2"/>
    <n v="1"/>
    <n v="1"/>
    <n v="0"/>
    <n v="0"/>
    <n v="0"/>
    <n v="0"/>
    <n v="-2"/>
    <n v="1"/>
    <n v="1"/>
    <n v="0"/>
    <n v="0"/>
    <n v="0"/>
    <n v="0"/>
    <n v="0"/>
    <n v="0"/>
    <n v="0"/>
    <n v="0"/>
    <n v="0"/>
    <n v="0"/>
    <n v="0"/>
    <n v="0"/>
    <n v="0"/>
    <n v="0"/>
    <n v="0"/>
    <n v="0"/>
    <n v="0"/>
    <x v="0"/>
    <x v="0"/>
    <x v="0"/>
    <x v="0"/>
    <x v="0"/>
    <m/>
    <x v="0"/>
    <x v="0"/>
    <n v="18"/>
    <m/>
    <m/>
    <n v="0"/>
    <n v="0"/>
    <n v="0"/>
    <n v="0"/>
    <m/>
    <m/>
    <m/>
    <m/>
    <m/>
    <m/>
    <m/>
    <m/>
    <m/>
    <m/>
    <m/>
    <m/>
    <m/>
    <m/>
    <m/>
    <n v="0"/>
    <n v="0"/>
  </r>
  <r>
    <n v="7289"/>
    <x v="2"/>
    <s v="2019/4774"/>
    <s v="62 Thrale Road"/>
    <s v="extn"/>
    <n v="529107"/>
    <n v="171539"/>
    <x v="7"/>
    <m/>
    <m/>
    <n v="0"/>
    <n v="2"/>
    <n v="2"/>
    <n v="6"/>
    <n v="2"/>
    <x v="0"/>
    <s v="Alterations including erection of two storey side and single storey rear extensions, addition of side and rear rooflights, internal re-configuration in connection with creation of two additional flats (existing = 2 x 1-bedroom and 2 x 2-bedroom units and proposed = 1 x 1-bedroom, 4 x 2-bedroom and 1 x 3-bedroom)"/>
    <s v="PF"/>
    <d v="2019-11-28T00:00:00"/>
    <d v="2020-01-21T00:00:00"/>
    <x v="1"/>
    <s v="Nil"/>
    <m/>
    <s v="BF"/>
    <s v="MIX"/>
    <x v="0"/>
    <x v="3"/>
    <n v="2.60000005364418E-2"/>
    <m/>
    <x v="0"/>
    <m/>
    <x v="0"/>
    <s v="M"/>
    <m/>
    <m/>
    <n v="0"/>
    <n v="0"/>
    <n v="0"/>
    <n v="0"/>
    <n v="0"/>
    <n v="1"/>
    <n v="1"/>
    <n v="0"/>
    <n v="0"/>
    <n v="0"/>
    <n v="0"/>
    <n v="0"/>
    <n v="1"/>
    <n v="1"/>
    <n v="0"/>
    <n v="0"/>
    <n v="0"/>
    <n v="0"/>
    <n v="0"/>
    <n v="0"/>
    <n v="0"/>
    <n v="0"/>
    <n v="0"/>
    <n v="0"/>
    <n v="0"/>
    <n v="0"/>
    <n v="0"/>
    <n v="0"/>
    <n v="0"/>
    <n v="0"/>
    <n v="0"/>
    <n v="0"/>
    <x v="0"/>
    <x v="0"/>
    <x v="0"/>
    <x v="0"/>
    <x v="0"/>
    <m/>
    <x v="0"/>
    <x v="0"/>
    <n v="18"/>
    <m/>
    <m/>
    <n v="0.5"/>
    <n v="0.5"/>
    <n v="0.5"/>
    <n v="0.5"/>
    <m/>
    <m/>
    <m/>
    <m/>
    <m/>
    <m/>
    <m/>
    <m/>
    <m/>
    <m/>
    <m/>
    <m/>
    <m/>
    <m/>
    <m/>
    <n v="2"/>
    <n v="2"/>
  </r>
  <r>
    <n v="7290"/>
    <x v="2"/>
    <s v="2019/4694"/>
    <s v="11-13 Westover Road"/>
    <s v="11 Westover Road"/>
    <n v="526473"/>
    <n v="174144"/>
    <x v="17"/>
    <m/>
    <m/>
    <n v="1"/>
    <n v="1"/>
    <n v="0"/>
    <n v="2"/>
    <n v="1"/>
    <x v="0"/>
    <s v="Conversion of single family dwelling house back into original form of 2 x single family dwelling houses and erection of single-storey rear extensions at 11 and 13 Westover Road."/>
    <s v="PF"/>
    <d v="2019-11-20T00:00:00"/>
    <d v="2020-01-20T00:00:00"/>
    <x v="1"/>
    <s v="Nil"/>
    <m/>
    <s v="BF"/>
    <s v="CON"/>
    <x v="0"/>
    <x v="13"/>
    <n v="4.1000001132488299E-2"/>
    <m/>
    <x v="0"/>
    <m/>
    <x v="0"/>
    <s v="M"/>
    <m/>
    <m/>
    <n v="0"/>
    <n v="0"/>
    <n v="0"/>
    <n v="0"/>
    <n v="0"/>
    <n v="0"/>
    <n v="0"/>
    <n v="0"/>
    <n v="0"/>
    <n v="0"/>
    <n v="0"/>
    <n v="0"/>
    <n v="0"/>
    <n v="0"/>
    <n v="0"/>
    <n v="0"/>
    <n v="0"/>
    <n v="0"/>
    <n v="0"/>
    <n v="0"/>
    <n v="0"/>
    <n v="0"/>
    <n v="0"/>
    <n v="0"/>
    <n v="0"/>
    <n v="0"/>
    <n v="0"/>
    <n v="0"/>
    <n v="0"/>
    <n v="0"/>
    <n v="0"/>
    <n v="0"/>
    <x v="0"/>
    <x v="0"/>
    <x v="0"/>
    <x v="0"/>
    <x v="0"/>
    <m/>
    <x v="0"/>
    <x v="0"/>
    <n v="15"/>
    <m/>
    <n v="0"/>
    <n v="0"/>
    <n v="0"/>
    <m/>
    <m/>
    <m/>
    <m/>
    <m/>
    <m/>
    <m/>
    <m/>
    <m/>
    <m/>
    <m/>
    <m/>
    <m/>
    <m/>
    <m/>
    <m/>
    <m/>
    <n v="0"/>
    <n v="0"/>
  </r>
  <r>
    <n v="7290"/>
    <x v="2"/>
    <s v="2019/4694"/>
    <s v="11-13 Westover Road"/>
    <s v="13 Westover Road"/>
    <n v="526473"/>
    <n v="174144"/>
    <x v="17"/>
    <m/>
    <m/>
    <n v="0"/>
    <n v="1"/>
    <n v="1"/>
    <n v="2"/>
    <n v="1"/>
    <x v="0"/>
    <s v="Conversion of single family dwelling house back into original form of 2 x single family dwelling houses and erection of single-storey rear extensions at 11 and 13 Westover Road."/>
    <s v="PF"/>
    <d v="2019-11-20T00:00:00"/>
    <d v="2020-01-20T00:00:00"/>
    <x v="1"/>
    <s v="Nil"/>
    <m/>
    <s v="BF"/>
    <s v="CON"/>
    <x v="0"/>
    <x v="13"/>
    <n v="3.9999999105930301E-2"/>
    <m/>
    <x v="0"/>
    <m/>
    <x v="0"/>
    <s v="M"/>
    <m/>
    <m/>
    <n v="0"/>
    <n v="0"/>
    <n v="0"/>
    <n v="0"/>
    <n v="0"/>
    <n v="0"/>
    <n v="0"/>
    <n v="0"/>
    <n v="0"/>
    <n v="1"/>
    <n v="0"/>
    <n v="0"/>
    <n v="0"/>
    <n v="0"/>
    <n v="0"/>
    <n v="0"/>
    <n v="0"/>
    <n v="0"/>
    <n v="0"/>
    <n v="0"/>
    <n v="0"/>
    <n v="0"/>
    <n v="0"/>
    <n v="1"/>
    <n v="0"/>
    <n v="0"/>
    <n v="0"/>
    <n v="0"/>
    <n v="0"/>
    <n v="0"/>
    <n v="0"/>
    <n v="0"/>
    <x v="0"/>
    <x v="0"/>
    <x v="0"/>
    <x v="0"/>
    <x v="0"/>
    <m/>
    <x v="0"/>
    <x v="0"/>
    <n v="15"/>
    <m/>
    <n v="0.33333333333333331"/>
    <n v="0.33333333333333331"/>
    <n v="0.33333333333333331"/>
    <m/>
    <m/>
    <m/>
    <m/>
    <m/>
    <m/>
    <m/>
    <m/>
    <m/>
    <m/>
    <m/>
    <m/>
    <m/>
    <m/>
    <m/>
    <m/>
    <m/>
    <n v="1"/>
    <n v="1"/>
  </r>
  <r>
    <n v="7294"/>
    <x v="2"/>
    <s v="2019/3492"/>
    <s v="9-11 Delia Street"/>
    <m/>
    <n v="525948"/>
    <n v="173961"/>
    <x v="8"/>
    <m/>
    <m/>
    <n v="0"/>
    <n v="2"/>
    <n v="2"/>
    <n v="2"/>
    <n v="2"/>
    <x v="0"/>
    <s v="Alterations including erection of mansard roof extensions to main rear roofs and extension above part of two-storey back additions; including raising the ridges by 230mm  Formation of roof terraces above two-storey back additions with 1.7m high screen surrounds in connection with creation of 2 x 2 bed flats with associated cycle and refuse storage."/>
    <s v="PF"/>
    <d v="2019-10-25T00:00:00"/>
    <d v="2020-02-21T00:00:00"/>
    <x v="1"/>
    <s v="Nil"/>
    <m/>
    <s v="BF"/>
    <s v="EXT"/>
    <x v="0"/>
    <x v="3"/>
    <n v="4.0000001899898104E-3"/>
    <m/>
    <x v="0"/>
    <m/>
    <x v="0"/>
    <s v="M"/>
    <m/>
    <m/>
    <n v="0"/>
    <n v="0"/>
    <n v="0"/>
    <n v="0"/>
    <n v="0"/>
    <n v="0"/>
    <n v="2"/>
    <n v="0"/>
    <n v="0"/>
    <n v="0"/>
    <n v="0"/>
    <n v="0"/>
    <n v="0"/>
    <n v="2"/>
    <n v="0"/>
    <n v="0"/>
    <n v="0"/>
    <n v="0"/>
    <n v="0"/>
    <n v="0"/>
    <n v="0"/>
    <n v="0"/>
    <n v="0"/>
    <n v="0"/>
    <n v="0"/>
    <n v="0"/>
    <n v="0"/>
    <n v="0"/>
    <n v="0"/>
    <n v="0"/>
    <n v="0"/>
    <n v="0"/>
    <x v="0"/>
    <x v="0"/>
    <x v="0"/>
    <x v="0"/>
    <x v="0"/>
    <m/>
    <x v="0"/>
    <x v="0"/>
    <n v="15"/>
    <m/>
    <n v="0.66666666666666663"/>
    <n v="0.66666666666666663"/>
    <n v="0.66666666666666663"/>
    <m/>
    <m/>
    <m/>
    <m/>
    <m/>
    <m/>
    <m/>
    <m/>
    <m/>
    <m/>
    <m/>
    <m/>
    <m/>
    <m/>
    <m/>
    <m/>
    <m/>
    <n v="2"/>
    <n v="2"/>
  </r>
  <r>
    <n v="7309"/>
    <x v="2"/>
    <s v="2019/4378"/>
    <s v="Apartments 5 &amp; 6, 2 Riverlight Quay (Riverlight)"/>
    <m/>
    <n v="529462"/>
    <n v="177565"/>
    <x v="12"/>
    <m/>
    <m/>
    <n v="2"/>
    <n v="1"/>
    <n v="-1"/>
    <n v="1"/>
    <n v="-1"/>
    <x v="0"/>
    <s v="The amalgamation of two adjacent two-bed units to create one four-bed unit."/>
    <s v="PF"/>
    <d v="2019-12-20T00:00:00"/>
    <d v="2020-02-11T00:00:00"/>
    <x v="1"/>
    <s v="Nil"/>
    <m/>
    <s v="BF"/>
    <s v="CON"/>
    <x v="0"/>
    <x v="10"/>
    <n v="2.0000000949949E-3"/>
    <m/>
    <x v="0"/>
    <m/>
    <x v="0"/>
    <s v="M"/>
    <s v="2.1.9"/>
    <m/>
    <n v="0"/>
    <n v="0"/>
    <n v="0"/>
    <n v="0"/>
    <n v="0"/>
    <n v="0"/>
    <n v="-2"/>
    <n v="0"/>
    <n v="1"/>
    <n v="0"/>
    <n v="0"/>
    <n v="0"/>
    <n v="0"/>
    <n v="-2"/>
    <n v="0"/>
    <n v="1"/>
    <n v="0"/>
    <n v="0"/>
    <n v="0"/>
    <n v="0"/>
    <n v="0"/>
    <n v="0"/>
    <n v="0"/>
    <n v="0"/>
    <n v="0"/>
    <n v="0"/>
    <n v="0"/>
    <n v="0"/>
    <n v="0"/>
    <n v="0"/>
    <n v="0"/>
    <n v="0"/>
    <x v="0"/>
    <x v="1"/>
    <x v="0"/>
    <x v="0"/>
    <x v="0"/>
    <m/>
    <x v="0"/>
    <x v="0"/>
    <n v="15"/>
    <m/>
    <n v="-0.33333333333333331"/>
    <n v="-0.33333333333333331"/>
    <n v="-0.33333333333333331"/>
    <m/>
    <m/>
    <m/>
    <m/>
    <m/>
    <m/>
    <m/>
    <m/>
    <m/>
    <m/>
    <m/>
    <m/>
    <m/>
    <m/>
    <m/>
    <m/>
    <m/>
    <n v="-1"/>
    <n v="-1"/>
  </r>
  <r>
    <n v="7315"/>
    <x v="2"/>
    <s v="2019/5569"/>
    <s v="36 Putney Hill"/>
    <m/>
    <n v="523902"/>
    <n v="174882"/>
    <x v="5"/>
    <m/>
    <m/>
    <n v="2"/>
    <n v="6"/>
    <n v="4"/>
    <n v="6"/>
    <n v="4"/>
    <x v="0"/>
    <s v="Erection of a 2-storey rear/side extension in connection with the conversion of the property into six dwellings comprising 2no. 3-bedroom units, 3no. 2-bedroom units and 1no. 1-bedroom unit, together with alterations to the front boundary wall and formation of cycle and refuse stores."/>
    <s v="PF"/>
    <d v="2020-01-21T00:00:00"/>
    <d v="2020-02-21T00:00:00"/>
    <x v="1"/>
    <s v="Nil"/>
    <m/>
    <s v="BF"/>
    <s v="MIX"/>
    <x v="0"/>
    <x v="0"/>
    <n v="3.29999998211861E-2"/>
    <m/>
    <x v="0"/>
    <m/>
    <x v="0"/>
    <s v="M"/>
    <m/>
    <m/>
    <n v="0"/>
    <n v="0"/>
    <n v="0"/>
    <n v="0"/>
    <n v="0"/>
    <n v="1"/>
    <n v="3"/>
    <n v="1"/>
    <n v="-1"/>
    <n v="0"/>
    <n v="0"/>
    <n v="0"/>
    <n v="1"/>
    <n v="3"/>
    <n v="1"/>
    <n v="-1"/>
    <n v="0"/>
    <n v="0"/>
    <n v="0"/>
    <n v="0"/>
    <n v="0"/>
    <n v="0"/>
    <n v="0"/>
    <n v="0"/>
    <n v="0"/>
    <n v="0"/>
    <n v="0"/>
    <n v="0"/>
    <n v="0"/>
    <n v="0"/>
    <n v="0"/>
    <n v="0"/>
    <x v="0"/>
    <x v="0"/>
    <x v="0"/>
    <x v="0"/>
    <x v="0"/>
    <m/>
    <x v="0"/>
    <x v="0"/>
    <n v="18"/>
    <m/>
    <m/>
    <n v="1"/>
    <n v="1"/>
    <n v="1"/>
    <n v="1"/>
    <m/>
    <m/>
    <m/>
    <m/>
    <m/>
    <m/>
    <m/>
    <m/>
    <m/>
    <m/>
    <m/>
    <m/>
    <m/>
    <m/>
    <m/>
    <n v="4"/>
    <n v="4"/>
  </r>
  <r>
    <n v="7319"/>
    <x v="2"/>
    <s v="2020/0021"/>
    <s v="13 Marcus Street"/>
    <m/>
    <n v="525909"/>
    <n v="174440"/>
    <x v="2"/>
    <m/>
    <m/>
    <n v="0"/>
    <n v="1"/>
    <n v="1"/>
    <n v="1"/>
    <n v="1"/>
    <x v="0"/>
    <s v="Alterations including erection of mansard roof extension to main rear roof including altering pitch of front roofslope and raising the ridge by 280mm and erection of roof extension over part of two-storey back addition in connection with creation of 1 x 2-bedroom flat."/>
    <s v="PF"/>
    <d v="2020-01-21T00:00:00"/>
    <d v="2020-03-03T00:00:00"/>
    <x v="1"/>
    <s v="Nil"/>
    <m/>
    <s v="BF"/>
    <s v="EXT"/>
    <x v="0"/>
    <x v="3"/>
    <n v="4.0000001899898104E-3"/>
    <m/>
    <x v="0"/>
    <m/>
    <x v="0"/>
    <s v="M"/>
    <m/>
    <m/>
    <n v="0"/>
    <n v="0"/>
    <n v="0"/>
    <n v="0"/>
    <n v="0"/>
    <n v="0"/>
    <n v="1"/>
    <n v="0"/>
    <n v="0"/>
    <n v="0"/>
    <n v="0"/>
    <n v="0"/>
    <n v="0"/>
    <n v="1"/>
    <n v="0"/>
    <n v="0"/>
    <n v="0"/>
    <n v="0"/>
    <n v="0"/>
    <n v="0"/>
    <n v="0"/>
    <n v="0"/>
    <n v="0"/>
    <n v="0"/>
    <n v="0"/>
    <n v="0"/>
    <n v="0"/>
    <n v="0"/>
    <n v="0"/>
    <n v="0"/>
    <n v="0"/>
    <n v="0"/>
    <x v="0"/>
    <x v="0"/>
    <x v="0"/>
    <x v="0"/>
    <x v="0"/>
    <m/>
    <x v="0"/>
    <x v="0"/>
    <n v="15"/>
    <m/>
    <n v="0.33333333333333331"/>
    <n v="0.33333333333333331"/>
    <n v="0.33333333333333331"/>
    <m/>
    <m/>
    <m/>
    <m/>
    <m/>
    <m/>
    <m/>
    <m/>
    <m/>
    <m/>
    <m/>
    <m/>
    <m/>
    <m/>
    <m/>
    <m/>
    <m/>
    <n v="1"/>
    <n v="1"/>
  </r>
  <r>
    <n v="7329"/>
    <x v="2"/>
    <s v="2020/0009"/>
    <s v="Lower ground floor and ground floor, 75a &amp; b Nightingale Lane"/>
    <m/>
    <n v="528208"/>
    <n v="173978"/>
    <x v="3"/>
    <m/>
    <m/>
    <n v="2"/>
    <n v="1"/>
    <n v="-1"/>
    <n v="1"/>
    <n v="-1"/>
    <x v="0"/>
    <s v="Conversion of flats 75A and 75B into one x 3-bedroom flat."/>
    <s v="PF"/>
    <d v="2020-01-29T00:00:00"/>
    <d v="2020-03-20T00:00:00"/>
    <x v="1"/>
    <s v="Nil"/>
    <m/>
    <s v="BF"/>
    <s v="CON"/>
    <x v="0"/>
    <x v="10"/>
    <n v="1.8999999389052401E-2"/>
    <m/>
    <x v="0"/>
    <m/>
    <x v="0"/>
    <s v="M"/>
    <m/>
    <m/>
    <n v="0"/>
    <n v="0"/>
    <n v="0"/>
    <n v="0"/>
    <n v="0"/>
    <n v="-1"/>
    <n v="-1"/>
    <n v="1"/>
    <n v="0"/>
    <n v="0"/>
    <n v="0"/>
    <n v="0"/>
    <n v="-1"/>
    <n v="-1"/>
    <n v="1"/>
    <n v="0"/>
    <n v="0"/>
    <n v="0"/>
    <n v="0"/>
    <n v="0"/>
    <n v="0"/>
    <n v="0"/>
    <n v="0"/>
    <n v="0"/>
    <n v="0"/>
    <n v="0"/>
    <n v="0"/>
    <n v="0"/>
    <n v="0"/>
    <n v="0"/>
    <n v="0"/>
    <n v="0"/>
    <x v="0"/>
    <x v="0"/>
    <x v="0"/>
    <x v="0"/>
    <x v="0"/>
    <m/>
    <x v="0"/>
    <x v="0"/>
    <n v="15"/>
    <m/>
    <n v="-0.33333333333333331"/>
    <n v="-0.33333333333333331"/>
    <n v="-0.33333333333333331"/>
    <m/>
    <m/>
    <m/>
    <m/>
    <m/>
    <m/>
    <m/>
    <m/>
    <m/>
    <m/>
    <m/>
    <m/>
    <m/>
    <m/>
    <m/>
    <m/>
    <m/>
    <n v="-1"/>
    <n v="-1"/>
  </r>
  <r>
    <n v="7332"/>
    <x v="2"/>
    <s v="2020/0131"/>
    <s v="115 Lavender Hill"/>
    <m/>
    <n v="528194"/>
    <n v="175654"/>
    <x v="9"/>
    <m/>
    <m/>
    <n v="1"/>
    <n v="2"/>
    <n v="1"/>
    <n v="2"/>
    <n v="1"/>
    <x v="0"/>
    <s v="Alterations including addition of front door, conversion of part of shop to create stairs to up floors, erection of dormer roof extension to main rear roof, first floor side/rear infill extension and formation of rear roof terraces at first floor and second floor level with safety surround in connection with conversion of existing flat into 1 x 2-bedroom and 1 x 1 bedroom flats."/>
    <s v="PF"/>
    <d v="2020-02-03T00:00:00"/>
    <d v="2020-03-11T00:00:00"/>
    <x v="1"/>
    <s v="Nil"/>
    <m/>
    <s v="BF"/>
    <s v="MIX"/>
    <x v="0"/>
    <x v="0"/>
    <n v="6.0000000521540598E-3"/>
    <m/>
    <x v="0"/>
    <m/>
    <x v="0"/>
    <s v="M"/>
    <m/>
    <m/>
    <n v="0"/>
    <n v="0"/>
    <n v="0"/>
    <n v="0"/>
    <n v="0"/>
    <n v="1"/>
    <n v="1"/>
    <n v="-1"/>
    <n v="0"/>
    <n v="0"/>
    <n v="0"/>
    <n v="0"/>
    <n v="1"/>
    <n v="1"/>
    <n v="-1"/>
    <n v="0"/>
    <n v="0"/>
    <n v="0"/>
    <n v="0"/>
    <n v="0"/>
    <n v="0"/>
    <n v="0"/>
    <n v="0"/>
    <n v="0"/>
    <n v="0"/>
    <n v="0"/>
    <n v="0"/>
    <n v="0"/>
    <n v="0"/>
    <n v="0"/>
    <n v="0"/>
    <n v="0"/>
    <x v="0"/>
    <x v="0"/>
    <x v="0"/>
    <x v="0"/>
    <x v="0"/>
    <m/>
    <x v="0"/>
    <x v="0"/>
    <n v="15"/>
    <m/>
    <n v="0.33333333333333331"/>
    <n v="0.33333333333333331"/>
    <n v="0.33333333333333331"/>
    <m/>
    <m/>
    <m/>
    <m/>
    <m/>
    <m/>
    <m/>
    <m/>
    <m/>
    <m/>
    <m/>
    <m/>
    <m/>
    <m/>
    <m/>
    <m/>
    <m/>
    <n v="1"/>
    <n v="1"/>
  </r>
  <r>
    <n v="7335"/>
    <x v="2"/>
    <s v="2020/0419"/>
    <s v="463 Garratt Lane"/>
    <m/>
    <n v="525930"/>
    <n v="173172"/>
    <x v="8"/>
    <m/>
    <m/>
    <n v="0"/>
    <n v="1"/>
    <n v="1"/>
    <n v="1"/>
    <n v="1"/>
    <x v="0"/>
    <s v="Determination as to whether prior approval is required for change of use from retail (Class A1) to 1 x 1-bedroom flat (Class C3) with associated external alterations to front and rear elevations."/>
    <s v="PAG"/>
    <d v="2020-02-11T00:00:00"/>
    <d v="2020-03-27T00:00:00"/>
    <x v="1"/>
    <s v="Nil"/>
    <m/>
    <s v="BF"/>
    <s v="COU"/>
    <x v="0"/>
    <x v="4"/>
    <n v="3.0000000260770299E-3"/>
    <m/>
    <x v="0"/>
    <m/>
    <x v="0"/>
    <s v="M"/>
    <m/>
    <m/>
    <n v="0"/>
    <n v="0"/>
    <n v="0"/>
    <n v="0"/>
    <n v="0"/>
    <n v="1"/>
    <n v="0"/>
    <n v="0"/>
    <n v="0"/>
    <n v="0"/>
    <n v="0"/>
    <n v="0"/>
    <n v="1"/>
    <n v="0"/>
    <n v="0"/>
    <n v="0"/>
    <n v="0"/>
    <n v="0"/>
    <n v="0"/>
    <n v="0"/>
    <n v="0"/>
    <n v="0"/>
    <n v="0"/>
    <n v="0"/>
    <n v="0"/>
    <n v="0"/>
    <n v="0"/>
    <n v="0"/>
    <n v="0"/>
    <n v="0"/>
    <n v="0"/>
    <n v="0"/>
    <x v="0"/>
    <x v="0"/>
    <x v="0"/>
    <x v="0"/>
    <x v="0"/>
    <m/>
    <x v="0"/>
    <x v="1"/>
    <n v="15"/>
    <m/>
    <n v="0.33333333333333331"/>
    <n v="0.33333333333333331"/>
    <n v="0.33333333333333331"/>
    <m/>
    <m/>
    <m/>
    <m/>
    <m/>
    <m/>
    <m/>
    <m/>
    <m/>
    <m/>
    <m/>
    <m/>
    <m/>
    <m/>
    <m/>
    <m/>
    <m/>
    <n v="1"/>
    <n v="1"/>
  </r>
  <r>
    <n v="7341"/>
    <x v="2"/>
    <s v="2019/5440"/>
    <s v="Unit A, Molasses House, Clove Hitch Quay (Plantation Wharf)"/>
    <m/>
    <n v="526448"/>
    <n v="175829"/>
    <x v="11"/>
    <m/>
    <m/>
    <n v="0"/>
    <n v="1"/>
    <n v="1"/>
    <n v="1"/>
    <n v="1"/>
    <x v="0"/>
    <s v="Determination as to whether prior approval is required for change of use of office at ground floor level from (Class B) to residential (Class C3) to provide 1 x 1-bedroom flat."/>
    <s v="PAG"/>
    <d v="2020-02-14T00:00:00"/>
    <d v="2020-03-30T00:00:00"/>
    <x v="1"/>
    <s v="Nil"/>
    <m/>
    <s v="BF"/>
    <s v="COU"/>
    <x v="0"/>
    <x v="6"/>
    <n v="8.9999996125698107E-3"/>
    <m/>
    <x v="0"/>
    <m/>
    <x v="0"/>
    <s v="M"/>
    <m/>
    <m/>
    <n v="0"/>
    <n v="0"/>
    <n v="0"/>
    <n v="0"/>
    <n v="0"/>
    <n v="1"/>
    <n v="0"/>
    <n v="0"/>
    <n v="0"/>
    <n v="0"/>
    <n v="0"/>
    <n v="0"/>
    <n v="1"/>
    <n v="0"/>
    <n v="0"/>
    <n v="0"/>
    <n v="0"/>
    <n v="0"/>
    <n v="0"/>
    <n v="0"/>
    <n v="0"/>
    <n v="0"/>
    <n v="0"/>
    <n v="0"/>
    <n v="0"/>
    <n v="0"/>
    <n v="0"/>
    <n v="0"/>
    <n v="0"/>
    <n v="0"/>
    <n v="0"/>
    <n v="0"/>
    <x v="0"/>
    <x v="0"/>
    <x v="0"/>
    <x v="0"/>
    <x v="0"/>
    <m/>
    <x v="1"/>
    <x v="0"/>
    <n v="15"/>
    <m/>
    <n v="0.33333333333333331"/>
    <n v="0.33333333333333331"/>
    <n v="0.33333333333333331"/>
    <m/>
    <m/>
    <m/>
    <m/>
    <m/>
    <m/>
    <m/>
    <m/>
    <m/>
    <m/>
    <m/>
    <m/>
    <m/>
    <m/>
    <m/>
    <m/>
    <m/>
    <n v="1"/>
    <n v="1"/>
  </r>
  <r>
    <n v="7342"/>
    <x v="2"/>
    <s v="2020/0301"/>
    <s v="Unit 1, Ivory House, Clove Hitch Quay (Plantation Wharf)"/>
    <m/>
    <n v="526368"/>
    <n v="175721"/>
    <x v="11"/>
    <m/>
    <m/>
    <n v="0"/>
    <n v="3"/>
    <n v="3"/>
    <n v="3"/>
    <n v="3"/>
    <x v="0"/>
    <s v="Determination as to whether prior approval is required for change of use of office at ground floor level from (Class B1a) to residential (Class C3) to provide 1 x 2-bedroom flat and 2 x 1bedroom flats."/>
    <s v="PAG"/>
    <d v="2020-02-12T00:00:00"/>
    <d v="2020-03-16T00:00:00"/>
    <x v="1"/>
    <s v="Nil"/>
    <m/>
    <s v="BF"/>
    <s v="COU"/>
    <x v="0"/>
    <x v="6"/>
    <n v="8.0000003799796104E-3"/>
    <m/>
    <x v="0"/>
    <m/>
    <x v="0"/>
    <s v="M"/>
    <m/>
    <m/>
    <n v="0"/>
    <n v="0"/>
    <n v="0"/>
    <n v="0"/>
    <n v="0"/>
    <n v="2"/>
    <n v="1"/>
    <n v="0"/>
    <n v="0"/>
    <n v="0"/>
    <n v="0"/>
    <n v="0"/>
    <n v="2"/>
    <n v="1"/>
    <n v="0"/>
    <n v="0"/>
    <n v="0"/>
    <n v="0"/>
    <n v="0"/>
    <n v="0"/>
    <n v="0"/>
    <n v="0"/>
    <n v="0"/>
    <n v="0"/>
    <n v="0"/>
    <n v="0"/>
    <n v="0"/>
    <n v="0"/>
    <n v="0"/>
    <n v="0"/>
    <n v="0"/>
    <n v="0"/>
    <x v="0"/>
    <x v="0"/>
    <x v="0"/>
    <x v="0"/>
    <x v="0"/>
    <m/>
    <x v="1"/>
    <x v="0"/>
    <n v="15"/>
    <m/>
    <n v="1"/>
    <n v="1"/>
    <n v="1"/>
    <m/>
    <m/>
    <m/>
    <m/>
    <m/>
    <m/>
    <m/>
    <m/>
    <m/>
    <m/>
    <m/>
    <m/>
    <m/>
    <m/>
    <m/>
    <m/>
    <m/>
    <n v="3"/>
    <n v="3"/>
  </r>
  <r>
    <n v="7343"/>
    <x v="2"/>
    <s v="2020/0478"/>
    <s v="Unit B, Molasses House, Clove Hitch Quay (Plantation Wharf)"/>
    <m/>
    <n v="526450"/>
    <n v="175834"/>
    <x v="11"/>
    <m/>
    <m/>
    <n v="0"/>
    <n v="5"/>
    <n v="5"/>
    <n v="5"/>
    <n v="5"/>
    <x v="0"/>
    <s v="Determination as to whether prior approval is required for change of use from Office (Class B1) to 5 x 1-bedroom flats (Class C3)."/>
    <s v="PAG"/>
    <d v="2020-02-12T00:00:00"/>
    <d v="2020-03-30T00:00:00"/>
    <x v="1"/>
    <s v="Nil"/>
    <m/>
    <s v="BF"/>
    <s v="COU"/>
    <x v="0"/>
    <x v="6"/>
    <n v="1.30000002682209E-2"/>
    <m/>
    <x v="0"/>
    <m/>
    <x v="0"/>
    <s v="M"/>
    <m/>
    <m/>
    <n v="0"/>
    <n v="0"/>
    <n v="0"/>
    <n v="0"/>
    <n v="0"/>
    <n v="5"/>
    <n v="0"/>
    <n v="0"/>
    <n v="0"/>
    <n v="0"/>
    <n v="0"/>
    <n v="0"/>
    <n v="5"/>
    <n v="0"/>
    <n v="0"/>
    <n v="0"/>
    <n v="0"/>
    <n v="0"/>
    <n v="0"/>
    <n v="0"/>
    <n v="0"/>
    <n v="0"/>
    <n v="0"/>
    <n v="0"/>
    <n v="0"/>
    <n v="0"/>
    <n v="0"/>
    <n v="0"/>
    <n v="0"/>
    <n v="0"/>
    <n v="0"/>
    <n v="0"/>
    <x v="0"/>
    <x v="0"/>
    <x v="0"/>
    <x v="0"/>
    <x v="0"/>
    <m/>
    <x v="1"/>
    <x v="0"/>
    <n v="15"/>
    <m/>
    <n v="1.6666666666666667"/>
    <n v="1.6666666666666667"/>
    <n v="1.6666666666666667"/>
    <m/>
    <m/>
    <m/>
    <m/>
    <m/>
    <m/>
    <m/>
    <m/>
    <m/>
    <m/>
    <m/>
    <m/>
    <m/>
    <m/>
    <m/>
    <m/>
    <m/>
    <n v="5"/>
    <n v="5"/>
  </r>
  <r>
    <n v="7344"/>
    <x v="2"/>
    <s v="2020/0490"/>
    <s v="Unit D, Molasses House, Clove Hitch Quay (Plantation Wharf)"/>
    <m/>
    <n v="526471"/>
    <n v="175874"/>
    <x v="11"/>
    <m/>
    <m/>
    <n v="0"/>
    <n v="3"/>
    <n v="3"/>
    <n v="3"/>
    <n v="3"/>
    <x v="0"/>
    <s v="Determination as to whether prior approval is required for change of use from Office (Class B1) to 2 x 1-bedroom flats 1 x 2-bedroom flat (Class C3)."/>
    <s v="PAG"/>
    <d v="2020-02-12T00:00:00"/>
    <d v="2020-03-30T00:00:00"/>
    <x v="1"/>
    <s v="Nil"/>
    <m/>
    <s v="BF"/>
    <s v="COU"/>
    <x v="0"/>
    <x v="6"/>
    <n v="3.0000000260770299E-3"/>
    <m/>
    <x v="0"/>
    <m/>
    <x v="0"/>
    <s v="M"/>
    <m/>
    <m/>
    <n v="0"/>
    <n v="0"/>
    <n v="0"/>
    <n v="0"/>
    <n v="0"/>
    <n v="2"/>
    <n v="1"/>
    <n v="0"/>
    <n v="0"/>
    <n v="0"/>
    <n v="0"/>
    <n v="0"/>
    <n v="2"/>
    <n v="1"/>
    <n v="0"/>
    <n v="0"/>
    <n v="0"/>
    <n v="0"/>
    <n v="0"/>
    <n v="0"/>
    <n v="0"/>
    <n v="0"/>
    <n v="0"/>
    <n v="0"/>
    <n v="0"/>
    <n v="0"/>
    <n v="0"/>
    <n v="0"/>
    <n v="0"/>
    <n v="0"/>
    <n v="0"/>
    <n v="0"/>
    <x v="0"/>
    <x v="0"/>
    <x v="0"/>
    <x v="0"/>
    <x v="0"/>
    <m/>
    <x v="1"/>
    <x v="0"/>
    <n v="15"/>
    <m/>
    <n v="1"/>
    <n v="1"/>
    <n v="1"/>
    <m/>
    <m/>
    <m/>
    <m/>
    <m/>
    <m/>
    <m/>
    <m/>
    <m/>
    <m/>
    <m/>
    <m/>
    <m/>
    <m/>
    <m/>
    <m/>
    <m/>
    <n v="3"/>
    <n v="3"/>
  </r>
  <r>
    <n v="7356"/>
    <x v="2"/>
    <s v="2016/1069"/>
    <s v="Apartments 233 and 240, 4 Riverlight Quay (Riverlight)"/>
    <m/>
    <n v="529387"/>
    <n v="177552"/>
    <x v="12"/>
    <m/>
    <m/>
    <n v="2"/>
    <n v="1"/>
    <n v="-1"/>
    <n v="1"/>
    <n v="-1"/>
    <x v="0"/>
    <s v="Conversion of two 3-bedroom units (flat nos. 233 and 240) into one 5-bedroom unit on the 11th floor of 4 Riverlight Quay. No external alterations are proposed."/>
    <s v="PF"/>
    <d v="2016-03-14T00:00:00"/>
    <d v="2016-03-14T00:00:00"/>
    <x v="0"/>
    <s v="Nil"/>
    <m/>
    <s v="BF"/>
    <s v="CON"/>
    <x v="0"/>
    <x v="0"/>
    <n v="2.0000000949949E-3"/>
    <m/>
    <x v="0"/>
    <m/>
    <x v="0"/>
    <s v="M"/>
    <s v="2.1.9"/>
    <m/>
    <n v="0"/>
    <n v="0"/>
    <n v="0"/>
    <n v="0"/>
    <n v="0"/>
    <n v="0"/>
    <n v="0"/>
    <n v="-2"/>
    <n v="0"/>
    <n v="1"/>
    <n v="0"/>
    <n v="0"/>
    <n v="0"/>
    <n v="0"/>
    <n v="-2"/>
    <n v="0"/>
    <n v="1"/>
    <n v="0"/>
    <n v="0"/>
    <n v="0"/>
    <n v="0"/>
    <n v="0"/>
    <n v="0"/>
    <n v="0"/>
    <n v="0"/>
    <n v="0"/>
    <n v="0"/>
    <n v="0"/>
    <n v="0"/>
    <n v="0"/>
    <n v="0"/>
    <n v="0"/>
    <x v="0"/>
    <x v="1"/>
    <x v="0"/>
    <x v="0"/>
    <x v="0"/>
    <m/>
    <x v="0"/>
    <x v="0"/>
    <n v="15"/>
    <m/>
    <n v="-0.33333333333333331"/>
    <n v="-0.33333333333333331"/>
    <n v="-0.33333333333333331"/>
    <m/>
    <m/>
    <m/>
    <m/>
    <m/>
    <m/>
    <m/>
    <m/>
    <m/>
    <m/>
    <m/>
    <m/>
    <m/>
    <m/>
    <m/>
    <m/>
    <m/>
    <n v="-1"/>
    <n v="-1"/>
  </r>
  <r>
    <n v="7368"/>
    <x v="2"/>
    <s v="2018/4505"/>
    <s v="Garages West of 2a, 2a Isis Street"/>
    <m/>
    <n v="526149"/>
    <n v="172683"/>
    <x v="8"/>
    <m/>
    <m/>
    <n v="0"/>
    <n v="1"/>
    <n v="1"/>
    <n v="1"/>
    <n v="1"/>
    <x v="0"/>
    <s v="Erection of single storey plus basement 1-bedroom house with front lightwell and associated refuse storage."/>
    <s v="PF"/>
    <d v="2018-09-19T00:00:00"/>
    <d v="2018-11-14T00:00:00"/>
    <x v="0"/>
    <s v="Nil"/>
    <m/>
    <s v="BF"/>
    <s v="NB"/>
    <x v="0"/>
    <x v="5"/>
    <n v="6.0000000521540598E-3"/>
    <m/>
    <x v="0"/>
    <m/>
    <x v="0"/>
    <s v="M"/>
    <m/>
    <m/>
    <n v="0"/>
    <n v="0"/>
    <n v="0"/>
    <n v="0"/>
    <n v="0"/>
    <n v="1"/>
    <n v="0"/>
    <n v="0"/>
    <n v="0"/>
    <n v="0"/>
    <n v="0"/>
    <n v="0"/>
    <n v="0"/>
    <n v="0"/>
    <n v="0"/>
    <n v="0"/>
    <n v="0"/>
    <n v="0"/>
    <n v="0"/>
    <n v="1"/>
    <n v="0"/>
    <n v="0"/>
    <n v="0"/>
    <n v="0"/>
    <n v="0"/>
    <n v="0"/>
    <n v="0"/>
    <n v="0"/>
    <n v="0"/>
    <n v="0"/>
    <n v="0"/>
    <n v="0"/>
    <x v="0"/>
    <x v="0"/>
    <x v="0"/>
    <x v="0"/>
    <x v="0"/>
    <m/>
    <x v="0"/>
    <x v="0"/>
    <n v="6"/>
    <m/>
    <m/>
    <n v="0.25"/>
    <n v="0.25"/>
    <n v="0.25"/>
    <n v="0.25"/>
    <m/>
    <m/>
    <m/>
    <m/>
    <m/>
    <m/>
    <m/>
    <m/>
    <m/>
    <m/>
    <m/>
    <m/>
    <m/>
    <m/>
    <m/>
    <n v="1"/>
    <n v="1"/>
  </r>
  <r>
    <n v="7372"/>
    <x v="2"/>
    <s v="2020/0539"/>
    <s v="29 &amp; 29a, 29a Fairlight Street"/>
    <m/>
    <n v="526935"/>
    <n v="171633"/>
    <x v="1"/>
    <m/>
    <m/>
    <n v="0"/>
    <n v="1"/>
    <n v="1"/>
    <n v="1"/>
    <n v="1"/>
    <x v="0"/>
    <s v="Alterations including erection of mansard roof extension to main rear roof, raising the ridge by 300mm, extension above part of two-storey back addition in connection with creation of a 1 x 1-bedroom flat, with associated refuse storage to front garden and associated cycle storage."/>
    <s v="AF"/>
    <d v="2020-02-12T00:00:00"/>
    <m/>
    <x v="0"/>
    <s v="Nil"/>
    <m/>
    <s v="BF"/>
    <s v="EXT"/>
    <x v="0"/>
    <x v="3"/>
    <n v="4.0000001899898104E-3"/>
    <m/>
    <x v="0"/>
    <m/>
    <x v="0"/>
    <s v="M"/>
    <m/>
    <m/>
    <n v="0"/>
    <n v="0"/>
    <n v="0"/>
    <n v="0"/>
    <n v="0"/>
    <n v="1"/>
    <n v="0"/>
    <n v="0"/>
    <n v="0"/>
    <n v="0"/>
    <n v="0"/>
    <n v="0"/>
    <n v="1"/>
    <n v="0"/>
    <n v="0"/>
    <n v="0"/>
    <n v="0"/>
    <n v="0"/>
    <n v="0"/>
    <n v="0"/>
    <n v="0"/>
    <n v="0"/>
    <n v="0"/>
    <n v="0"/>
    <n v="0"/>
    <n v="0"/>
    <n v="0"/>
    <n v="0"/>
    <n v="0"/>
    <n v="0"/>
    <n v="0"/>
    <n v="0"/>
    <x v="0"/>
    <x v="0"/>
    <x v="0"/>
    <x v="0"/>
    <x v="0"/>
    <m/>
    <x v="0"/>
    <x v="0"/>
    <n v="15"/>
    <m/>
    <n v="0.33333333333333331"/>
    <n v="0.33333333333333331"/>
    <n v="0.33333333333333331"/>
    <m/>
    <m/>
    <m/>
    <m/>
    <m/>
    <m/>
    <m/>
    <m/>
    <m/>
    <m/>
    <m/>
    <m/>
    <m/>
    <m/>
    <m/>
    <m/>
    <m/>
    <n v="1"/>
    <n v="1"/>
  </r>
  <r>
    <n v="3745"/>
    <x v="3"/>
    <s v="2018/0210"/>
    <s v="Land rear of 4-24, Thrale Road (Land rear of Mitcham Lane)"/>
    <s v="Block A"/>
    <n v="529291"/>
    <n v="171210"/>
    <x v="7"/>
    <m/>
    <m/>
    <n v="0"/>
    <n v="6"/>
    <n v="6"/>
    <n v="22"/>
    <n v="22"/>
    <x v="1"/>
    <s v="Demolition of existing garage structures and erection of 22 residential units (6x1bedroom, 10x2-bedroom and 6x3-bedroom) within three two/three-storey buildings accessed from Thrale Road (between Nos. 16 and 18 Thrale Road) with associated car and cycle parking, refuse storage and landscaping."/>
    <s v="SLA"/>
    <d v="2018-03-05T00:00:00"/>
    <m/>
    <x v="0"/>
    <s v="Nil"/>
    <m/>
    <s v="BF"/>
    <s v="NB"/>
    <x v="1"/>
    <x v="7"/>
    <n v="4.80000004172325E-2"/>
    <m/>
    <x v="0"/>
    <m/>
    <x v="0"/>
    <s v="M"/>
    <m/>
    <m/>
    <n v="0"/>
    <n v="0"/>
    <n v="0"/>
    <n v="0"/>
    <n v="0"/>
    <n v="3"/>
    <n v="3"/>
    <n v="0"/>
    <n v="0"/>
    <n v="0"/>
    <n v="0"/>
    <n v="0"/>
    <n v="3"/>
    <n v="3"/>
    <n v="0"/>
    <n v="0"/>
    <n v="0"/>
    <n v="0"/>
    <n v="0"/>
    <n v="0"/>
    <n v="0"/>
    <n v="0"/>
    <n v="0"/>
    <n v="0"/>
    <n v="0"/>
    <n v="0"/>
    <n v="0"/>
    <n v="0"/>
    <n v="0"/>
    <n v="0"/>
    <n v="0"/>
    <n v="0"/>
    <x v="0"/>
    <x v="0"/>
    <x v="0"/>
    <x v="0"/>
    <x v="0"/>
    <m/>
    <x v="0"/>
    <x v="0"/>
    <n v="8"/>
    <m/>
    <m/>
    <m/>
    <m/>
    <m/>
    <m/>
    <n v="2"/>
    <n v="2"/>
    <n v="2"/>
    <m/>
    <m/>
    <m/>
    <m/>
    <m/>
    <m/>
    <m/>
    <m/>
    <m/>
    <m/>
    <m/>
    <m/>
    <n v="0"/>
    <n v="6"/>
  </r>
  <r>
    <n v="3745"/>
    <x v="3"/>
    <s v="2018/0210"/>
    <s v="Land rear of 4-24, Thrale Road (Land rear of Mitcham Lane)"/>
    <s v="Block B"/>
    <n v="529291"/>
    <n v="171210"/>
    <x v="7"/>
    <m/>
    <m/>
    <n v="0"/>
    <n v="6"/>
    <n v="6"/>
    <n v="22"/>
    <n v="22"/>
    <x v="1"/>
    <s v="Demolition of existing garage structures and erection of 22 residential units (6x1bedroom, 10x2-bedroom and 6x3-bedroom) within three two/three-storey buildings accessed from Thrale Road (between Nos. 16 and 18 Thrale Road) with associated car and cycle parking, refuse storage and landscaping."/>
    <s v="SLA"/>
    <d v="2018-03-05T00:00:00"/>
    <m/>
    <x v="0"/>
    <s v="Nil"/>
    <m/>
    <s v="BF"/>
    <s v="NB"/>
    <x v="1"/>
    <x v="7"/>
    <n v="7.1999996900558499E-2"/>
    <m/>
    <x v="0"/>
    <m/>
    <x v="0"/>
    <s v="M"/>
    <m/>
    <m/>
    <n v="0"/>
    <n v="0"/>
    <n v="0"/>
    <n v="0"/>
    <n v="0"/>
    <n v="0"/>
    <n v="0"/>
    <n v="6"/>
    <n v="0"/>
    <n v="0"/>
    <n v="0"/>
    <n v="0"/>
    <n v="0"/>
    <n v="0"/>
    <n v="0"/>
    <n v="0"/>
    <n v="0"/>
    <n v="0"/>
    <n v="0"/>
    <n v="0"/>
    <n v="0"/>
    <n v="6"/>
    <n v="0"/>
    <n v="0"/>
    <n v="0"/>
    <n v="0"/>
    <n v="0"/>
    <n v="0"/>
    <n v="0"/>
    <n v="0"/>
    <n v="0"/>
    <n v="0"/>
    <x v="0"/>
    <x v="0"/>
    <x v="0"/>
    <x v="0"/>
    <x v="0"/>
    <m/>
    <x v="0"/>
    <x v="0"/>
    <n v="8"/>
    <m/>
    <m/>
    <m/>
    <m/>
    <m/>
    <m/>
    <n v="2"/>
    <n v="2"/>
    <n v="2"/>
    <m/>
    <m/>
    <m/>
    <m/>
    <m/>
    <m/>
    <m/>
    <m/>
    <m/>
    <m/>
    <m/>
    <m/>
    <n v="0"/>
    <n v="6"/>
  </r>
  <r>
    <n v="3745"/>
    <x v="3"/>
    <s v="2018/0210"/>
    <s v="Land rear of 4-24, Thrale Road (Land rear of Mitcham Lane)"/>
    <s v="Block C"/>
    <n v="529291"/>
    <n v="171210"/>
    <x v="7"/>
    <m/>
    <m/>
    <n v="0"/>
    <n v="10"/>
    <n v="10"/>
    <n v="22"/>
    <n v="22"/>
    <x v="1"/>
    <s v="Demolition of existing garage structures and erection of 22 residential units (6x1bedroom, 10x2-bedroom and 6x3-bedroom) within three two/three-storey buildings accessed from Thrale Road (between Nos. 16 and 18 Thrale Road) with associated car and cycle parking, refuse storage and landscaping."/>
    <s v="SLA"/>
    <d v="2018-03-05T00:00:00"/>
    <m/>
    <x v="0"/>
    <s v="Nil"/>
    <m/>
    <s v="BF"/>
    <s v="NB"/>
    <x v="1"/>
    <x v="7"/>
    <n v="7.8000001609325395E-2"/>
    <m/>
    <x v="0"/>
    <m/>
    <x v="0"/>
    <s v="M"/>
    <m/>
    <m/>
    <n v="0"/>
    <n v="0"/>
    <n v="0"/>
    <n v="0"/>
    <n v="0"/>
    <n v="4"/>
    <n v="6"/>
    <n v="0"/>
    <n v="0"/>
    <n v="0"/>
    <n v="0"/>
    <n v="0"/>
    <n v="4"/>
    <n v="6"/>
    <n v="0"/>
    <n v="0"/>
    <n v="0"/>
    <n v="0"/>
    <n v="0"/>
    <n v="0"/>
    <n v="0"/>
    <n v="0"/>
    <n v="0"/>
    <n v="0"/>
    <n v="0"/>
    <n v="0"/>
    <n v="0"/>
    <n v="0"/>
    <n v="0"/>
    <n v="0"/>
    <n v="0"/>
    <n v="0"/>
    <x v="0"/>
    <x v="0"/>
    <x v="0"/>
    <x v="0"/>
    <x v="0"/>
    <m/>
    <x v="0"/>
    <x v="0"/>
    <n v="8"/>
    <m/>
    <m/>
    <m/>
    <m/>
    <m/>
    <m/>
    <n v="3.3333333333333335"/>
    <n v="3.3333333333333335"/>
    <n v="3.3333333333333335"/>
    <m/>
    <m/>
    <m/>
    <m/>
    <m/>
    <m/>
    <m/>
    <m/>
    <m/>
    <m/>
    <m/>
    <m/>
    <n v="0"/>
    <n v="10"/>
  </r>
  <r>
    <n v="6657"/>
    <x v="3"/>
    <s v="2017/4141"/>
    <s v="Brocklebank Health Centre, 249 Garratt Lane (and others), 229-247 Garratt Lane (Garratt Lane and Atheldene Regeneration Site)"/>
    <s v="Phase 1"/>
    <n v="525999"/>
    <n v="173647"/>
    <x v="8"/>
    <m/>
    <m/>
    <n v="0"/>
    <n v="64"/>
    <n v="64"/>
    <n v="193"/>
    <n v="182"/>
    <x v="1"/>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x v="0"/>
    <s v="Nil"/>
    <m/>
    <s v="BF"/>
    <s v="NB"/>
    <x v="1"/>
    <x v="7"/>
    <n v="0"/>
    <m/>
    <x v="0"/>
    <m/>
    <x v="0"/>
    <s v="M"/>
    <m/>
    <m/>
    <n v="0"/>
    <n v="0"/>
    <n v="0"/>
    <n v="0"/>
    <n v="0"/>
    <n v="9"/>
    <n v="38"/>
    <n v="2"/>
    <n v="15"/>
    <n v="0"/>
    <n v="0"/>
    <n v="0"/>
    <n v="9"/>
    <n v="38"/>
    <n v="1"/>
    <n v="0"/>
    <n v="0"/>
    <n v="0"/>
    <n v="0"/>
    <n v="0"/>
    <n v="0"/>
    <n v="1"/>
    <n v="15"/>
    <n v="0"/>
    <n v="0"/>
    <n v="0"/>
    <n v="0"/>
    <n v="0"/>
    <n v="0"/>
    <n v="0"/>
    <n v="0"/>
    <n v="0"/>
    <x v="0"/>
    <x v="0"/>
    <x v="0"/>
    <x v="0"/>
    <x v="0"/>
    <m/>
    <x v="0"/>
    <x v="0"/>
    <n v="7"/>
    <m/>
    <m/>
    <m/>
    <n v="64"/>
    <m/>
    <m/>
    <m/>
    <m/>
    <m/>
    <m/>
    <m/>
    <m/>
    <m/>
    <m/>
    <m/>
    <m/>
    <m/>
    <m/>
    <m/>
    <m/>
    <m/>
    <n v="64"/>
    <n v="64"/>
  </r>
  <r>
    <n v="6657"/>
    <x v="3"/>
    <s v="2017/4141"/>
    <s v="Brocklebank Health Centre, 249 Garratt Lane (and others), 229-247 Garratt Lane (Garratt Lane and Atheldene Regeneration Site)"/>
    <s v="Phase 1"/>
    <n v="525999"/>
    <n v="173647"/>
    <x v="8"/>
    <m/>
    <m/>
    <n v="0"/>
    <n v="33"/>
    <n v="33"/>
    <n v="193"/>
    <n v="182"/>
    <x v="1"/>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x v="0"/>
    <s v="Nil"/>
    <m/>
    <s v="BF"/>
    <s v="NB"/>
    <x v="1"/>
    <x v="7"/>
    <n v="0"/>
    <m/>
    <x v="0"/>
    <m/>
    <x v="1"/>
    <s v="ISO"/>
    <m/>
    <m/>
    <n v="0"/>
    <n v="0"/>
    <n v="0"/>
    <n v="0"/>
    <n v="0"/>
    <n v="11"/>
    <n v="16"/>
    <n v="6"/>
    <n v="0"/>
    <n v="0"/>
    <n v="0"/>
    <n v="0"/>
    <n v="11"/>
    <n v="16"/>
    <n v="4"/>
    <n v="0"/>
    <n v="0"/>
    <n v="0"/>
    <n v="0"/>
    <n v="0"/>
    <n v="0"/>
    <n v="2"/>
    <n v="0"/>
    <n v="0"/>
    <n v="0"/>
    <n v="0"/>
    <n v="0"/>
    <n v="0"/>
    <n v="0"/>
    <n v="0"/>
    <n v="0"/>
    <n v="0"/>
    <x v="0"/>
    <x v="0"/>
    <x v="0"/>
    <x v="0"/>
    <x v="0"/>
    <m/>
    <x v="0"/>
    <x v="0"/>
    <n v="7"/>
    <m/>
    <m/>
    <m/>
    <n v="33"/>
    <m/>
    <m/>
    <m/>
    <m/>
    <m/>
    <m/>
    <m/>
    <m/>
    <m/>
    <m/>
    <m/>
    <m/>
    <m/>
    <m/>
    <m/>
    <m/>
    <m/>
    <n v="33"/>
    <n v="33"/>
  </r>
  <r>
    <n v="6657"/>
    <x v="3"/>
    <s v="2017/4141"/>
    <s v="Brocklebank Health Centre, 249 Garratt Lane (and others), 229-247 Garratt Lane (Garratt Lane and Atheldene Regeneration Site)"/>
    <s v="Phase 1"/>
    <n v="525999"/>
    <n v="173647"/>
    <x v="8"/>
    <m/>
    <m/>
    <n v="11"/>
    <n v="11"/>
    <n v="0"/>
    <n v="193"/>
    <n v="182"/>
    <x v="1"/>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x v="0"/>
    <s v="Nil"/>
    <m/>
    <s v="BF"/>
    <s v="NB"/>
    <x v="1"/>
    <x v="7"/>
    <n v="0"/>
    <m/>
    <x v="0"/>
    <m/>
    <x v="2"/>
    <s v="AS"/>
    <m/>
    <m/>
    <n v="0"/>
    <n v="0"/>
    <n v="0"/>
    <n v="0"/>
    <n v="0"/>
    <n v="0"/>
    <n v="-3"/>
    <n v="-4"/>
    <n v="7"/>
    <n v="0"/>
    <n v="0"/>
    <n v="0"/>
    <n v="0"/>
    <n v="-3"/>
    <n v="0"/>
    <n v="0"/>
    <n v="0"/>
    <n v="0"/>
    <n v="0"/>
    <n v="0"/>
    <n v="0"/>
    <n v="-4"/>
    <n v="7"/>
    <n v="0"/>
    <n v="0"/>
    <n v="0"/>
    <n v="0"/>
    <n v="0"/>
    <n v="0"/>
    <n v="0"/>
    <n v="0"/>
    <n v="0"/>
    <x v="0"/>
    <x v="0"/>
    <x v="0"/>
    <x v="0"/>
    <x v="0"/>
    <m/>
    <x v="0"/>
    <x v="0"/>
    <n v="7"/>
    <m/>
    <m/>
    <m/>
    <n v="0"/>
    <m/>
    <m/>
    <m/>
    <m/>
    <m/>
    <m/>
    <m/>
    <m/>
    <m/>
    <m/>
    <m/>
    <m/>
    <m/>
    <m/>
    <m/>
    <m/>
    <m/>
    <n v="0"/>
    <n v="0"/>
  </r>
  <r>
    <n v="6657"/>
    <x v="3"/>
    <s v="2017/4141"/>
    <s v="Brocklebank Health Centre, 249 Garratt Lane (and others), 229-247 Garratt Lane (Garratt Lane and Atheldene Regeneration Site)"/>
    <s v="Phase 1"/>
    <n v="525999"/>
    <n v="173647"/>
    <x v="8"/>
    <m/>
    <m/>
    <n v="0"/>
    <n v="2"/>
    <n v="2"/>
    <n v="193"/>
    <n v="182"/>
    <x v="1"/>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x v="0"/>
    <s v="Nil"/>
    <m/>
    <s v="BF"/>
    <s v="NB"/>
    <x v="1"/>
    <x v="7"/>
    <n v="0"/>
    <m/>
    <x v="0"/>
    <m/>
    <x v="1"/>
    <s v="IR"/>
    <m/>
    <m/>
    <n v="0"/>
    <n v="0"/>
    <n v="0"/>
    <n v="0"/>
    <n v="0"/>
    <n v="0"/>
    <n v="0"/>
    <n v="2"/>
    <n v="0"/>
    <n v="0"/>
    <n v="0"/>
    <n v="0"/>
    <n v="0"/>
    <n v="0"/>
    <n v="2"/>
    <n v="0"/>
    <n v="0"/>
    <n v="0"/>
    <n v="0"/>
    <n v="0"/>
    <n v="0"/>
    <n v="0"/>
    <n v="0"/>
    <n v="0"/>
    <n v="0"/>
    <n v="0"/>
    <n v="0"/>
    <n v="0"/>
    <n v="0"/>
    <n v="0"/>
    <n v="0"/>
    <n v="0"/>
    <x v="0"/>
    <x v="0"/>
    <x v="0"/>
    <x v="0"/>
    <x v="0"/>
    <m/>
    <x v="0"/>
    <x v="0"/>
    <n v="7"/>
    <m/>
    <m/>
    <m/>
    <n v="2"/>
    <m/>
    <m/>
    <m/>
    <m/>
    <m/>
    <m/>
    <m/>
    <m/>
    <m/>
    <m/>
    <m/>
    <m/>
    <m/>
    <m/>
    <m/>
    <m/>
    <m/>
    <n v="2"/>
    <n v="2"/>
  </r>
  <r>
    <n v="6657"/>
    <x v="3"/>
    <s v="2017/4141"/>
    <s v="Brocklebank Health Centre, 249 Garratt Lane (and others), 229-247 Garratt Lane (Garratt Lane and Atheldene Regeneration Site)"/>
    <s v="Phase 2"/>
    <n v="525999"/>
    <n v="173647"/>
    <x v="8"/>
    <m/>
    <m/>
    <n v="0"/>
    <n v="52"/>
    <n v="52"/>
    <n v="193"/>
    <n v="182"/>
    <x v="1"/>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x v="0"/>
    <s v="Nil"/>
    <m/>
    <s v="BF"/>
    <s v="NB"/>
    <x v="1"/>
    <x v="7"/>
    <n v="0"/>
    <m/>
    <x v="0"/>
    <m/>
    <x v="0"/>
    <s v="M"/>
    <m/>
    <m/>
    <n v="0"/>
    <n v="0"/>
    <n v="0"/>
    <n v="0"/>
    <n v="0"/>
    <n v="14"/>
    <n v="36"/>
    <n v="2"/>
    <n v="0"/>
    <n v="0"/>
    <n v="0"/>
    <n v="0"/>
    <n v="14"/>
    <n v="36"/>
    <n v="1"/>
    <n v="0"/>
    <n v="0"/>
    <n v="0"/>
    <n v="0"/>
    <n v="0"/>
    <n v="0"/>
    <n v="1"/>
    <n v="0"/>
    <n v="0"/>
    <n v="0"/>
    <n v="0"/>
    <n v="0"/>
    <n v="0"/>
    <n v="0"/>
    <n v="0"/>
    <n v="0"/>
    <n v="0"/>
    <x v="0"/>
    <x v="0"/>
    <x v="0"/>
    <x v="0"/>
    <x v="0"/>
    <m/>
    <x v="0"/>
    <x v="0"/>
    <n v="7"/>
    <m/>
    <m/>
    <m/>
    <m/>
    <m/>
    <m/>
    <n v="52"/>
    <m/>
    <m/>
    <m/>
    <m/>
    <m/>
    <m/>
    <m/>
    <m/>
    <m/>
    <m/>
    <m/>
    <m/>
    <m/>
    <m/>
    <n v="0"/>
    <n v="52"/>
  </r>
  <r>
    <n v="6657"/>
    <x v="3"/>
    <s v="2017/4141"/>
    <s v="Brocklebank Health Centre, 249 Garratt Lane (and others), 229-247 Garratt Lane (Garratt Lane and Atheldene Regeneration Site)"/>
    <s v="Phase 2"/>
    <n v="525999"/>
    <n v="173647"/>
    <x v="8"/>
    <m/>
    <m/>
    <n v="0"/>
    <n v="23"/>
    <n v="23"/>
    <n v="193"/>
    <n v="182"/>
    <x v="1"/>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x v="0"/>
    <s v="Nil"/>
    <m/>
    <s v="BF"/>
    <s v="NB"/>
    <x v="1"/>
    <x v="7"/>
    <n v="0"/>
    <m/>
    <x v="0"/>
    <m/>
    <x v="1"/>
    <s v="ISO"/>
    <m/>
    <m/>
    <n v="0"/>
    <n v="0"/>
    <n v="0"/>
    <n v="0"/>
    <n v="0"/>
    <n v="3"/>
    <n v="16"/>
    <n v="4"/>
    <n v="0"/>
    <n v="0"/>
    <n v="0"/>
    <n v="0"/>
    <n v="3"/>
    <n v="16"/>
    <n v="4"/>
    <n v="0"/>
    <n v="0"/>
    <n v="0"/>
    <n v="0"/>
    <n v="0"/>
    <n v="0"/>
    <n v="0"/>
    <n v="0"/>
    <n v="0"/>
    <n v="0"/>
    <n v="0"/>
    <n v="0"/>
    <n v="0"/>
    <n v="0"/>
    <n v="0"/>
    <n v="0"/>
    <n v="0"/>
    <x v="0"/>
    <x v="0"/>
    <x v="0"/>
    <x v="0"/>
    <x v="0"/>
    <m/>
    <x v="0"/>
    <x v="0"/>
    <n v="7"/>
    <m/>
    <m/>
    <m/>
    <m/>
    <m/>
    <m/>
    <n v="23"/>
    <m/>
    <m/>
    <m/>
    <m/>
    <m/>
    <m/>
    <m/>
    <m/>
    <m/>
    <m/>
    <m/>
    <m/>
    <m/>
    <m/>
    <n v="0"/>
    <n v="23"/>
  </r>
  <r>
    <n v="6657"/>
    <x v="3"/>
    <s v="2017/4141"/>
    <s v="Brocklebank Health Centre, 249 Garratt Lane (and others), 229-247 Garratt Lane (Garratt Lane and Atheldene Regeneration Site)"/>
    <s v="Phase 2"/>
    <n v="525999"/>
    <n v="173647"/>
    <x v="8"/>
    <m/>
    <m/>
    <n v="0"/>
    <n v="8"/>
    <n v="8"/>
    <n v="193"/>
    <n v="182"/>
    <x v="1"/>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x v="0"/>
    <s v="Nil"/>
    <m/>
    <s v="BF"/>
    <s v="NB"/>
    <x v="1"/>
    <x v="7"/>
    <n v="0"/>
    <m/>
    <x v="0"/>
    <m/>
    <x v="2"/>
    <s v="AS"/>
    <m/>
    <m/>
    <n v="0"/>
    <n v="0"/>
    <n v="0"/>
    <n v="0"/>
    <n v="0"/>
    <n v="0"/>
    <n v="4"/>
    <n v="4"/>
    <n v="0"/>
    <n v="0"/>
    <n v="0"/>
    <n v="0"/>
    <n v="0"/>
    <n v="4"/>
    <n v="4"/>
    <n v="0"/>
    <n v="0"/>
    <n v="0"/>
    <n v="0"/>
    <n v="0"/>
    <n v="0"/>
    <n v="0"/>
    <n v="0"/>
    <n v="0"/>
    <n v="0"/>
    <n v="0"/>
    <n v="0"/>
    <n v="0"/>
    <n v="0"/>
    <n v="0"/>
    <n v="0"/>
    <n v="0"/>
    <x v="0"/>
    <x v="0"/>
    <x v="0"/>
    <x v="0"/>
    <x v="0"/>
    <m/>
    <x v="0"/>
    <x v="0"/>
    <n v="7"/>
    <m/>
    <m/>
    <m/>
    <m/>
    <m/>
    <m/>
    <n v="8"/>
    <m/>
    <m/>
    <m/>
    <m/>
    <m/>
    <m/>
    <m/>
    <m/>
    <m/>
    <m/>
    <m/>
    <m/>
    <m/>
    <m/>
    <n v="0"/>
    <n v="8"/>
  </r>
  <r>
    <n v="6744"/>
    <x v="3"/>
    <s v="2018/5540"/>
    <s v="Land adjacent, 101 Moring Road"/>
    <m/>
    <n v="528468"/>
    <n v="171491"/>
    <x v="10"/>
    <m/>
    <m/>
    <n v="0"/>
    <n v="1"/>
    <n v="1"/>
    <n v="1"/>
    <n v="1"/>
    <x v="0"/>
    <s v="Erection of two-storey (plus basement) 2-bedroom house with associated refuse and cycle storage."/>
    <s v="SLA"/>
    <d v="2018-12-12T00:00:00"/>
    <m/>
    <x v="0"/>
    <s v="Nil"/>
    <m/>
    <s v="BF"/>
    <s v="NB"/>
    <x v="0"/>
    <x v="5"/>
    <n v="2.5000000372528999E-2"/>
    <m/>
    <x v="0"/>
    <m/>
    <x v="0"/>
    <s v="M"/>
    <m/>
    <m/>
    <n v="0"/>
    <n v="0"/>
    <n v="0"/>
    <n v="0"/>
    <n v="0"/>
    <n v="0"/>
    <n v="1"/>
    <n v="0"/>
    <n v="0"/>
    <n v="0"/>
    <n v="0"/>
    <n v="0"/>
    <n v="0"/>
    <n v="0"/>
    <n v="0"/>
    <n v="0"/>
    <n v="0"/>
    <n v="0"/>
    <n v="0"/>
    <n v="0"/>
    <n v="1"/>
    <n v="0"/>
    <n v="0"/>
    <n v="0"/>
    <n v="0"/>
    <n v="0"/>
    <n v="0"/>
    <n v="0"/>
    <n v="0"/>
    <n v="0"/>
    <n v="0"/>
    <n v="0"/>
    <x v="0"/>
    <x v="0"/>
    <x v="0"/>
    <x v="0"/>
    <x v="0"/>
    <m/>
    <x v="0"/>
    <x v="0"/>
    <n v="6"/>
    <m/>
    <m/>
    <n v="0.25"/>
    <n v="0.25"/>
    <n v="0.25"/>
    <n v="0.25"/>
    <m/>
    <m/>
    <m/>
    <m/>
    <m/>
    <m/>
    <m/>
    <m/>
    <m/>
    <m/>
    <m/>
    <m/>
    <m/>
    <m/>
    <m/>
    <n v="1"/>
    <n v="1"/>
  </r>
  <r>
    <n v="7069"/>
    <x v="3"/>
    <s v="2018/5669"/>
    <s v="Ferrier Street Industrial Estate and 322 Old York Road, 1 Ferrier Street"/>
    <m/>
    <n v="525885"/>
    <n v="175045"/>
    <x v="2"/>
    <m/>
    <m/>
    <n v="1"/>
    <n v="74"/>
    <n v="73"/>
    <n v="106"/>
    <n v="105"/>
    <x v="1"/>
    <s v="Demolition of existing buildings and construction of mixed use development ranging from 4 to 10 storeys to provide 5826sqm light industrial (Class B1c) use, 5078sqm flexible business (Class B1) use, 106 residential units (Class C3) use and 213sqm retail use (Class A1/A3). Associated public realm works including on-site playspace, enlargement of the station square and alterations to the Ferrier Street ground floor retail frontage of 332 Old York Road."/>
    <s v="SLA"/>
    <d v="2018-12-05T00:00:00"/>
    <m/>
    <x v="0"/>
    <s v="Nil"/>
    <m/>
    <s v="BF"/>
    <s v="NB"/>
    <x v="1"/>
    <x v="7"/>
    <n v="0.196999996900558"/>
    <m/>
    <x v="0"/>
    <m/>
    <x v="0"/>
    <s v="M"/>
    <m/>
    <m/>
    <n v="0"/>
    <n v="67"/>
    <n v="0"/>
    <n v="7"/>
    <n v="0"/>
    <n v="44"/>
    <n v="26"/>
    <n v="3"/>
    <n v="0"/>
    <n v="0"/>
    <n v="0"/>
    <n v="0"/>
    <n v="44"/>
    <n v="26"/>
    <n v="3"/>
    <n v="0"/>
    <n v="0"/>
    <n v="0"/>
    <n v="0"/>
    <n v="0"/>
    <n v="0"/>
    <n v="0"/>
    <n v="0"/>
    <n v="0"/>
    <n v="0"/>
    <n v="0"/>
    <n v="0"/>
    <n v="0"/>
    <n v="0"/>
    <n v="0"/>
    <n v="0"/>
    <n v="0"/>
    <x v="0"/>
    <x v="0"/>
    <x v="1"/>
    <x v="0"/>
    <x v="0"/>
    <m/>
    <x v="0"/>
    <x v="0"/>
    <n v="7"/>
    <m/>
    <m/>
    <m/>
    <m/>
    <m/>
    <m/>
    <m/>
    <m/>
    <m/>
    <m/>
    <m/>
    <m/>
    <m/>
    <m/>
    <m/>
    <m/>
    <m/>
    <m/>
    <m/>
    <m/>
    <m/>
    <n v="0"/>
    <n v="0"/>
  </r>
  <r>
    <n v="7069"/>
    <x v="3"/>
    <s v="2018/5669"/>
    <s v="Ferrier Street Industrial Estate and 322 Old York Road, 1 Ferrier Street"/>
    <m/>
    <n v="525885"/>
    <n v="175045"/>
    <x v="2"/>
    <m/>
    <m/>
    <n v="0"/>
    <n v="17"/>
    <n v="17"/>
    <n v="106"/>
    <n v="105"/>
    <x v="1"/>
    <s v="Demolition of existing buildings and construction of mixed use development ranging from 4 to 10 storeys to provide 5826sqm light industrial (Class B1c) use, 5078sqm flexible business (Class B1) use, 106 residential units (Class C3) use and 213sqm retail use (Class A1/A3). Associated public realm works including on-site playspace, enlargement of the station square and alterations to the Ferrier Street ground floor retail frontage of 332 Old York Road."/>
    <s v="SLA"/>
    <d v="2018-12-05T00:00:00"/>
    <m/>
    <x v="0"/>
    <s v="Nil"/>
    <m/>
    <s v="BF"/>
    <s v="NB"/>
    <x v="1"/>
    <x v="7"/>
    <n v="4.5000001788139302E-2"/>
    <m/>
    <x v="0"/>
    <m/>
    <x v="2"/>
    <s v="AS"/>
    <m/>
    <m/>
    <n v="0"/>
    <n v="15"/>
    <n v="0"/>
    <n v="2"/>
    <n v="0"/>
    <n v="4"/>
    <n v="9"/>
    <n v="4"/>
    <n v="0"/>
    <n v="0"/>
    <n v="0"/>
    <n v="0"/>
    <n v="4"/>
    <n v="9"/>
    <n v="4"/>
    <n v="0"/>
    <n v="0"/>
    <n v="0"/>
    <n v="0"/>
    <n v="0"/>
    <n v="0"/>
    <n v="0"/>
    <n v="0"/>
    <n v="0"/>
    <n v="0"/>
    <n v="0"/>
    <n v="0"/>
    <n v="0"/>
    <n v="0"/>
    <n v="0"/>
    <n v="0"/>
    <n v="0"/>
    <x v="0"/>
    <x v="0"/>
    <x v="1"/>
    <x v="0"/>
    <x v="0"/>
    <m/>
    <x v="0"/>
    <x v="0"/>
    <n v="7"/>
    <m/>
    <m/>
    <m/>
    <m/>
    <m/>
    <m/>
    <m/>
    <m/>
    <m/>
    <m/>
    <m/>
    <m/>
    <m/>
    <m/>
    <m/>
    <m/>
    <m/>
    <m/>
    <m/>
    <m/>
    <m/>
    <n v="0"/>
    <n v="0"/>
  </r>
  <r>
    <n v="7069"/>
    <x v="3"/>
    <s v="2018/5669"/>
    <s v="Ferrier Street Industrial Estate and 322 Old York Road, 1 Ferrier Street"/>
    <m/>
    <n v="525885"/>
    <n v="175045"/>
    <x v="2"/>
    <m/>
    <m/>
    <n v="0"/>
    <n v="15"/>
    <n v="15"/>
    <n v="106"/>
    <n v="105"/>
    <x v="1"/>
    <s v="Demolition of existing buildings and construction of mixed use development ranging from 4 to 10 storeys to provide 5826sqm light industrial (Class B1c) use, 5078sqm flexible business (Class B1) use, 106 residential units (Class C3) use and 213sqm retail use (Class A1/A3). Associated public realm works including on-site playspace, enlargement of the station square and alterations to the Ferrier Street ground floor retail frontage of 332 Old York Road."/>
    <s v="SLA"/>
    <d v="2018-12-05T00:00:00"/>
    <m/>
    <x v="0"/>
    <s v="Nil"/>
    <m/>
    <s v="BF"/>
    <s v="NB"/>
    <x v="1"/>
    <x v="7"/>
    <n v="3.9999999105930301E-2"/>
    <m/>
    <x v="0"/>
    <m/>
    <x v="1"/>
    <s v="ISO"/>
    <m/>
    <m/>
    <n v="0"/>
    <n v="13"/>
    <n v="0"/>
    <n v="2"/>
    <n v="0"/>
    <n v="7"/>
    <n v="4"/>
    <n v="4"/>
    <n v="0"/>
    <n v="0"/>
    <n v="0"/>
    <n v="0"/>
    <n v="7"/>
    <n v="4"/>
    <n v="4"/>
    <n v="0"/>
    <n v="0"/>
    <n v="0"/>
    <n v="0"/>
    <n v="0"/>
    <n v="0"/>
    <n v="0"/>
    <n v="0"/>
    <n v="0"/>
    <n v="0"/>
    <n v="0"/>
    <n v="0"/>
    <n v="0"/>
    <n v="0"/>
    <n v="0"/>
    <n v="0"/>
    <n v="0"/>
    <x v="0"/>
    <x v="0"/>
    <x v="1"/>
    <x v="0"/>
    <x v="0"/>
    <m/>
    <x v="0"/>
    <x v="0"/>
    <n v="7"/>
    <m/>
    <m/>
    <m/>
    <m/>
    <m/>
    <m/>
    <m/>
    <m/>
    <m/>
    <m/>
    <m/>
    <m/>
    <m/>
    <m/>
    <m/>
    <m/>
    <m/>
    <m/>
    <m/>
    <m/>
    <m/>
    <n v="0"/>
    <n v="0"/>
  </r>
  <r>
    <n v="7101"/>
    <x v="3"/>
    <s v="2019/0024"/>
    <s v="Site of York Road, Winstanley Road (Part of Estate, York Gardens and Winstanley Estate)"/>
    <s v="Block 1A"/>
    <n v="526922"/>
    <n v="175807"/>
    <x v="16"/>
    <m/>
    <m/>
    <n v="0"/>
    <n v="150"/>
    <n v="150"/>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230000004172325"/>
    <m/>
    <x v="0"/>
    <m/>
    <x v="0"/>
    <s v="M"/>
    <m/>
    <m/>
    <n v="0"/>
    <n v="0"/>
    <n v="0"/>
    <n v="0"/>
    <n v="0"/>
    <n v="60"/>
    <n v="61"/>
    <n v="29"/>
    <n v="0"/>
    <n v="0"/>
    <n v="0"/>
    <n v="0"/>
    <n v="60"/>
    <n v="61"/>
    <n v="29"/>
    <n v="0"/>
    <n v="0"/>
    <n v="0"/>
    <n v="0"/>
    <n v="0"/>
    <n v="0"/>
    <n v="0"/>
    <n v="0"/>
    <n v="0"/>
    <n v="0"/>
    <n v="0"/>
    <n v="0"/>
    <n v="0"/>
    <n v="0"/>
    <n v="0"/>
    <n v="0"/>
    <n v="0"/>
    <x v="0"/>
    <x v="0"/>
    <x v="0"/>
    <x v="1"/>
    <x v="0"/>
    <m/>
    <x v="0"/>
    <x v="0"/>
    <n v="7"/>
    <m/>
    <m/>
    <m/>
    <m/>
    <m/>
    <n v="150"/>
    <m/>
    <m/>
    <m/>
    <m/>
    <m/>
    <m/>
    <m/>
    <m/>
    <m/>
    <m/>
    <m/>
    <m/>
    <m/>
    <m/>
    <m/>
    <n v="150"/>
    <n v="150"/>
  </r>
  <r>
    <n v="7101"/>
    <x v="3"/>
    <s v="2019/0024"/>
    <s v="Site of York Road, Winstanley Road (Part of Estate, York Gardens and Winstanley Estate)"/>
    <s v="Block 1C"/>
    <n v="526922"/>
    <n v="175807"/>
    <x v="16"/>
    <m/>
    <m/>
    <n v="0"/>
    <n v="89"/>
    <n v="89"/>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13699999451637301"/>
    <m/>
    <x v="0"/>
    <m/>
    <x v="0"/>
    <s v="M"/>
    <m/>
    <m/>
    <n v="0"/>
    <n v="0"/>
    <n v="0"/>
    <n v="0"/>
    <n v="7"/>
    <n v="30"/>
    <n v="34"/>
    <n v="18"/>
    <n v="0"/>
    <n v="0"/>
    <n v="0"/>
    <n v="7"/>
    <n v="30"/>
    <n v="34"/>
    <n v="18"/>
    <n v="0"/>
    <n v="0"/>
    <n v="0"/>
    <n v="0"/>
    <n v="0"/>
    <n v="0"/>
    <n v="0"/>
    <n v="0"/>
    <n v="0"/>
    <n v="0"/>
    <n v="0"/>
    <n v="0"/>
    <n v="0"/>
    <n v="0"/>
    <n v="0"/>
    <n v="0"/>
    <n v="0"/>
    <x v="0"/>
    <x v="0"/>
    <x v="0"/>
    <x v="1"/>
    <x v="0"/>
    <m/>
    <x v="0"/>
    <x v="0"/>
    <n v="7"/>
    <m/>
    <m/>
    <m/>
    <m/>
    <m/>
    <n v="89"/>
    <m/>
    <m/>
    <m/>
    <m/>
    <m/>
    <m/>
    <m/>
    <m/>
    <m/>
    <m/>
    <m/>
    <m/>
    <m/>
    <m/>
    <m/>
    <n v="89"/>
    <n v="89"/>
  </r>
  <r>
    <n v="7101"/>
    <x v="3"/>
    <s v="2019/0024"/>
    <s v="Site of York Road, Winstanley Road (Part of Estate, York Gardens and Winstanley Estate)"/>
    <s v="Block 5A"/>
    <n v="526922"/>
    <n v="175807"/>
    <x v="16"/>
    <m/>
    <m/>
    <n v="0"/>
    <n v="65"/>
    <n v="65"/>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10000000149011599"/>
    <m/>
    <x v="0"/>
    <m/>
    <x v="1"/>
    <s v="ISE"/>
    <m/>
    <m/>
    <n v="0"/>
    <n v="0"/>
    <n v="0"/>
    <n v="0"/>
    <n v="0"/>
    <n v="35"/>
    <n v="25"/>
    <n v="5"/>
    <n v="0"/>
    <n v="0"/>
    <n v="0"/>
    <n v="0"/>
    <n v="35"/>
    <n v="25"/>
    <n v="5"/>
    <n v="0"/>
    <n v="0"/>
    <n v="0"/>
    <n v="0"/>
    <n v="0"/>
    <n v="0"/>
    <n v="0"/>
    <n v="0"/>
    <n v="0"/>
    <n v="0"/>
    <n v="0"/>
    <n v="0"/>
    <n v="0"/>
    <n v="0"/>
    <n v="0"/>
    <n v="0"/>
    <n v="0"/>
    <x v="0"/>
    <x v="0"/>
    <x v="0"/>
    <x v="1"/>
    <x v="0"/>
    <m/>
    <x v="0"/>
    <x v="0"/>
    <n v="7"/>
    <m/>
    <m/>
    <m/>
    <m/>
    <n v="65"/>
    <m/>
    <m/>
    <m/>
    <m/>
    <m/>
    <m/>
    <m/>
    <m/>
    <m/>
    <m/>
    <m/>
    <m/>
    <m/>
    <m/>
    <m/>
    <m/>
    <n v="65"/>
    <n v="65"/>
  </r>
  <r>
    <n v="7101"/>
    <x v="3"/>
    <s v="2019/0024"/>
    <s v="Site of York Road, Winstanley Road (Part of Estate, York Gardens and Winstanley Estate)"/>
    <s v="Block 5B"/>
    <n v="526922"/>
    <n v="175807"/>
    <x v="16"/>
    <m/>
    <m/>
    <n v="0"/>
    <n v="17"/>
    <n v="17"/>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2.60000005364418E-2"/>
    <m/>
    <x v="0"/>
    <m/>
    <x v="2"/>
    <s v="AC"/>
    <m/>
    <m/>
    <n v="0"/>
    <n v="0"/>
    <n v="0"/>
    <n v="0"/>
    <n v="0"/>
    <n v="3"/>
    <n v="2"/>
    <n v="6"/>
    <n v="4"/>
    <n v="2"/>
    <n v="0"/>
    <n v="0"/>
    <n v="3"/>
    <n v="2"/>
    <n v="6"/>
    <n v="4"/>
    <n v="2"/>
    <n v="0"/>
    <n v="0"/>
    <n v="0"/>
    <n v="0"/>
    <n v="0"/>
    <n v="0"/>
    <n v="0"/>
    <n v="0"/>
    <n v="0"/>
    <n v="0"/>
    <n v="0"/>
    <n v="0"/>
    <n v="0"/>
    <n v="0"/>
    <n v="0"/>
    <x v="0"/>
    <x v="0"/>
    <x v="0"/>
    <x v="1"/>
    <x v="0"/>
    <m/>
    <x v="0"/>
    <x v="0"/>
    <n v="7"/>
    <m/>
    <m/>
    <m/>
    <m/>
    <n v="17"/>
    <m/>
    <m/>
    <m/>
    <m/>
    <m/>
    <m/>
    <m/>
    <m/>
    <m/>
    <m/>
    <m/>
    <m/>
    <m/>
    <m/>
    <m/>
    <m/>
    <n v="17"/>
    <n v="17"/>
  </r>
  <r>
    <n v="7101"/>
    <x v="3"/>
    <s v="2019/0024"/>
    <s v="Site of York Road, Winstanley Road (Part of Estate, York Gardens and Winstanley Estate)"/>
    <s v="Block 5B"/>
    <n v="526922"/>
    <n v="175807"/>
    <x v="16"/>
    <m/>
    <m/>
    <n v="0"/>
    <n v="4"/>
    <n v="4"/>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6.0000000521540598E-3"/>
    <m/>
    <x v="0"/>
    <m/>
    <x v="1"/>
    <s v="ISE"/>
    <m/>
    <m/>
    <n v="0"/>
    <n v="0"/>
    <n v="0"/>
    <n v="0"/>
    <n v="0"/>
    <n v="0"/>
    <n v="0"/>
    <n v="0"/>
    <n v="4"/>
    <n v="0"/>
    <n v="0"/>
    <n v="0"/>
    <n v="0"/>
    <n v="0"/>
    <n v="0"/>
    <n v="4"/>
    <n v="0"/>
    <n v="0"/>
    <n v="0"/>
    <n v="0"/>
    <n v="0"/>
    <n v="0"/>
    <n v="0"/>
    <n v="0"/>
    <n v="0"/>
    <n v="0"/>
    <n v="0"/>
    <n v="0"/>
    <n v="0"/>
    <n v="0"/>
    <n v="0"/>
    <n v="0"/>
    <x v="0"/>
    <x v="0"/>
    <x v="0"/>
    <x v="1"/>
    <x v="0"/>
    <m/>
    <x v="0"/>
    <x v="0"/>
    <n v="7"/>
    <m/>
    <m/>
    <m/>
    <m/>
    <n v="4"/>
    <m/>
    <m/>
    <m/>
    <m/>
    <m/>
    <m/>
    <m/>
    <m/>
    <m/>
    <m/>
    <m/>
    <m/>
    <m/>
    <m/>
    <m/>
    <m/>
    <n v="4"/>
    <n v="4"/>
  </r>
  <r>
    <n v="7101"/>
    <x v="3"/>
    <s v="2019/0024"/>
    <s v="Site of York Road, Winstanley Road (Part of Estate, York Gardens and Winstanley Estate)"/>
    <s v="Block 5C"/>
    <n v="526922"/>
    <n v="175807"/>
    <x v="16"/>
    <m/>
    <m/>
    <n v="0"/>
    <n v="34"/>
    <n v="34"/>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5.2000001072883599E-2"/>
    <m/>
    <x v="0"/>
    <m/>
    <x v="2"/>
    <s v="AC"/>
    <m/>
    <m/>
    <n v="0"/>
    <n v="0"/>
    <n v="0"/>
    <n v="0"/>
    <n v="0"/>
    <n v="3"/>
    <n v="14"/>
    <n v="12"/>
    <n v="3"/>
    <n v="2"/>
    <n v="0"/>
    <n v="0"/>
    <n v="3"/>
    <n v="14"/>
    <n v="12"/>
    <n v="3"/>
    <n v="2"/>
    <n v="0"/>
    <n v="0"/>
    <n v="0"/>
    <n v="0"/>
    <n v="0"/>
    <n v="0"/>
    <n v="0"/>
    <n v="0"/>
    <n v="0"/>
    <n v="0"/>
    <n v="0"/>
    <n v="0"/>
    <n v="0"/>
    <n v="0"/>
    <n v="0"/>
    <x v="0"/>
    <x v="0"/>
    <x v="0"/>
    <x v="1"/>
    <x v="0"/>
    <m/>
    <x v="0"/>
    <x v="0"/>
    <n v="7"/>
    <m/>
    <m/>
    <m/>
    <m/>
    <n v="34"/>
    <m/>
    <m/>
    <m/>
    <m/>
    <m/>
    <m/>
    <m/>
    <m/>
    <m/>
    <m/>
    <m/>
    <m/>
    <m/>
    <m/>
    <m/>
    <m/>
    <n v="34"/>
    <n v="34"/>
  </r>
  <r>
    <n v="7101"/>
    <x v="3"/>
    <s v="2019/0024"/>
    <s v="Site of York Road, Winstanley Road (Part of Estate, York Gardens and Winstanley Estate)"/>
    <s v="Block 5C"/>
    <n v="526922"/>
    <n v="175807"/>
    <x v="16"/>
    <m/>
    <m/>
    <n v="0"/>
    <n v="16"/>
    <n v="16"/>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2.5000000372528999E-2"/>
    <m/>
    <x v="0"/>
    <m/>
    <x v="1"/>
    <s v="ISE"/>
    <m/>
    <m/>
    <n v="0"/>
    <n v="0"/>
    <n v="0"/>
    <n v="0"/>
    <n v="0"/>
    <n v="5"/>
    <n v="11"/>
    <n v="0"/>
    <n v="0"/>
    <n v="0"/>
    <n v="0"/>
    <n v="0"/>
    <n v="5"/>
    <n v="11"/>
    <n v="0"/>
    <n v="0"/>
    <n v="0"/>
    <n v="0"/>
    <n v="0"/>
    <n v="0"/>
    <n v="0"/>
    <n v="0"/>
    <n v="0"/>
    <n v="0"/>
    <n v="0"/>
    <n v="0"/>
    <n v="0"/>
    <n v="0"/>
    <n v="0"/>
    <n v="0"/>
    <n v="0"/>
    <n v="0"/>
    <x v="0"/>
    <x v="0"/>
    <x v="0"/>
    <x v="1"/>
    <x v="0"/>
    <m/>
    <x v="0"/>
    <x v="0"/>
    <n v="7"/>
    <m/>
    <m/>
    <m/>
    <m/>
    <n v="16"/>
    <m/>
    <m/>
    <m/>
    <m/>
    <m/>
    <m/>
    <m/>
    <m/>
    <m/>
    <m/>
    <m/>
    <m/>
    <m/>
    <m/>
    <m/>
    <m/>
    <n v="16"/>
    <n v="16"/>
  </r>
  <r>
    <n v="7101"/>
    <x v="3"/>
    <s v="2019/0024"/>
    <s v="Site of York Road, Winstanley Road (Part of Estate, York Gardens and Winstanley Estate)"/>
    <s v="Block 6"/>
    <n v="526922"/>
    <n v="175807"/>
    <x v="16"/>
    <m/>
    <m/>
    <n v="0"/>
    <n v="64"/>
    <n v="64"/>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9.7999997437000302E-2"/>
    <m/>
    <x v="0"/>
    <m/>
    <x v="0"/>
    <s v="M"/>
    <m/>
    <m/>
    <n v="0"/>
    <n v="0"/>
    <n v="0"/>
    <n v="0"/>
    <n v="0"/>
    <n v="18"/>
    <n v="24"/>
    <n v="22"/>
    <n v="0"/>
    <n v="0"/>
    <n v="0"/>
    <n v="0"/>
    <n v="18"/>
    <n v="24"/>
    <n v="22"/>
    <n v="0"/>
    <n v="0"/>
    <n v="0"/>
    <n v="0"/>
    <n v="0"/>
    <n v="0"/>
    <n v="0"/>
    <n v="0"/>
    <n v="0"/>
    <n v="0"/>
    <n v="0"/>
    <n v="0"/>
    <n v="0"/>
    <n v="0"/>
    <n v="0"/>
    <n v="0"/>
    <n v="0"/>
    <x v="0"/>
    <x v="0"/>
    <x v="0"/>
    <x v="1"/>
    <x v="0"/>
    <m/>
    <x v="0"/>
    <x v="0"/>
    <n v="7"/>
    <m/>
    <m/>
    <m/>
    <m/>
    <m/>
    <n v="64"/>
    <m/>
    <m/>
    <m/>
    <m/>
    <m/>
    <m/>
    <m/>
    <m/>
    <m/>
    <m/>
    <m/>
    <m/>
    <m/>
    <m/>
    <m/>
    <n v="64"/>
    <n v="64"/>
  </r>
  <r>
    <n v="7101"/>
    <x v="3"/>
    <s v="2019/0024"/>
    <s v="Site of York Road, Winstanley Road (Part of Estate, York Gardens and Winstanley Estate)"/>
    <s v="Block 6"/>
    <n v="526922"/>
    <n v="175807"/>
    <x v="16"/>
    <m/>
    <m/>
    <n v="0"/>
    <n v="54"/>
    <n v="54"/>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8.2999996840953799E-2"/>
    <m/>
    <x v="0"/>
    <m/>
    <x v="2"/>
    <s v="AC"/>
    <m/>
    <m/>
    <n v="0"/>
    <n v="0"/>
    <n v="0"/>
    <n v="0"/>
    <n v="0"/>
    <n v="19"/>
    <n v="15"/>
    <n v="17"/>
    <n v="3"/>
    <n v="0"/>
    <n v="0"/>
    <n v="0"/>
    <n v="19"/>
    <n v="15"/>
    <n v="17"/>
    <n v="3"/>
    <n v="0"/>
    <n v="0"/>
    <n v="0"/>
    <n v="0"/>
    <n v="0"/>
    <n v="0"/>
    <n v="0"/>
    <n v="0"/>
    <n v="0"/>
    <n v="0"/>
    <n v="0"/>
    <n v="0"/>
    <n v="0"/>
    <n v="0"/>
    <n v="0"/>
    <n v="0"/>
    <x v="0"/>
    <x v="0"/>
    <x v="0"/>
    <x v="1"/>
    <x v="0"/>
    <m/>
    <x v="0"/>
    <x v="0"/>
    <n v="7"/>
    <m/>
    <m/>
    <m/>
    <m/>
    <m/>
    <n v="54"/>
    <m/>
    <m/>
    <m/>
    <m/>
    <m/>
    <m/>
    <m/>
    <m/>
    <m/>
    <m/>
    <m/>
    <m/>
    <m/>
    <m/>
    <m/>
    <n v="54"/>
    <n v="54"/>
  </r>
  <r>
    <n v="7101"/>
    <x v="3"/>
    <s v="2019/0024"/>
    <s v="Site of York Road, Winstanley Road (Part of Estate, York Gardens and Winstanley Estate)"/>
    <s v="Block 6"/>
    <n v="526922"/>
    <n v="175807"/>
    <x v="16"/>
    <m/>
    <m/>
    <n v="0"/>
    <n v="9"/>
    <n v="9"/>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1.4000000432133701E-2"/>
    <m/>
    <x v="0"/>
    <m/>
    <x v="1"/>
    <s v="ISE"/>
    <m/>
    <m/>
    <n v="0"/>
    <n v="0"/>
    <n v="0"/>
    <n v="0"/>
    <n v="0"/>
    <n v="2"/>
    <n v="3"/>
    <n v="3"/>
    <n v="1"/>
    <n v="0"/>
    <n v="0"/>
    <n v="0"/>
    <n v="2"/>
    <n v="3"/>
    <n v="3"/>
    <n v="1"/>
    <n v="0"/>
    <n v="0"/>
    <n v="0"/>
    <n v="0"/>
    <n v="0"/>
    <n v="0"/>
    <n v="0"/>
    <n v="0"/>
    <n v="0"/>
    <n v="0"/>
    <n v="0"/>
    <n v="0"/>
    <n v="0"/>
    <n v="0"/>
    <n v="0"/>
    <n v="0"/>
    <x v="0"/>
    <x v="0"/>
    <x v="0"/>
    <x v="1"/>
    <x v="0"/>
    <m/>
    <x v="0"/>
    <x v="0"/>
    <n v="7"/>
    <m/>
    <m/>
    <m/>
    <m/>
    <m/>
    <n v="9"/>
    <m/>
    <m/>
    <m/>
    <m/>
    <m/>
    <m/>
    <m/>
    <m/>
    <m/>
    <m/>
    <m/>
    <m/>
    <m/>
    <m/>
    <m/>
    <n v="9"/>
    <n v="9"/>
  </r>
  <r>
    <n v="7101"/>
    <x v="3"/>
    <s v="2019/0024"/>
    <s v="Site of York Road, Winstanley Road (Part of Estate, York Gardens and Winstanley Estate)"/>
    <s v="Blocks 2-4 and 7-14"/>
    <n v="526922"/>
    <n v="175807"/>
    <x v="16"/>
    <m/>
    <m/>
    <n v="0"/>
    <n v="1355"/>
    <n v="1355"/>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2.0820000171661399"/>
    <m/>
    <x v="0"/>
    <m/>
    <x v="0"/>
    <s v="M"/>
    <m/>
    <m/>
    <n v="0"/>
    <n v="0"/>
    <n v="0"/>
    <n v="0"/>
    <n v="0"/>
    <n v="0"/>
    <n v="0"/>
    <n v="0"/>
    <n v="0"/>
    <n v="0"/>
    <n v="1355"/>
    <n v="0"/>
    <n v="0"/>
    <n v="0"/>
    <n v="0"/>
    <n v="0"/>
    <n v="0"/>
    <n v="1355"/>
    <n v="0"/>
    <n v="0"/>
    <n v="0"/>
    <n v="0"/>
    <n v="0"/>
    <n v="0"/>
    <n v="0"/>
    <n v="0"/>
    <n v="0"/>
    <n v="0"/>
    <n v="0"/>
    <n v="0"/>
    <n v="0"/>
    <n v="0"/>
    <x v="0"/>
    <x v="0"/>
    <x v="0"/>
    <x v="1"/>
    <x v="0"/>
    <m/>
    <x v="0"/>
    <x v="0"/>
    <n v="7"/>
    <m/>
    <m/>
    <m/>
    <m/>
    <m/>
    <m/>
    <n v="112.91666666666667"/>
    <n v="112.91666666666667"/>
    <n v="112.91666666666667"/>
    <n v="112.91666666666667"/>
    <n v="112.91666666666667"/>
    <n v="112.91666666666667"/>
    <n v="112.91666666666667"/>
    <n v="112.91666666666667"/>
    <n v="112.91666666666667"/>
    <n v="112.91666666666667"/>
    <n v="112.91666666666667"/>
    <n v="112.91666666666667"/>
    <m/>
    <m/>
    <m/>
    <n v="0"/>
    <n v="564.58333333333337"/>
  </r>
  <r>
    <n v="7101"/>
    <x v="3"/>
    <s v="2019/0024"/>
    <s v="Site of York Road, Winstanley Road (Part of Estate, York Gardens and Winstanley Estate)"/>
    <s v="Blocks 2-4 and 7-14"/>
    <n v="526922"/>
    <n v="175807"/>
    <x v="16"/>
    <m/>
    <m/>
    <n v="0"/>
    <n v="379"/>
    <n v="379"/>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58200001716613803"/>
    <m/>
    <x v="0"/>
    <m/>
    <x v="2"/>
    <s v="AC"/>
    <m/>
    <m/>
    <n v="0"/>
    <n v="0"/>
    <n v="0"/>
    <n v="0"/>
    <n v="0"/>
    <n v="0"/>
    <n v="0"/>
    <n v="0"/>
    <n v="0"/>
    <n v="0"/>
    <n v="379"/>
    <n v="0"/>
    <n v="0"/>
    <n v="0"/>
    <n v="0"/>
    <n v="0"/>
    <n v="0"/>
    <n v="379"/>
    <n v="0"/>
    <n v="0"/>
    <n v="0"/>
    <n v="0"/>
    <n v="0"/>
    <n v="0"/>
    <n v="0"/>
    <n v="0"/>
    <n v="0"/>
    <n v="0"/>
    <n v="0"/>
    <n v="0"/>
    <n v="0"/>
    <n v="0"/>
    <x v="0"/>
    <x v="0"/>
    <x v="0"/>
    <x v="1"/>
    <x v="0"/>
    <m/>
    <x v="0"/>
    <x v="0"/>
    <n v="7"/>
    <m/>
    <m/>
    <m/>
    <m/>
    <m/>
    <m/>
    <n v="31.583333333333332"/>
    <n v="31.583333333333332"/>
    <n v="31.583333333333332"/>
    <n v="31.583333333333332"/>
    <n v="31.583333333333332"/>
    <n v="31.583333333333332"/>
    <n v="31.583333333333332"/>
    <n v="31.583333333333332"/>
    <n v="31.583333333333332"/>
    <n v="31.583333333333332"/>
    <n v="31.583333333333332"/>
    <n v="31.583333333333332"/>
    <m/>
    <m/>
    <m/>
    <n v="0"/>
    <n v="157.91666666666666"/>
  </r>
  <r>
    <n v="7101"/>
    <x v="3"/>
    <s v="2019/0024"/>
    <s v="Site of York Road, Winstanley Road (Part of Estate, York Gardens and Winstanley Estate)"/>
    <s v="Blocks 2-4 and 7-14"/>
    <n v="526922"/>
    <n v="175807"/>
    <x v="16"/>
    <m/>
    <m/>
    <n v="0"/>
    <n v="214"/>
    <n v="214"/>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32899999618530301"/>
    <m/>
    <x v="0"/>
    <m/>
    <x v="1"/>
    <s v="ISE"/>
    <m/>
    <m/>
    <n v="0"/>
    <n v="0"/>
    <n v="0"/>
    <n v="0"/>
    <n v="0"/>
    <n v="0"/>
    <n v="0"/>
    <n v="0"/>
    <n v="0"/>
    <n v="0"/>
    <n v="214"/>
    <n v="0"/>
    <n v="0"/>
    <n v="0"/>
    <n v="0"/>
    <n v="0"/>
    <n v="0"/>
    <n v="214"/>
    <n v="0"/>
    <n v="0"/>
    <n v="0"/>
    <n v="0"/>
    <n v="0"/>
    <n v="0"/>
    <n v="0"/>
    <n v="0"/>
    <n v="0"/>
    <n v="0"/>
    <n v="0"/>
    <n v="0"/>
    <n v="0"/>
    <n v="0"/>
    <x v="0"/>
    <x v="0"/>
    <x v="0"/>
    <x v="1"/>
    <x v="0"/>
    <m/>
    <x v="0"/>
    <x v="0"/>
    <n v="7"/>
    <m/>
    <m/>
    <m/>
    <m/>
    <m/>
    <m/>
    <n v="17.833333333333332"/>
    <n v="17.833333333333332"/>
    <n v="17.833333333333332"/>
    <n v="17.833333333333332"/>
    <n v="17.833333333333332"/>
    <n v="17.833333333333332"/>
    <n v="17.833333333333332"/>
    <n v="17.833333333333332"/>
    <n v="17.833333333333332"/>
    <n v="17.833333333333332"/>
    <n v="17.833333333333332"/>
    <n v="17.833333333333332"/>
    <m/>
    <m/>
    <m/>
    <n v="0"/>
    <n v="89.166666666666657"/>
  </r>
  <r>
    <n v="7101"/>
    <x v="3"/>
    <s v="2019/0024"/>
    <s v="Site of York Road, Winstanley Road (Part of Estate, York Gardens and Winstanley Estate)"/>
    <s v="Blocks 2-4 and 7-14"/>
    <n v="526922"/>
    <n v="175807"/>
    <x v="16"/>
    <m/>
    <m/>
    <n v="0"/>
    <n v="100"/>
    <n v="100"/>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153999999165535"/>
    <m/>
    <x v="0"/>
    <m/>
    <x v="2"/>
    <s v="AA"/>
    <m/>
    <m/>
    <n v="0"/>
    <n v="0"/>
    <n v="0"/>
    <n v="0"/>
    <n v="0"/>
    <n v="0"/>
    <n v="0"/>
    <n v="0"/>
    <n v="0"/>
    <n v="0"/>
    <n v="100"/>
    <n v="0"/>
    <n v="0"/>
    <n v="0"/>
    <n v="0"/>
    <n v="0"/>
    <n v="0"/>
    <n v="100"/>
    <n v="0"/>
    <n v="0"/>
    <n v="0"/>
    <n v="0"/>
    <n v="0"/>
    <n v="0"/>
    <n v="0"/>
    <n v="0"/>
    <n v="0"/>
    <n v="0"/>
    <n v="0"/>
    <n v="0"/>
    <n v="0"/>
    <n v="0"/>
    <x v="0"/>
    <x v="0"/>
    <x v="0"/>
    <x v="1"/>
    <x v="0"/>
    <m/>
    <x v="0"/>
    <x v="0"/>
    <n v="7"/>
    <m/>
    <m/>
    <m/>
    <m/>
    <m/>
    <m/>
    <n v="8.3333333333333339"/>
    <n v="8.3333333333333339"/>
    <n v="8.3333333333333339"/>
    <n v="8.3333333333333339"/>
    <n v="8.3333333333333339"/>
    <n v="8.3333333333333339"/>
    <n v="8.3333333333333339"/>
    <n v="8.3333333333333339"/>
    <n v="8.3333333333333339"/>
    <n v="8.3333333333333339"/>
    <n v="8.3333333333333339"/>
    <n v="8.3333333333333339"/>
    <m/>
    <m/>
    <m/>
    <n v="0"/>
    <n v="41.666666666666671"/>
  </r>
  <r>
    <n v="7101"/>
    <x v="3"/>
    <s v="2019/0024"/>
    <s v="Site of York Road, Winstanley Road (Part of Estate, York Gardens and Winstanley Estate)"/>
    <s v="Blocks A-S"/>
    <n v="526922"/>
    <n v="175807"/>
    <x v="16"/>
    <m/>
    <m/>
    <n v="218"/>
    <n v="0"/>
    <n v="-218"/>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
    <m/>
    <x v="0"/>
    <m/>
    <x v="0"/>
    <s v="M"/>
    <m/>
    <m/>
    <n v="0"/>
    <n v="0"/>
    <n v="0"/>
    <n v="0"/>
    <n v="-12"/>
    <n v="-54"/>
    <n v="-89"/>
    <n v="-33"/>
    <n v="-30"/>
    <n v="0"/>
    <n v="0"/>
    <n v="-12"/>
    <n v="-54"/>
    <n v="-89"/>
    <n v="-33"/>
    <n v="-30"/>
    <n v="0"/>
    <n v="0"/>
    <n v="0"/>
    <n v="0"/>
    <n v="0"/>
    <n v="0"/>
    <n v="0"/>
    <n v="0"/>
    <n v="0"/>
    <n v="0"/>
    <n v="0"/>
    <n v="0"/>
    <n v="0"/>
    <n v="0"/>
    <n v="0"/>
    <n v="0"/>
    <x v="0"/>
    <x v="0"/>
    <x v="0"/>
    <x v="1"/>
    <x v="0"/>
    <m/>
    <x v="0"/>
    <x v="0"/>
    <n v="7"/>
    <m/>
    <m/>
    <m/>
    <m/>
    <m/>
    <m/>
    <n v="-36.333333333333336"/>
    <n v="-36.333333333333336"/>
    <n v="-36.333333333333336"/>
    <n v="-36.333333333333336"/>
    <n v="-36.333333333333336"/>
    <n v="-36.333333333333336"/>
    <m/>
    <m/>
    <m/>
    <m/>
    <m/>
    <m/>
    <m/>
    <m/>
    <m/>
    <n v="0"/>
    <n v="-181.66666666666669"/>
  </r>
  <r>
    <n v="7101"/>
    <x v="3"/>
    <s v="2019/0024"/>
    <s v="Site of York Road, Winstanley Road (Part of Estate, York Gardens and Winstanley Estate)"/>
    <s v="Blocks A-S"/>
    <n v="526922"/>
    <n v="175807"/>
    <x v="16"/>
    <m/>
    <m/>
    <n v="14"/>
    <n v="0"/>
    <n v="-14"/>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
    <m/>
    <x v="0"/>
    <m/>
    <x v="1"/>
    <s v="IU"/>
    <m/>
    <m/>
    <n v="0"/>
    <n v="0"/>
    <n v="0"/>
    <n v="0"/>
    <n v="0"/>
    <n v="-2"/>
    <n v="-11"/>
    <n v="-1"/>
    <n v="0"/>
    <n v="0"/>
    <n v="0"/>
    <n v="0"/>
    <n v="-2"/>
    <n v="-11"/>
    <n v="-1"/>
    <n v="0"/>
    <n v="0"/>
    <n v="0"/>
    <n v="0"/>
    <n v="0"/>
    <n v="0"/>
    <n v="0"/>
    <n v="0"/>
    <n v="0"/>
    <n v="0"/>
    <n v="0"/>
    <n v="0"/>
    <n v="0"/>
    <n v="0"/>
    <n v="0"/>
    <n v="0"/>
    <n v="0"/>
    <x v="0"/>
    <x v="0"/>
    <x v="0"/>
    <x v="1"/>
    <x v="0"/>
    <m/>
    <x v="0"/>
    <x v="0"/>
    <n v="7"/>
    <m/>
    <m/>
    <m/>
    <m/>
    <m/>
    <m/>
    <n v="-2.3333333333333335"/>
    <n v="-2.3333333333333335"/>
    <n v="-2.3333333333333335"/>
    <n v="-2.3333333333333335"/>
    <n v="-2.3333333333333335"/>
    <n v="-2.3333333333333335"/>
    <m/>
    <m/>
    <m/>
    <m/>
    <m/>
    <m/>
    <m/>
    <m/>
    <m/>
    <n v="0"/>
    <n v="-11.666666666666668"/>
  </r>
  <r>
    <n v="7101"/>
    <x v="3"/>
    <s v="2019/0024"/>
    <s v="Site of York Road, Winstanley Road (Part of Estate, York Gardens and Winstanley Estate)"/>
    <s v="Blocks A-S"/>
    <n v="526922"/>
    <n v="175807"/>
    <x v="16"/>
    <m/>
    <m/>
    <n v="527"/>
    <n v="0"/>
    <n v="-527"/>
    <n v="2550"/>
    <n v="1791"/>
    <x v="1"/>
    <s v="The application is for a part outline and part detailed planning permission for the following proposed development:_x000d__x000a_(a) Phased demolition of all existing buildings;_x000d__x000a_(b) Mixed use phased development comprising residential up to 2550 units (mix tenure including social rent, affordable rent, intermediate, private rented and private sale) ranging from 3 - 31 storeys above ground level including leisure centre, health, flexible commercial uses (retail, financial and professional services, café / restaurants, drinking establishments, hot-food takeaways, business, non-residential institutions and assembly and leisure), park, landscaping, public realm, energy centres, car/cycle parking and new vehicle accesses. All matters reserved except for phased construction of Block 1 (two residential towers comprising 239 private sale units and new leisure/community centre of 12,400sqm GIA including a gym, swimming pool and library, commercial uses of 2191sqm GIA), Block 5 (comprising 136 affordable units and commercial units of 393sqm GIA) and Block 6 (64 private sale units and 63 affordable units) together with a new Park (2.49ha) and associated works; and_x000d__x000a_(c) Site clearance and enabling works including works to Winstanley Road, as well as temporary works necessary to enable the approved development._x000d__x000a_An Environmental Statement has been submitted with the application under the Town and Country Planning (Environmental Impact Assessment) Regulations 2017."/>
    <s v="SLA"/>
    <d v="2019-01-18T00:00:00"/>
    <m/>
    <x v="0"/>
    <s v="Nil"/>
    <m/>
    <s v="BF"/>
    <s v="NB"/>
    <x v="1"/>
    <x v="7"/>
    <n v="0"/>
    <m/>
    <x v="0"/>
    <m/>
    <x v="2"/>
    <s v="AC"/>
    <m/>
    <m/>
    <n v="0"/>
    <n v="0"/>
    <n v="0"/>
    <n v="0"/>
    <n v="-79"/>
    <n v="-120"/>
    <n v="-256"/>
    <n v="-47"/>
    <n v="-25"/>
    <n v="0"/>
    <n v="0"/>
    <n v="-79"/>
    <n v="-120"/>
    <n v="-256"/>
    <n v="-47"/>
    <n v="-25"/>
    <n v="0"/>
    <n v="0"/>
    <n v="0"/>
    <n v="0"/>
    <n v="0"/>
    <n v="0"/>
    <n v="0"/>
    <n v="0"/>
    <n v="0"/>
    <n v="0"/>
    <n v="0"/>
    <n v="0"/>
    <n v="0"/>
    <n v="0"/>
    <n v="0"/>
    <n v="0"/>
    <x v="0"/>
    <x v="0"/>
    <x v="0"/>
    <x v="1"/>
    <x v="0"/>
    <m/>
    <x v="0"/>
    <x v="0"/>
    <n v="7"/>
    <m/>
    <m/>
    <m/>
    <m/>
    <m/>
    <m/>
    <n v="-87.833333333333329"/>
    <n v="-87.833333333333329"/>
    <n v="-87.833333333333329"/>
    <n v="-87.833333333333329"/>
    <n v="-87.833333333333329"/>
    <n v="-87.833333333333329"/>
    <m/>
    <m/>
    <m/>
    <m/>
    <m/>
    <m/>
    <m/>
    <m/>
    <m/>
    <n v="0"/>
    <n v="-439.16666666666663"/>
  </r>
  <r>
    <n v="330"/>
    <x v="4"/>
    <s v="2020/0389"/>
    <s v="165 Upper Richmond Road"/>
    <m/>
    <n v="523924"/>
    <n v="175043"/>
    <x v="5"/>
    <m/>
    <m/>
    <n v="1"/>
    <n v="1"/>
    <n v="0"/>
    <n v="2"/>
    <n v="1"/>
    <x v="0"/>
    <s v="Erection of front and rear mansard roof extension to create an additional floor. Erection of single- and two-storey rear and side extensions (at first and second floor levels) in connection with use of upper floors as 1 x 1-bedroom and 1 x 2-bedroom flats."/>
    <s v="AF"/>
    <d v="2020-02-11T00:00:00"/>
    <m/>
    <x v="0"/>
    <s v="Nil"/>
    <m/>
    <s v="BF"/>
    <s v="MIX"/>
    <x v="0"/>
    <x v="0"/>
    <n v="2.0000000949949E-3"/>
    <m/>
    <x v="0"/>
    <m/>
    <x v="0"/>
    <s v="M"/>
    <m/>
    <m/>
    <n v="0"/>
    <n v="0"/>
    <n v="0"/>
    <n v="0"/>
    <n v="0"/>
    <n v="1"/>
    <n v="-1"/>
    <n v="0"/>
    <n v="0"/>
    <n v="0"/>
    <n v="0"/>
    <n v="0"/>
    <n v="1"/>
    <n v="-1"/>
    <n v="0"/>
    <n v="0"/>
    <n v="0"/>
    <n v="0"/>
    <n v="0"/>
    <n v="0"/>
    <n v="0"/>
    <n v="0"/>
    <n v="0"/>
    <n v="0"/>
    <n v="0"/>
    <n v="0"/>
    <n v="0"/>
    <n v="0"/>
    <n v="0"/>
    <n v="0"/>
    <n v="0"/>
    <n v="0"/>
    <x v="2"/>
    <x v="0"/>
    <x v="0"/>
    <x v="0"/>
    <x v="1"/>
    <m/>
    <x v="0"/>
    <x v="0"/>
    <n v="19"/>
    <m/>
    <m/>
    <m/>
    <m/>
    <m/>
    <n v="0"/>
    <n v="0"/>
    <n v="0"/>
    <m/>
    <m/>
    <m/>
    <m/>
    <m/>
    <m/>
    <m/>
    <m/>
    <m/>
    <m/>
    <m/>
    <m/>
    <m/>
    <n v="0"/>
    <n v="0"/>
  </r>
  <r>
    <n v="330"/>
    <x v="4"/>
    <s v="2020/0389"/>
    <s v="165 Upper Richmond Road"/>
    <m/>
    <n v="523924"/>
    <n v="175043"/>
    <x v="5"/>
    <m/>
    <m/>
    <n v="0"/>
    <n v="1"/>
    <n v="1"/>
    <n v="2"/>
    <n v="1"/>
    <x v="0"/>
    <s v="Erection of front and rear mansard roof extension to create an additional floor. Erection of single- and two-storey rear and side extensions (at first and second floor levels) in connection with use of upper floors as 1 x 1-bedroom and 1 x 2-bedroom flats."/>
    <s v="AF"/>
    <d v="2020-02-11T00:00:00"/>
    <m/>
    <x v="0"/>
    <s v="Nil"/>
    <m/>
    <s v="BF"/>
    <s v="MIX"/>
    <x v="0"/>
    <x v="3"/>
    <n v="4.0000001899898104E-3"/>
    <m/>
    <x v="0"/>
    <m/>
    <x v="0"/>
    <s v="M"/>
    <m/>
    <m/>
    <n v="0"/>
    <n v="0"/>
    <n v="0"/>
    <n v="0"/>
    <n v="0"/>
    <n v="0"/>
    <n v="1"/>
    <n v="0"/>
    <n v="0"/>
    <n v="0"/>
    <n v="0"/>
    <n v="0"/>
    <n v="0"/>
    <n v="1"/>
    <n v="0"/>
    <n v="0"/>
    <n v="0"/>
    <n v="0"/>
    <n v="0"/>
    <n v="0"/>
    <n v="0"/>
    <n v="0"/>
    <n v="0"/>
    <n v="0"/>
    <n v="0"/>
    <n v="0"/>
    <n v="0"/>
    <n v="0"/>
    <n v="0"/>
    <n v="0"/>
    <n v="0"/>
    <n v="0"/>
    <x v="2"/>
    <x v="0"/>
    <x v="0"/>
    <x v="0"/>
    <x v="1"/>
    <m/>
    <x v="0"/>
    <x v="0"/>
    <n v="19"/>
    <m/>
    <m/>
    <m/>
    <m/>
    <m/>
    <n v="0.33333333333333331"/>
    <n v="0.33333333333333331"/>
    <n v="0.33333333333333331"/>
    <m/>
    <m/>
    <m/>
    <m/>
    <m/>
    <m/>
    <m/>
    <m/>
    <m/>
    <m/>
    <m/>
    <m/>
    <m/>
    <n v="0.33333333333333331"/>
    <n v="1"/>
  </r>
  <r>
    <n v="518"/>
    <x v="4"/>
    <s v="2020/0877"/>
    <s v="6-10 Mitcham Road"/>
    <s v="Block A"/>
    <n v="527485"/>
    <n v="171424"/>
    <x v="10"/>
    <m/>
    <m/>
    <n v="0"/>
    <n v="1"/>
    <n v="1"/>
    <n v="5"/>
    <n v="5"/>
    <x v="0"/>
    <s v="Extension of the ground floor area for retail use. Extension of existing residential block of four dwellings at front of site to create additional storey (for 1 x 3-bed flat), with alterations to frontage and replacement shopfront. Construction of 4 x 2-bed flats to the rear of the site in a two-storey extension set above the extended ground floor retail unit, with associated roof terraces/balconies, communal courtyard, cycle storage and refuse storage."/>
    <s v="AF"/>
    <d v="2020-03-06T00:00:00"/>
    <m/>
    <x v="0"/>
    <s v="Nil"/>
    <m/>
    <s v="BF"/>
    <s v="MIX"/>
    <x v="0"/>
    <x v="3"/>
    <n v="3.0000000260770299E-3"/>
    <m/>
    <x v="0"/>
    <m/>
    <x v="0"/>
    <s v="M"/>
    <m/>
    <m/>
    <n v="0"/>
    <n v="0"/>
    <n v="0"/>
    <n v="0"/>
    <n v="0"/>
    <n v="0"/>
    <n v="0"/>
    <n v="1"/>
    <n v="0"/>
    <n v="0"/>
    <n v="0"/>
    <n v="0"/>
    <n v="0"/>
    <n v="0"/>
    <n v="1"/>
    <n v="0"/>
    <n v="0"/>
    <n v="0"/>
    <n v="0"/>
    <n v="0"/>
    <n v="0"/>
    <n v="0"/>
    <n v="0"/>
    <n v="0"/>
    <n v="0"/>
    <n v="0"/>
    <n v="0"/>
    <n v="0"/>
    <n v="0"/>
    <n v="0"/>
    <n v="0"/>
    <n v="0"/>
    <x v="4"/>
    <x v="0"/>
    <x v="0"/>
    <x v="0"/>
    <x v="0"/>
    <m/>
    <x v="0"/>
    <x v="0"/>
    <n v="19"/>
    <m/>
    <m/>
    <m/>
    <m/>
    <m/>
    <n v="0.33333333333333331"/>
    <n v="0.33333333333333331"/>
    <n v="0.33333333333333331"/>
    <m/>
    <m/>
    <m/>
    <m/>
    <m/>
    <m/>
    <m/>
    <m/>
    <m/>
    <m/>
    <m/>
    <m/>
    <m/>
    <n v="0.33333333333333331"/>
    <n v="1"/>
  </r>
  <r>
    <n v="518"/>
    <x v="4"/>
    <s v="2020/0877"/>
    <s v="6-10 Mitcham Road"/>
    <s v="Block B"/>
    <n v="527485"/>
    <n v="171424"/>
    <x v="10"/>
    <m/>
    <m/>
    <n v="0"/>
    <n v="4"/>
    <n v="4"/>
    <n v="5"/>
    <n v="5"/>
    <x v="0"/>
    <s v="Extension of the ground floor area for retail use. Extension of existing residential block of four dwellings at front of site to create additional storey (for 1 x 3-bed flat), with alterations to frontage and replacement shopfront. Construction of 4 x 2-bed flats to the rear of the site in a two-storey extension set above the extended ground floor retail unit, with associated roof terraces/balconies, communal courtyard, cycle storage and refuse storage."/>
    <s v="AF"/>
    <d v="2020-03-06T00:00:00"/>
    <m/>
    <x v="0"/>
    <s v="Nil"/>
    <m/>
    <s v="BF"/>
    <s v="MIX"/>
    <x v="0"/>
    <x v="3"/>
    <n v="8.9999996125698107E-3"/>
    <m/>
    <x v="0"/>
    <m/>
    <x v="0"/>
    <s v="M"/>
    <m/>
    <m/>
    <n v="0"/>
    <n v="0"/>
    <n v="0"/>
    <n v="0"/>
    <n v="0"/>
    <n v="0"/>
    <n v="4"/>
    <n v="0"/>
    <n v="0"/>
    <n v="0"/>
    <n v="0"/>
    <n v="0"/>
    <n v="0"/>
    <n v="4"/>
    <n v="0"/>
    <n v="0"/>
    <n v="0"/>
    <n v="0"/>
    <n v="0"/>
    <n v="0"/>
    <n v="0"/>
    <n v="0"/>
    <n v="0"/>
    <n v="0"/>
    <n v="0"/>
    <n v="0"/>
    <n v="0"/>
    <n v="0"/>
    <n v="0"/>
    <n v="0"/>
    <n v="0"/>
    <n v="0"/>
    <x v="4"/>
    <x v="0"/>
    <x v="0"/>
    <x v="0"/>
    <x v="0"/>
    <m/>
    <x v="0"/>
    <x v="0"/>
    <n v="19"/>
    <m/>
    <m/>
    <m/>
    <m/>
    <m/>
    <n v="1.3333333333333333"/>
    <n v="1.3333333333333333"/>
    <n v="1.3333333333333333"/>
    <m/>
    <m/>
    <m/>
    <m/>
    <m/>
    <m/>
    <m/>
    <m/>
    <m/>
    <m/>
    <m/>
    <m/>
    <m/>
    <n v="1.3333333333333333"/>
    <n v="4"/>
  </r>
  <r>
    <n v="1147"/>
    <x v="4"/>
    <s v="2020/0617"/>
    <s v="Ground floor, 186 Trinity Road"/>
    <m/>
    <n v="527527"/>
    <n v="173093"/>
    <x v="3"/>
    <m/>
    <m/>
    <n v="1"/>
    <n v="2"/>
    <n v="1"/>
    <n v="2"/>
    <n v="1"/>
    <x v="0"/>
    <s v="Alterations including erection of rear extension at first and second floor levels and roof extension to provide additional floor of accommodation with roof terrace to front and back elevations in connection with conversion of existing flat into 1 x 1-bedroom and 1 x 3-bedroom flats."/>
    <s v="AF"/>
    <d v="2020-03-03T00:00:00"/>
    <m/>
    <x v="0"/>
    <s v="Nil"/>
    <m/>
    <s v="BF"/>
    <s v="MIX"/>
    <x v="0"/>
    <x v="0"/>
    <n v="8.0000003799796104E-3"/>
    <m/>
    <x v="0"/>
    <m/>
    <x v="0"/>
    <s v="M"/>
    <m/>
    <m/>
    <n v="0"/>
    <n v="0"/>
    <n v="0"/>
    <n v="0"/>
    <n v="0"/>
    <n v="1"/>
    <n v="0"/>
    <n v="1"/>
    <n v="-1"/>
    <n v="0"/>
    <n v="0"/>
    <n v="0"/>
    <n v="1"/>
    <n v="0"/>
    <n v="1"/>
    <n v="-1"/>
    <n v="0"/>
    <n v="0"/>
    <n v="0"/>
    <n v="0"/>
    <n v="0"/>
    <n v="0"/>
    <n v="0"/>
    <n v="0"/>
    <n v="0"/>
    <n v="0"/>
    <n v="0"/>
    <n v="0"/>
    <n v="0"/>
    <n v="0"/>
    <n v="0"/>
    <n v="0"/>
    <x v="0"/>
    <x v="0"/>
    <x v="0"/>
    <x v="0"/>
    <x v="0"/>
    <m/>
    <x v="0"/>
    <x v="0"/>
    <n v="19"/>
    <m/>
    <m/>
    <m/>
    <m/>
    <m/>
    <n v="0.33333333333333331"/>
    <n v="0.33333333333333331"/>
    <n v="0.33333333333333331"/>
    <m/>
    <m/>
    <m/>
    <m/>
    <m/>
    <m/>
    <m/>
    <m/>
    <m/>
    <m/>
    <m/>
    <m/>
    <m/>
    <n v="0.33333333333333331"/>
    <n v="1"/>
  </r>
  <r>
    <n v="1813"/>
    <x v="4"/>
    <s v="2019/5337"/>
    <s v="Electricity substation, Tilford Gardens"/>
    <s v="House 1 2-storey"/>
    <n v="523804"/>
    <n v="173079"/>
    <x v="18"/>
    <m/>
    <m/>
    <n v="0"/>
    <n v="1"/>
    <n v="1"/>
    <n v="2"/>
    <n v="2"/>
    <x v="0"/>
    <s v="Alterations including relocation of electricity substation in connection with erection of 1 x two storey 3-bedroom and 1 x three-storey 3-bedroom houses with associated parking and refuse/cycle storage [AMENDED DESCRIPTION]."/>
    <s v="AF"/>
    <d v="2020-01-14T00:00:00"/>
    <m/>
    <x v="0"/>
    <s v="Nil"/>
    <m/>
    <s v="BF"/>
    <s v="NB"/>
    <x v="0"/>
    <x v="5"/>
    <n v="3.9000000804662698E-2"/>
    <m/>
    <x v="0"/>
    <m/>
    <x v="0"/>
    <s v="M"/>
    <m/>
    <m/>
    <n v="0"/>
    <n v="0"/>
    <n v="0"/>
    <n v="0"/>
    <n v="0"/>
    <n v="0"/>
    <n v="0"/>
    <n v="1"/>
    <n v="0"/>
    <n v="0"/>
    <n v="0"/>
    <n v="0"/>
    <n v="0"/>
    <n v="0"/>
    <n v="0"/>
    <n v="0"/>
    <n v="0"/>
    <n v="0"/>
    <n v="0"/>
    <n v="0"/>
    <n v="0"/>
    <n v="1"/>
    <n v="0"/>
    <n v="0"/>
    <n v="0"/>
    <n v="0"/>
    <n v="0"/>
    <n v="0"/>
    <n v="0"/>
    <n v="0"/>
    <n v="0"/>
    <n v="0"/>
    <x v="0"/>
    <x v="0"/>
    <x v="0"/>
    <x v="0"/>
    <x v="0"/>
    <m/>
    <x v="0"/>
    <x v="0"/>
    <n v="10"/>
    <m/>
    <m/>
    <m/>
    <m/>
    <m/>
    <n v="0.33333333333333331"/>
    <n v="0.33333333333333331"/>
    <n v="0.33333333333333331"/>
    <m/>
    <m/>
    <m/>
    <m/>
    <m/>
    <m/>
    <m/>
    <m/>
    <m/>
    <m/>
    <m/>
    <m/>
    <m/>
    <n v="0.33333333333333331"/>
    <n v="1"/>
  </r>
  <r>
    <n v="1813"/>
    <x v="4"/>
    <s v="2019/5337"/>
    <s v="Electricity substation, Tilford Gardens"/>
    <s v="House 2 3-storey"/>
    <n v="523804"/>
    <n v="173079"/>
    <x v="18"/>
    <m/>
    <m/>
    <n v="0"/>
    <n v="1"/>
    <n v="1"/>
    <n v="2"/>
    <n v="2"/>
    <x v="0"/>
    <s v="Alterations including relocation of electricity substation in connection with erection of 1 x two storey 3-bedroom and 1 x three-storey 3-bedroom houses with associated parking and refuse/cycle storage [AMENDED DESCRIPTION]."/>
    <s v="AF"/>
    <d v="2020-01-14T00:00:00"/>
    <m/>
    <x v="0"/>
    <s v="Nil"/>
    <m/>
    <s v="BF"/>
    <s v="NB"/>
    <x v="0"/>
    <x v="5"/>
    <n v="4.39999997615814E-2"/>
    <m/>
    <x v="0"/>
    <m/>
    <x v="0"/>
    <s v="M"/>
    <m/>
    <m/>
    <n v="0"/>
    <n v="0"/>
    <n v="0"/>
    <n v="0"/>
    <n v="0"/>
    <n v="0"/>
    <n v="0"/>
    <n v="1"/>
    <n v="0"/>
    <n v="0"/>
    <n v="0"/>
    <n v="0"/>
    <n v="0"/>
    <n v="0"/>
    <n v="0"/>
    <n v="0"/>
    <n v="0"/>
    <n v="0"/>
    <n v="0"/>
    <n v="0"/>
    <n v="0"/>
    <n v="1"/>
    <n v="0"/>
    <n v="0"/>
    <n v="0"/>
    <n v="0"/>
    <n v="0"/>
    <n v="0"/>
    <n v="0"/>
    <n v="0"/>
    <n v="0"/>
    <n v="0"/>
    <x v="0"/>
    <x v="0"/>
    <x v="0"/>
    <x v="0"/>
    <x v="0"/>
    <m/>
    <x v="0"/>
    <x v="0"/>
    <n v="10"/>
    <m/>
    <m/>
    <m/>
    <m/>
    <m/>
    <n v="0.33333333333333331"/>
    <n v="0.33333333333333331"/>
    <n v="0.33333333333333331"/>
    <m/>
    <m/>
    <m/>
    <m/>
    <m/>
    <m/>
    <m/>
    <m/>
    <m/>
    <m/>
    <m/>
    <m/>
    <m/>
    <n v="0.33333333333333331"/>
    <n v="1"/>
  </r>
  <r>
    <n v="2552"/>
    <x v="4"/>
    <s v="2020/0107"/>
    <s v="14-16 Tooting High Street (Flats 1-9 &amp; 12-15)"/>
    <m/>
    <n v="527504"/>
    <n v="171615"/>
    <x v="1"/>
    <m/>
    <m/>
    <n v="0"/>
    <n v="1"/>
    <n v="1"/>
    <n v="1"/>
    <n v="1"/>
    <x v="0"/>
    <s v="Alterations including erection of rear roof extension and formation of roof terrace with 1.8m high screen surround in connection with creation of studio flat on third floor."/>
    <s v="AF"/>
    <d v="2020-02-20T00:00:00"/>
    <m/>
    <x v="0"/>
    <s v="Nil"/>
    <m/>
    <s v="BF"/>
    <s v="EXT"/>
    <x v="0"/>
    <x v="3"/>
    <n v="1.00000004749745E-3"/>
    <m/>
    <x v="0"/>
    <m/>
    <x v="0"/>
    <s v="M"/>
    <m/>
    <m/>
    <n v="0"/>
    <n v="0"/>
    <n v="0"/>
    <n v="0"/>
    <n v="1"/>
    <n v="0"/>
    <n v="0"/>
    <n v="0"/>
    <n v="0"/>
    <n v="0"/>
    <n v="0"/>
    <n v="1"/>
    <n v="0"/>
    <n v="0"/>
    <n v="0"/>
    <n v="0"/>
    <n v="0"/>
    <n v="0"/>
    <n v="0"/>
    <n v="0"/>
    <n v="0"/>
    <n v="0"/>
    <n v="0"/>
    <n v="0"/>
    <n v="0"/>
    <n v="0"/>
    <n v="0"/>
    <n v="0"/>
    <n v="0"/>
    <n v="0"/>
    <n v="0"/>
    <n v="0"/>
    <x v="4"/>
    <x v="0"/>
    <x v="0"/>
    <x v="0"/>
    <x v="0"/>
    <m/>
    <x v="0"/>
    <x v="0"/>
    <n v="19"/>
    <m/>
    <m/>
    <m/>
    <m/>
    <m/>
    <n v="0.33333333333333331"/>
    <n v="0.33333333333333331"/>
    <n v="0.33333333333333331"/>
    <m/>
    <m/>
    <m/>
    <m/>
    <m/>
    <m/>
    <m/>
    <m/>
    <m/>
    <m/>
    <m/>
    <m/>
    <m/>
    <n v="0.33333333333333331"/>
    <n v="1"/>
  </r>
  <r>
    <n v="2710"/>
    <x v="4"/>
    <s v="2019/3380"/>
    <s v="84-88 Mitcham Road"/>
    <m/>
    <n v="527620"/>
    <n v="171253"/>
    <x v="10"/>
    <m/>
    <m/>
    <n v="0"/>
    <n v="2"/>
    <n v="2"/>
    <n v="2"/>
    <n v="2"/>
    <x v="0"/>
    <s v="Alterations including additional windows, screening to first floor terrace and conversion of upper floors to 2 x 2-bedroom and 4 x 1-bedroom flats._x000d__x000a__x000d__x000a_AMENDED DRAWINGS AND DESCRIPTION"/>
    <s v="AF"/>
    <d v="2020-02-18T00:00:00"/>
    <m/>
    <x v="0"/>
    <s v="Nil"/>
    <m/>
    <s v="BF"/>
    <s v="COU"/>
    <x v="0"/>
    <x v="6"/>
    <n v="1.09999999403954E-2"/>
    <m/>
    <x v="0"/>
    <m/>
    <x v="0"/>
    <s v="M"/>
    <m/>
    <m/>
    <n v="0"/>
    <n v="0"/>
    <n v="0"/>
    <n v="0"/>
    <n v="0"/>
    <n v="2"/>
    <n v="0"/>
    <n v="0"/>
    <n v="0"/>
    <n v="0"/>
    <n v="0"/>
    <n v="0"/>
    <n v="2"/>
    <n v="0"/>
    <n v="0"/>
    <n v="0"/>
    <n v="0"/>
    <n v="0"/>
    <n v="0"/>
    <n v="0"/>
    <n v="0"/>
    <n v="0"/>
    <n v="0"/>
    <n v="0"/>
    <n v="0"/>
    <n v="0"/>
    <n v="0"/>
    <n v="0"/>
    <n v="0"/>
    <n v="0"/>
    <n v="0"/>
    <n v="0"/>
    <x v="4"/>
    <x v="0"/>
    <x v="0"/>
    <x v="0"/>
    <x v="0"/>
    <m/>
    <x v="0"/>
    <x v="0"/>
    <n v="19"/>
    <m/>
    <m/>
    <m/>
    <m/>
    <m/>
    <n v="0.66666666666666663"/>
    <n v="0.66666666666666663"/>
    <n v="0.66666666666666663"/>
    <m/>
    <m/>
    <m/>
    <m/>
    <m/>
    <m/>
    <m/>
    <m/>
    <m/>
    <m/>
    <m/>
    <m/>
    <m/>
    <n v="0.66666666666666663"/>
    <n v="2"/>
  </r>
  <r>
    <n v="2784"/>
    <x v="4"/>
    <s v="2020/0184"/>
    <s v="Sterling House, Burston Road (Former garage site)"/>
    <m/>
    <n v="523820"/>
    <n v="175047"/>
    <x v="5"/>
    <m/>
    <m/>
    <n v="0"/>
    <n v="1"/>
    <n v="1"/>
    <n v="1"/>
    <n v="1"/>
    <x v="0"/>
    <s v="Erection of roof extension to provide an additional floor of accommodation to accomodate 1x3 bedroom flat."/>
    <s v="AF"/>
    <d v="2020-01-29T00:00:00"/>
    <m/>
    <x v="0"/>
    <s v="Nil"/>
    <m/>
    <s v="BF"/>
    <s v="EXT"/>
    <x v="0"/>
    <x v="3"/>
    <n v="9.9999997764825804E-3"/>
    <m/>
    <x v="0"/>
    <m/>
    <x v="0"/>
    <s v="M"/>
    <m/>
    <m/>
    <n v="0"/>
    <n v="0"/>
    <n v="0"/>
    <n v="0"/>
    <n v="0"/>
    <n v="0"/>
    <n v="0"/>
    <n v="1"/>
    <n v="0"/>
    <n v="0"/>
    <n v="0"/>
    <n v="0"/>
    <n v="0"/>
    <n v="0"/>
    <n v="1"/>
    <n v="0"/>
    <n v="0"/>
    <n v="0"/>
    <n v="0"/>
    <n v="0"/>
    <n v="0"/>
    <n v="0"/>
    <n v="0"/>
    <n v="0"/>
    <n v="0"/>
    <n v="0"/>
    <n v="0"/>
    <n v="0"/>
    <n v="0"/>
    <n v="0"/>
    <n v="0"/>
    <n v="0"/>
    <x v="0"/>
    <x v="0"/>
    <x v="0"/>
    <x v="0"/>
    <x v="0"/>
    <m/>
    <x v="0"/>
    <x v="0"/>
    <n v="19"/>
    <m/>
    <m/>
    <m/>
    <m/>
    <m/>
    <n v="0.33333333333333331"/>
    <n v="0.33333333333333331"/>
    <n v="0.33333333333333331"/>
    <m/>
    <m/>
    <m/>
    <m/>
    <m/>
    <m/>
    <m/>
    <m/>
    <m/>
    <m/>
    <m/>
    <m/>
    <m/>
    <n v="0.33333333333333331"/>
    <n v="1"/>
  </r>
  <r>
    <n v="3072"/>
    <x v="4"/>
    <s v="2020/0802"/>
    <s v="26 Replingham Road"/>
    <m/>
    <n v="524868"/>
    <n v="173283"/>
    <x v="14"/>
    <m/>
    <m/>
    <n v="0"/>
    <n v="2"/>
    <n v="2"/>
    <n v="2"/>
    <n v="2"/>
    <x v="0"/>
    <s v="Determination as to whether prior approval is required for change of use from retail (Class A1) to 2 x studio flats (Class C3) with associated external alterations to front and rear elevations."/>
    <s v="NPA"/>
    <d v="2020-03-04T00:00:00"/>
    <m/>
    <x v="0"/>
    <s v="Nil"/>
    <m/>
    <s v="BF"/>
    <s v="COU"/>
    <x v="0"/>
    <x v="4"/>
    <n v="4.0000001899898104E-3"/>
    <m/>
    <x v="0"/>
    <m/>
    <x v="0"/>
    <s v="M"/>
    <m/>
    <m/>
    <n v="0"/>
    <n v="0"/>
    <n v="0"/>
    <n v="0"/>
    <n v="2"/>
    <n v="0"/>
    <n v="0"/>
    <n v="0"/>
    <n v="0"/>
    <n v="0"/>
    <n v="0"/>
    <n v="2"/>
    <n v="0"/>
    <n v="0"/>
    <n v="0"/>
    <n v="0"/>
    <n v="0"/>
    <n v="0"/>
    <n v="0"/>
    <n v="0"/>
    <n v="0"/>
    <n v="0"/>
    <n v="0"/>
    <n v="0"/>
    <n v="0"/>
    <n v="0"/>
    <n v="0"/>
    <n v="0"/>
    <n v="0"/>
    <n v="0"/>
    <n v="0"/>
    <n v="0"/>
    <x v="0"/>
    <x v="0"/>
    <x v="0"/>
    <x v="0"/>
    <x v="0"/>
    <m/>
    <x v="0"/>
    <x v="0"/>
    <n v="19"/>
    <m/>
    <m/>
    <m/>
    <m/>
    <m/>
    <n v="0.66666666666666663"/>
    <n v="0.66666666666666663"/>
    <n v="0.66666666666666663"/>
    <m/>
    <m/>
    <m/>
    <m/>
    <m/>
    <m/>
    <m/>
    <m/>
    <m/>
    <m/>
    <m/>
    <m/>
    <m/>
    <n v="0.66666666666666663"/>
    <n v="2"/>
  </r>
  <r>
    <n v="3123"/>
    <x v="4"/>
    <s v="2020/0723"/>
    <s v="102 Roehampton Vale"/>
    <m/>
    <n v="521692"/>
    <n v="172512"/>
    <x v="13"/>
    <m/>
    <m/>
    <n v="1"/>
    <n v="0"/>
    <n v="-1"/>
    <n v="0"/>
    <n v="-1"/>
    <x v="0"/>
    <s v="Change of use from residential (Class C4) to 1 x 7-bedroom HMO (Class Sui Generis)."/>
    <s v="AF"/>
    <d v="2020-03-03T00:00:00"/>
    <m/>
    <x v="0"/>
    <s v="Nil"/>
    <m/>
    <s v="BF"/>
    <s v="COU"/>
    <x v="0"/>
    <x v="13"/>
    <n v="3.20000015199184E-2"/>
    <m/>
    <x v="0"/>
    <m/>
    <x v="0"/>
    <s v="M"/>
    <m/>
    <m/>
    <n v="0"/>
    <n v="0"/>
    <n v="0"/>
    <n v="0"/>
    <n v="0"/>
    <n v="0"/>
    <n v="0"/>
    <n v="0"/>
    <n v="-1"/>
    <n v="0"/>
    <n v="0"/>
    <n v="0"/>
    <n v="0"/>
    <n v="0"/>
    <n v="0"/>
    <n v="0"/>
    <n v="0"/>
    <n v="0"/>
    <n v="0"/>
    <n v="0"/>
    <n v="0"/>
    <n v="0"/>
    <n v="-1"/>
    <n v="0"/>
    <n v="0"/>
    <n v="0"/>
    <n v="0"/>
    <n v="0"/>
    <n v="0"/>
    <n v="0"/>
    <n v="0"/>
    <n v="0"/>
    <x v="0"/>
    <x v="0"/>
    <x v="0"/>
    <x v="0"/>
    <x v="0"/>
    <m/>
    <x v="0"/>
    <x v="0"/>
    <n v="19"/>
    <m/>
    <m/>
    <m/>
    <m/>
    <m/>
    <n v="-0.33333333333333331"/>
    <n v="-0.33333333333333331"/>
    <n v="-0.33333333333333331"/>
    <m/>
    <m/>
    <m/>
    <m/>
    <m/>
    <m/>
    <m/>
    <m/>
    <m/>
    <m/>
    <m/>
    <m/>
    <m/>
    <n v="-0.33333333333333331"/>
    <n v="-1"/>
  </r>
  <r>
    <n v="3579"/>
    <x v="4"/>
    <s v="2020/0420"/>
    <s v="58 Bendemeer Road"/>
    <m/>
    <n v="523714"/>
    <n v="175950"/>
    <x v="0"/>
    <m/>
    <m/>
    <n v="2"/>
    <n v="1"/>
    <n v="-1"/>
    <n v="1"/>
    <n v="-1"/>
    <x v="0"/>
    <s v="Alterations in connection with the conversion fo the property from two flats to a single family dwelling house"/>
    <s v="AF"/>
    <d v="2020-03-09T00:00:00"/>
    <m/>
    <x v="0"/>
    <s v="Nil"/>
    <m/>
    <s v="BF"/>
    <s v="CON"/>
    <x v="0"/>
    <x v="8"/>
    <n v="9.9999997764825804E-3"/>
    <m/>
    <x v="0"/>
    <m/>
    <x v="0"/>
    <s v="M"/>
    <m/>
    <m/>
    <n v="0"/>
    <n v="0"/>
    <n v="0"/>
    <n v="0"/>
    <n v="0"/>
    <n v="-2"/>
    <n v="0"/>
    <n v="1"/>
    <n v="0"/>
    <n v="0"/>
    <n v="0"/>
    <n v="0"/>
    <n v="-2"/>
    <n v="0"/>
    <n v="0"/>
    <n v="0"/>
    <n v="0"/>
    <n v="0"/>
    <n v="0"/>
    <n v="0"/>
    <n v="0"/>
    <n v="1"/>
    <n v="0"/>
    <n v="0"/>
    <n v="0"/>
    <n v="0"/>
    <n v="0"/>
    <n v="0"/>
    <n v="0"/>
    <n v="0"/>
    <n v="0"/>
    <n v="0"/>
    <x v="0"/>
    <x v="0"/>
    <x v="0"/>
    <x v="0"/>
    <x v="0"/>
    <m/>
    <x v="0"/>
    <x v="0"/>
    <n v="19"/>
    <m/>
    <m/>
    <m/>
    <m/>
    <m/>
    <n v="-0.33333333333333331"/>
    <n v="-0.33333333333333331"/>
    <n v="-0.33333333333333331"/>
    <m/>
    <m/>
    <m/>
    <m/>
    <m/>
    <m/>
    <m/>
    <m/>
    <m/>
    <m/>
    <m/>
    <m/>
    <m/>
    <n v="-0.33333333333333331"/>
    <n v="-1"/>
  </r>
  <r>
    <n v="4043"/>
    <x v="4"/>
    <s v="2020/0599"/>
    <s v="184 Northcote Road"/>
    <m/>
    <n v="527663"/>
    <n v="174334"/>
    <x v="4"/>
    <m/>
    <m/>
    <n v="0"/>
    <n v="1"/>
    <n v="1"/>
    <n v="1"/>
    <n v="1"/>
    <x v="0"/>
    <s v="Determination as to whether prior approval is required for change of use of rear part of ground and first floors from retail (Class A1) to 1 x 2-bedroom flat (Class C3), with associated external alterations including installation of windows."/>
    <s v="NPA"/>
    <d v="2020-02-26T00:00:00"/>
    <m/>
    <x v="0"/>
    <s v="Nil"/>
    <m/>
    <s v="BF"/>
    <s v="COU"/>
    <x v="0"/>
    <x v="4"/>
    <n v="4.0000001899898104E-3"/>
    <m/>
    <x v="0"/>
    <m/>
    <x v="0"/>
    <s v="M"/>
    <m/>
    <m/>
    <n v="0"/>
    <n v="0"/>
    <n v="0"/>
    <n v="0"/>
    <n v="0"/>
    <n v="0"/>
    <n v="1"/>
    <n v="0"/>
    <n v="0"/>
    <n v="0"/>
    <n v="0"/>
    <n v="0"/>
    <n v="0"/>
    <n v="1"/>
    <n v="0"/>
    <n v="0"/>
    <n v="0"/>
    <n v="0"/>
    <n v="0"/>
    <n v="0"/>
    <n v="0"/>
    <n v="0"/>
    <n v="0"/>
    <n v="0"/>
    <n v="0"/>
    <n v="0"/>
    <n v="0"/>
    <n v="0"/>
    <n v="0"/>
    <n v="0"/>
    <n v="0"/>
    <n v="0"/>
    <x v="0"/>
    <x v="0"/>
    <x v="0"/>
    <x v="0"/>
    <x v="0"/>
    <m/>
    <x v="0"/>
    <x v="0"/>
    <n v="19"/>
    <m/>
    <m/>
    <m/>
    <m/>
    <m/>
    <n v="0.33333333333333331"/>
    <n v="0.33333333333333331"/>
    <n v="0.33333333333333331"/>
    <m/>
    <m/>
    <m/>
    <m/>
    <m/>
    <m/>
    <m/>
    <m/>
    <m/>
    <m/>
    <m/>
    <m/>
    <m/>
    <n v="0.33333333333333331"/>
    <n v="1"/>
  </r>
  <r>
    <n v="4940"/>
    <x v="4"/>
    <s v="2020/0082"/>
    <s v="96 Upper Tooting Road"/>
    <m/>
    <n v="527766"/>
    <n v="172106"/>
    <x v="1"/>
    <m/>
    <m/>
    <n v="0"/>
    <n v="1"/>
    <n v="1"/>
    <n v="3"/>
    <n v="2"/>
    <x v="0"/>
    <s v="Conversion of rear ground floor storage room (B8) into 1-bedroom/ 1-person residential unit (C3) with installation of new windows on rear and side elevation. Rear two-storey extension at first and second floor level, rear mansard and pod roof extensions, creation of terrace at 1st floor and roof level with 1.7m high obscured glass balustrade, conversion of existing 1x2 bedroom flat into 1x2 bedroom / 3-person flat and 1x1 bedroom/ 1-person unit with associated refuse and cycle storage"/>
    <s v="AF"/>
    <d v="2020-02-06T00:00:00"/>
    <m/>
    <x v="0"/>
    <s v="Nil"/>
    <m/>
    <s v="BF"/>
    <s v="MIX"/>
    <x v="0"/>
    <x v="4"/>
    <n v="1.00000004749745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4940"/>
    <x v="4"/>
    <s v="2020/0082"/>
    <s v="96 Upper Tooting Road"/>
    <m/>
    <n v="527766"/>
    <n v="172106"/>
    <x v="1"/>
    <m/>
    <m/>
    <n v="1"/>
    <n v="1"/>
    <n v="0"/>
    <n v="3"/>
    <n v="2"/>
    <x v="0"/>
    <s v="Conversion of rear ground floor storage room (B8) into 1-bedroom/ 1-person residential unit (C3) with installation of new windows on rear and side elevation. Rear two-storey extension at first and second floor level, rear mansard and pod roof extensions, creation of terrace at 1st floor and roof level with 1.7m high obscured glass balustrade, conversion of existing 1x2 bedroom flat into 1x2 bedroom / 3-person flat and 1x1 bedroom/ 1-person unit with associated refuse and cycle storage"/>
    <s v="AF"/>
    <d v="2020-02-06T00:00:00"/>
    <m/>
    <x v="0"/>
    <s v="Nil"/>
    <m/>
    <s v="BF"/>
    <s v="MIX"/>
    <x v="0"/>
    <x v="0"/>
    <n v="1.00000004749745E-3"/>
    <m/>
    <x v="0"/>
    <m/>
    <x v="0"/>
    <s v="M"/>
    <m/>
    <m/>
    <n v="0"/>
    <n v="0"/>
    <n v="0"/>
    <n v="0"/>
    <n v="0"/>
    <n v="1"/>
    <n v="-1"/>
    <n v="0"/>
    <n v="0"/>
    <n v="0"/>
    <n v="0"/>
    <n v="0"/>
    <n v="1"/>
    <n v="-1"/>
    <n v="0"/>
    <n v="0"/>
    <n v="0"/>
    <n v="0"/>
    <n v="0"/>
    <n v="0"/>
    <n v="0"/>
    <n v="0"/>
    <n v="0"/>
    <n v="0"/>
    <n v="0"/>
    <n v="0"/>
    <n v="0"/>
    <n v="0"/>
    <n v="0"/>
    <n v="0"/>
    <n v="0"/>
    <n v="0"/>
    <x v="0"/>
    <x v="0"/>
    <x v="0"/>
    <x v="0"/>
    <x v="0"/>
    <m/>
    <x v="0"/>
    <x v="0"/>
    <n v="19"/>
    <m/>
    <m/>
    <m/>
    <m/>
    <m/>
    <n v="0"/>
    <n v="0"/>
    <n v="0"/>
    <m/>
    <m/>
    <m/>
    <m/>
    <m/>
    <m/>
    <m/>
    <m/>
    <m/>
    <m/>
    <m/>
    <m/>
    <m/>
    <n v="0"/>
    <n v="0"/>
  </r>
  <r>
    <n v="4940"/>
    <x v="4"/>
    <s v="2020/0082"/>
    <s v="96 Upper Tooting Road"/>
    <m/>
    <n v="527766"/>
    <n v="172106"/>
    <x v="1"/>
    <m/>
    <m/>
    <n v="0"/>
    <n v="1"/>
    <n v="1"/>
    <n v="3"/>
    <n v="2"/>
    <x v="0"/>
    <s v="Conversion of rear ground floor storage room (B8) into 1-bedroom/ 1-person residential unit (C3) with installation of new windows on rear and side elevation. Rear two-storey extension at first and second floor level, rear mansard and pod roof extensions, creation of terrace at 1st floor and roof level with 1.7m high obscured glass balustrade, conversion of existing 1x2 bedroom flat into 1x2 bedroom / 3-person flat and 1x1 bedroom/ 1-person unit with associated refuse and cycle storage"/>
    <s v="AF"/>
    <d v="2020-02-06T00:00:00"/>
    <m/>
    <x v="0"/>
    <s v="Nil"/>
    <m/>
    <s v="BF"/>
    <s v="MIX"/>
    <x v="0"/>
    <x v="3"/>
    <n v="2.9999999329447701E-2"/>
    <m/>
    <x v="0"/>
    <m/>
    <x v="0"/>
    <s v="M"/>
    <m/>
    <m/>
    <n v="0"/>
    <n v="0"/>
    <n v="0"/>
    <n v="0"/>
    <n v="0"/>
    <n v="0"/>
    <n v="1"/>
    <n v="0"/>
    <n v="0"/>
    <n v="0"/>
    <n v="0"/>
    <n v="0"/>
    <n v="0"/>
    <n v="1"/>
    <n v="0"/>
    <n v="0"/>
    <n v="0"/>
    <n v="0"/>
    <n v="0"/>
    <n v="0"/>
    <n v="0"/>
    <n v="0"/>
    <n v="0"/>
    <n v="0"/>
    <n v="0"/>
    <n v="0"/>
    <n v="0"/>
    <n v="0"/>
    <n v="0"/>
    <n v="0"/>
    <n v="0"/>
    <n v="0"/>
    <x v="0"/>
    <x v="0"/>
    <x v="0"/>
    <x v="0"/>
    <x v="0"/>
    <m/>
    <x v="0"/>
    <x v="0"/>
    <n v="19"/>
    <m/>
    <m/>
    <m/>
    <m/>
    <m/>
    <n v="0.33333333333333331"/>
    <n v="0.33333333333333331"/>
    <n v="0.33333333333333331"/>
    <m/>
    <m/>
    <m/>
    <m/>
    <m/>
    <m/>
    <m/>
    <m/>
    <m/>
    <m/>
    <m/>
    <m/>
    <m/>
    <n v="0.33333333333333331"/>
    <n v="1"/>
  </r>
  <r>
    <n v="5143"/>
    <x v="4"/>
    <s v="2020/0462"/>
    <s v="10 Cambalt Road"/>
    <m/>
    <n v="523713"/>
    <n v="174783"/>
    <x v="5"/>
    <m/>
    <m/>
    <n v="0"/>
    <n v="1"/>
    <n v="1"/>
    <n v="1"/>
    <n v="1"/>
    <x v="0"/>
    <s v="Conversion of existing basement to form 1 x studio flat including formation of light well to rear"/>
    <s v="AF"/>
    <d v="2020-02-13T00:00:00"/>
    <m/>
    <x v="0"/>
    <s v="Nil"/>
    <m/>
    <s v="BF"/>
    <s v="EXT"/>
    <x v="0"/>
    <x v="3"/>
    <n v="4.0000001899898104E-3"/>
    <m/>
    <x v="0"/>
    <m/>
    <x v="0"/>
    <s v="M"/>
    <m/>
    <m/>
    <n v="0"/>
    <n v="0"/>
    <n v="0"/>
    <n v="0"/>
    <n v="1"/>
    <n v="0"/>
    <n v="0"/>
    <n v="0"/>
    <n v="0"/>
    <n v="0"/>
    <n v="0"/>
    <n v="1"/>
    <n v="0"/>
    <n v="0"/>
    <n v="0"/>
    <n v="0"/>
    <n v="0"/>
    <n v="0"/>
    <n v="0"/>
    <n v="0"/>
    <n v="0"/>
    <n v="0"/>
    <n v="0"/>
    <n v="0"/>
    <n v="0"/>
    <n v="0"/>
    <n v="0"/>
    <n v="0"/>
    <n v="0"/>
    <n v="0"/>
    <n v="0"/>
    <n v="0"/>
    <x v="0"/>
    <x v="0"/>
    <x v="0"/>
    <x v="0"/>
    <x v="0"/>
    <m/>
    <x v="0"/>
    <x v="0"/>
    <n v="19"/>
    <m/>
    <m/>
    <m/>
    <m/>
    <m/>
    <n v="0.33333333333333331"/>
    <n v="0.33333333333333331"/>
    <n v="0.33333333333333331"/>
    <m/>
    <m/>
    <m/>
    <m/>
    <m/>
    <m/>
    <m/>
    <m/>
    <m/>
    <m/>
    <m/>
    <m/>
    <m/>
    <n v="0.33333333333333331"/>
    <n v="1"/>
  </r>
  <r>
    <n v="5197"/>
    <x v="4"/>
    <s v="2020/0650"/>
    <s v="Rear of 667-669, 667-669 Garratt Lane"/>
    <m/>
    <n v="526177"/>
    <n v="172334"/>
    <x v="8"/>
    <m/>
    <m/>
    <n v="0"/>
    <n v="1"/>
    <n v="1"/>
    <n v="1"/>
    <n v="1"/>
    <x v="0"/>
    <s v="Alterations including erection of first floor rear extension to provide 1x1 bedroom flat."/>
    <s v="AF"/>
    <d v="2020-02-27T00:00:00"/>
    <m/>
    <x v="0"/>
    <s v="Nil"/>
    <m/>
    <s v="BF"/>
    <s v="EXT"/>
    <x v="0"/>
    <x v="3"/>
    <n v="6.0000000521540598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5605"/>
    <x v="4"/>
    <s v="2020/0683"/>
    <s v="Unit 2 Windward House, Square Rigger Row"/>
    <m/>
    <n v="526468"/>
    <n v="175725"/>
    <x v="11"/>
    <m/>
    <m/>
    <n v="0"/>
    <n v="1"/>
    <n v="1"/>
    <n v="1"/>
    <n v="1"/>
    <x v="0"/>
    <s v="Determination as to whether prior approval is required for change of use from Office (Class B1a) to 1 x 2-bedroom flat (Class C3)."/>
    <s v="NPA"/>
    <d v="2020-03-05T00:00:00"/>
    <m/>
    <x v="0"/>
    <s v="Nil"/>
    <m/>
    <s v="BF"/>
    <s v="COU"/>
    <x v="0"/>
    <x v="6"/>
    <n v="6.0000000521540598E-3"/>
    <m/>
    <x v="0"/>
    <m/>
    <x v="0"/>
    <s v="M"/>
    <s v="10.15"/>
    <m/>
    <n v="0"/>
    <n v="0"/>
    <n v="0"/>
    <n v="0"/>
    <n v="0"/>
    <n v="0"/>
    <n v="1"/>
    <n v="0"/>
    <n v="0"/>
    <n v="0"/>
    <n v="0"/>
    <n v="0"/>
    <n v="0"/>
    <n v="1"/>
    <n v="0"/>
    <n v="0"/>
    <n v="0"/>
    <n v="0"/>
    <n v="0"/>
    <n v="0"/>
    <n v="0"/>
    <n v="0"/>
    <n v="0"/>
    <n v="0"/>
    <n v="0"/>
    <n v="0"/>
    <n v="0"/>
    <n v="0"/>
    <n v="0"/>
    <n v="0"/>
    <n v="0"/>
    <n v="0"/>
    <x v="0"/>
    <x v="0"/>
    <x v="0"/>
    <x v="0"/>
    <x v="0"/>
    <m/>
    <x v="1"/>
    <x v="0"/>
    <n v="19"/>
    <m/>
    <m/>
    <m/>
    <m/>
    <m/>
    <n v="0.33333333333333331"/>
    <n v="0.33333333333333331"/>
    <n v="0.33333333333333331"/>
    <m/>
    <m/>
    <m/>
    <m/>
    <m/>
    <m/>
    <m/>
    <m/>
    <m/>
    <m/>
    <m/>
    <m/>
    <m/>
    <n v="0.33333333333333331"/>
    <n v="1"/>
  </r>
  <r>
    <n v="5800"/>
    <x v="4"/>
    <s v="2020/0684"/>
    <s v="Units 1, 9 &amp; 10 Port House, Square Rigger Row"/>
    <m/>
    <n v="526505"/>
    <n v="175773"/>
    <x v="11"/>
    <m/>
    <m/>
    <n v="0"/>
    <n v="3"/>
    <n v="3"/>
    <n v="3"/>
    <n v="3"/>
    <x v="0"/>
    <s v="Determination as to whether prior approval is required for change of use from office (Class B1a) to 3 x 1-bedroom flats (Class C3)."/>
    <s v="NPA"/>
    <d v="2020-03-05T00:00:00"/>
    <m/>
    <x v="0"/>
    <s v="Nil"/>
    <m/>
    <s v="BF"/>
    <s v="COU"/>
    <x v="0"/>
    <x v="6"/>
    <n v="1.30000002682209E-2"/>
    <m/>
    <x v="0"/>
    <m/>
    <x v="0"/>
    <s v="M"/>
    <s v="10.15"/>
    <m/>
    <n v="0"/>
    <n v="0"/>
    <n v="0"/>
    <n v="0"/>
    <n v="0"/>
    <n v="3"/>
    <n v="0"/>
    <n v="0"/>
    <n v="0"/>
    <n v="0"/>
    <n v="0"/>
    <n v="0"/>
    <n v="3"/>
    <n v="0"/>
    <n v="0"/>
    <n v="0"/>
    <n v="0"/>
    <n v="0"/>
    <n v="0"/>
    <n v="0"/>
    <n v="0"/>
    <n v="0"/>
    <n v="0"/>
    <n v="0"/>
    <n v="0"/>
    <n v="0"/>
    <n v="0"/>
    <n v="0"/>
    <n v="0"/>
    <n v="0"/>
    <n v="0"/>
    <n v="0"/>
    <x v="0"/>
    <x v="0"/>
    <x v="0"/>
    <x v="0"/>
    <x v="0"/>
    <m/>
    <x v="1"/>
    <x v="0"/>
    <n v="19"/>
    <m/>
    <m/>
    <m/>
    <m/>
    <m/>
    <n v="1"/>
    <n v="1"/>
    <n v="1"/>
    <m/>
    <m/>
    <m/>
    <m/>
    <m/>
    <m/>
    <m/>
    <m/>
    <m/>
    <m/>
    <m/>
    <m/>
    <m/>
    <n v="1"/>
    <n v="3"/>
  </r>
  <r>
    <n v="5801"/>
    <x v="4"/>
    <s v="2020/0682"/>
    <s v="1 Leeward House, Square Rigger Row"/>
    <m/>
    <n v="526534"/>
    <n v="175822"/>
    <x v="11"/>
    <m/>
    <m/>
    <n v="0"/>
    <n v="1"/>
    <n v="1"/>
    <n v="1"/>
    <n v="1"/>
    <x v="0"/>
    <s v="Determination as to whether prior approval is required for change of use from Office (Class B1) to 1 x 1-bedroom flat (Class C3)."/>
    <s v="NPA"/>
    <d v="2020-03-02T00:00:00"/>
    <m/>
    <x v="0"/>
    <s v="Nil"/>
    <m/>
    <s v="BF"/>
    <s v="COU"/>
    <x v="0"/>
    <x v="6"/>
    <n v="4.9999998882412902E-3"/>
    <m/>
    <x v="0"/>
    <m/>
    <x v="1"/>
    <s v="IU"/>
    <s v="10.15"/>
    <m/>
    <n v="0"/>
    <n v="0"/>
    <n v="0"/>
    <n v="0"/>
    <n v="0"/>
    <n v="1"/>
    <n v="0"/>
    <n v="0"/>
    <n v="0"/>
    <n v="0"/>
    <n v="0"/>
    <n v="0"/>
    <n v="1"/>
    <n v="0"/>
    <n v="0"/>
    <n v="0"/>
    <n v="0"/>
    <n v="0"/>
    <n v="0"/>
    <n v="0"/>
    <n v="0"/>
    <n v="0"/>
    <n v="0"/>
    <n v="0"/>
    <n v="0"/>
    <n v="0"/>
    <n v="0"/>
    <n v="0"/>
    <n v="0"/>
    <n v="0"/>
    <n v="0"/>
    <n v="0"/>
    <x v="0"/>
    <x v="0"/>
    <x v="0"/>
    <x v="0"/>
    <x v="0"/>
    <m/>
    <x v="1"/>
    <x v="0"/>
    <n v="19"/>
    <m/>
    <m/>
    <m/>
    <m/>
    <m/>
    <n v="0.33333333333333331"/>
    <n v="0.33333333333333331"/>
    <n v="0.33333333333333331"/>
    <m/>
    <m/>
    <m/>
    <m/>
    <m/>
    <m/>
    <m/>
    <m/>
    <m/>
    <m/>
    <m/>
    <m/>
    <m/>
    <n v="0.33333333333333331"/>
    <n v="1"/>
  </r>
  <r>
    <n v="5802"/>
    <x v="4"/>
    <s v="2020/0680"/>
    <s v="Units 2-8 &amp; 11-14 Port House, Square Rigger Row"/>
    <m/>
    <n v="526505"/>
    <n v="175773"/>
    <x v="11"/>
    <m/>
    <m/>
    <n v="0"/>
    <n v="11"/>
    <n v="11"/>
    <n v="11"/>
    <n v="11"/>
    <x v="1"/>
    <s v="Determination as to whether prior approval is required for change of use of office at ground to first floor from (Class B1) to residential (Class C3) to provide 7 x 1-bedroom flats and 4 x 2-bedroom flats."/>
    <s v="NPA"/>
    <d v="2020-02-26T00:00:00"/>
    <m/>
    <x v="0"/>
    <s v="Nil"/>
    <m/>
    <s v="BF"/>
    <s v="COU"/>
    <x v="0"/>
    <x v="6"/>
    <n v="3.9999999105930301E-2"/>
    <m/>
    <x v="0"/>
    <m/>
    <x v="0"/>
    <s v="M"/>
    <s v="10.15"/>
    <m/>
    <n v="0"/>
    <n v="0"/>
    <n v="0"/>
    <n v="0"/>
    <n v="0"/>
    <n v="7"/>
    <n v="4"/>
    <n v="0"/>
    <n v="0"/>
    <n v="0"/>
    <n v="0"/>
    <n v="0"/>
    <n v="7"/>
    <n v="4"/>
    <n v="0"/>
    <n v="0"/>
    <n v="0"/>
    <n v="0"/>
    <n v="0"/>
    <n v="0"/>
    <n v="0"/>
    <n v="0"/>
    <n v="0"/>
    <n v="0"/>
    <n v="0"/>
    <n v="0"/>
    <n v="0"/>
    <n v="0"/>
    <n v="0"/>
    <n v="0"/>
    <n v="0"/>
    <n v="0"/>
    <x v="0"/>
    <x v="0"/>
    <x v="0"/>
    <x v="0"/>
    <x v="0"/>
    <m/>
    <x v="1"/>
    <x v="0"/>
    <n v="19"/>
    <m/>
    <m/>
    <m/>
    <m/>
    <m/>
    <n v="3.6666666666666665"/>
    <n v="3.6666666666666665"/>
    <n v="3.6666666666666665"/>
    <m/>
    <m/>
    <m/>
    <m/>
    <m/>
    <m/>
    <m/>
    <m/>
    <m/>
    <m/>
    <m/>
    <m/>
    <m/>
    <n v="3.6666666666666665"/>
    <n v="11"/>
  </r>
  <r>
    <n v="5803"/>
    <x v="4"/>
    <s v="2020/0685"/>
    <s v="Units 2, 3, 4, 5, 6, &amp; 7 Leeward House, Square Rigger Row (Plantation Wharf)"/>
    <m/>
    <n v="526534"/>
    <n v="175822"/>
    <x v="11"/>
    <m/>
    <m/>
    <n v="0"/>
    <n v="6"/>
    <n v="6"/>
    <n v="6"/>
    <n v="6"/>
    <x v="0"/>
    <s v="Determination as to whether prior approval is required for change of use from office (Class B1) to 6 x 1-bedroom flats (Class C3)."/>
    <s v="NPA"/>
    <d v="2020-03-02T00:00:00"/>
    <m/>
    <x v="0"/>
    <s v="Nil"/>
    <m/>
    <s v="BF"/>
    <s v="COU"/>
    <x v="0"/>
    <x v="6"/>
    <n v="8.0000003799796104E-3"/>
    <m/>
    <x v="0"/>
    <m/>
    <x v="0"/>
    <s v="M"/>
    <s v="10.15"/>
    <m/>
    <n v="0"/>
    <n v="0"/>
    <n v="0"/>
    <n v="0"/>
    <n v="0"/>
    <n v="6"/>
    <n v="0"/>
    <n v="0"/>
    <n v="0"/>
    <n v="0"/>
    <n v="0"/>
    <n v="0"/>
    <n v="6"/>
    <n v="0"/>
    <n v="0"/>
    <n v="0"/>
    <n v="0"/>
    <n v="0"/>
    <n v="0"/>
    <n v="0"/>
    <n v="0"/>
    <n v="0"/>
    <n v="0"/>
    <n v="0"/>
    <n v="0"/>
    <n v="0"/>
    <n v="0"/>
    <n v="0"/>
    <n v="0"/>
    <n v="0"/>
    <n v="0"/>
    <n v="0"/>
    <x v="0"/>
    <x v="0"/>
    <x v="0"/>
    <x v="0"/>
    <x v="0"/>
    <m/>
    <x v="1"/>
    <x v="0"/>
    <n v="19"/>
    <m/>
    <m/>
    <m/>
    <m/>
    <m/>
    <n v="2"/>
    <n v="2"/>
    <n v="2"/>
    <m/>
    <m/>
    <m/>
    <m/>
    <m/>
    <m/>
    <m/>
    <m/>
    <m/>
    <m/>
    <m/>
    <m/>
    <m/>
    <n v="2"/>
    <n v="6"/>
  </r>
  <r>
    <n v="5804"/>
    <x v="4"/>
    <s v="2020/0686"/>
    <s v="East &amp; West 1,2,3,4, &amp; 8, Square Rigger Row (Plantation Wharf)"/>
    <m/>
    <n v="526485"/>
    <n v="175743"/>
    <x v="11"/>
    <m/>
    <m/>
    <n v="0"/>
    <n v="5"/>
    <n v="5"/>
    <n v="5"/>
    <n v="5"/>
    <x v="0"/>
    <s v="Determination as to whether prior approval is required for change of use from office (Class B1a) to 5 x 3-bedroom flats (Class C3)."/>
    <s v="NPA"/>
    <d v="2020-03-05T00:00:00"/>
    <m/>
    <x v="0"/>
    <s v="Nil"/>
    <m/>
    <s v="BF"/>
    <s v="COU"/>
    <x v="0"/>
    <x v="6"/>
    <n v="3.5999998450279201E-2"/>
    <m/>
    <x v="0"/>
    <m/>
    <x v="0"/>
    <s v="M"/>
    <s v="10.15"/>
    <m/>
    <n v="0"/>
    <n v="0"/>
    <n v="0"/>
    <n v="0"/>
    <n v="0"/>
    <n v="0"/>
    <n v="0"/>
    <n v="5"/>
    <n v="0"/>
    <n v="0"/>
    <n v="0"/>
    <n v="0"/>
    <n v="0"/>
    <n v="0"/>
    <n v="5"/>
    <n v="0"/>
    <n v="0"/>
    <n v="0"/>
    <n v="0"/>
    <n v="0"/>
    <n v="0"/>
    <n v="0"/>
    <n v="0"/>
    <n v="0"/>
    <n v="0"/>
    <n v="0"/>
    <n v="0"/>
    <n v="0"/>
    <n v="0"/>
    <n v="0"/>
    <n v="0"/>
    <n v="0"/>
    <x v="0"/>
    <x v="0"/>
    <x v="0"/>
    <x v="0"/>
    <x v="0"/>
    <m/>
    <x v="1"/>
    <x v="0"/>
    <n v="19"/>
    <m/>
    <m/>
    <m/>
    <m/>
    <m/>
    <n v="1.6666666666666667"/>
    <n v="1.6666666666666667"/>
    <n v="1.6666666666666667"/>
    <m/>
    <m/>
    <m/>
    <m/>
    <m/>
    <m/>
    <m/>
    <m/>
    <m/>
    <m/>
    <m/>
    <m/>
    <m/>
    <n v="1.6666666666666667"/>
    <n v="5"/>
  </r>
  <r>
    <n v="6032"/>
    <x v="4"/>
    <s v="2020/0614"/>
    <s v="259 Putney Bridge Road"/>
    <m/>
    <n v="524386"/>
    <n v="175298"/>
    <x v="0"/>
    <m/>
    <m/>
    <n v="1"/>
    <n v="2"/>
    <n v="1"/>
    <n v="4"/>
    <n v="3"/>
    <x v="0"/>
    <s v="Alterations in connection with conversion of building from retail (Class A1) on ground floor and residential flat (Class C3) to 1 x studio, 2 x 1-bedroom and 1 x 2-bedroom flats."/>
    <s v="AF"/>
    <d v="2020-02-25T00:00:00"/>
    <m/>
    <x v="0"/>
    <s v="Nil"/>
    <m/>
    <s v="BF"/>
    <s v="COU"/>
    <x v="0"/>
    <x v="0"/>
    <n v="6.0000000521540598E-3"/>
    <m/>
    <x v="0"/>
    <m/>
    <x v="0"/>
    <s v="M"/>
    <m/>
    <m/>
    <n v="0"/>
    <n v="0"/>
    <n v="0"/>
    <n v="0"/>
    <n v="0"/>
    <n v="1"/>
    <n v="1"/>
    <n v="0"/>
    <n v="0"/>
    <n v="-1"/>
    <n v="0"/>
    <n v="0"/>
    <n v="1"/>
    <n v="1"/>
    <n v="0"/>
    <n v="0"/>
    <n v="-1"/>
    <n v="0"/>
    <n v="0"/>
    <n v="0"/>
    <n v="0"/>
    <n v="0"/>
    <n v="0"/>
    <n v="0"/>
    <n v="0"/>
    <n v="0"/>
    <n v="0"/>
    <n v="0"/>
    <n v="0"/>
    <n v="0"/>
    <n v="0"/>
    <n v="0"/>
    <x v="0"/>
    <x v="0"/>
    <x v="0"/>
    <x v="0"/>
    <x v="0"/>
    <m/>
    <x v="0"/>
    <x v="0"/>
    <n v="19"/>
    <m/>
    <m/>
    <m/>
    <m/>
    <m/>
    <n v="0.33333333333333331"/>
    <n v="0.33333333333333331"/>
    <n v="0.33333333333333331"/>
    <m/>
    <m/>
    <m/>
    <m/>
    <m/>
    <m/>
    <m/>
    <m/>
    <m/>
    <m/>
    <m/>
    <m/>
    <m/>
    <n v="0.33333333333333331"/>
    <n v="1"/>
  </r>
  <r>
    <n v="6032"/>
    <x v="4"/>
    <s v="2020/0614"/>
    <s v="259 Putney Bridge Road"/>
    <m/>
    <n v="524386"/>
    <n v="175298"/>
    <x v="0"/>
    <m/>
    <m/>
    <n v="0"/>
    <n v="2"/>
    <n v="2"/>
    <n v="4"/>
    <n v="3"/>
    <x v="0"/>
    <s v="Alterations in connection with conversion of building from retail (Class A1) on ground floor and residential flat (Class C3) to 1 x studio, 2 x 1-bedroom and 1 x 2-bedroom flats."/>
    <s v="AF"/>
    <d v="2020-02-25T00:00:00"/>
    <m/>
    <x v="0"/>
    <s v="Nil"/>
    <m/>
    <s v="BF"/>
    <s v="COU"/>
    <x v="0"/>
    <x v="4"/>
    <n v="4.9999998882412902E-3"/>
    <m/>
    <x v="0"/>
    <m/>
    <x v="0"/>
    <s v="M"/>
    <m/>
    <m/>
    <n v="0"/>
    <n v="0"/>
    <n v="0"/>
    <n v="0"/>
    <n v="1"/>
    <n v="1"/>
    <n v="0"/>
    <n v="0"/>
    <n v="0"/>
    <n v="0"/>
    <n v="0"/>
    <n v="1"/>
    <n v="1"/>
    <n v="0"/>
    <n v="0"/>
    <n v="0"/>
    <n v="0"/>
    <n v="0"/>
    <n v="0"/>
    <n v="0"/>
    <n v="0"/>
    <n v="0"/>
    <n v="0"/>
    <n v="0"/>
    <n v="0"/>
    <n v="0"/>
    <n v="0"/>
    <n v="0"/>
    <n v="0"/>
    <n v="0"/>
    <n v="0"/>
    <n v="0"/>
    <x v="0"/>
    <x v="0"/>
    <x v="0"/>
    <x v="0"/>
    <x v="0"/>
    <m/>
    <x v="0"/>
    <x v="0"/>
    <n v="19"/>
    <m/>
    <m/>
    <m/>
    <m/>
    <m/>
    <n v="0.66666666666666663"/>
    <n v="0.66666666666666663"/>
    <n v="0.66666666666666663"/>
    <m/>
    <m/>
    <m/>
    <m/>
    <m/>
    <m/>
    <m/>
    <m/>
    <m/>
    <m/>
    <m/>
    <m/>
    <m/>
    <n v="0.66666666666666663"/>
    <n v="2"/>
  </r>
  <r>
    <n v="6106"/>
    <x v="4"/>
    <s v="2020/0722"/>
    <s v="13 Henderson Road"/>
    <m/>
    <n v="527089"/>
    <n v="173917"/>
    <x v="17"/>
    <m/>
    <m/>
    <n v="2"/>
    <n v="1"/>
    <n v="-1"/>
    <n v="1"/>
    <n v="-1"/>
    <x v="0"/>
    <s v="Alterations including erection of front dormer, front portico, part single part three storey rear/side extension;  excavation to create basement including formation of front and rear lightwells with grille over in connection with use as a single dwelling house."/>
    <s v="AF"/>
    <d v="2020-03-04T00:00:00"/>
    <m/>
    <x v="0"/>
    <s v="Nil"/>
    <m/>
    <s v="BF"/>
    <s v="CON"/>
    <x v="0"/>
    <x v="8"/>
    <n v="3.20000015199184E-2"/>
    <m/>
    <x v="0"/>
    <m/>
    <x v="0"/>
    <s v="M"/>
    <m/>
    <m/>
    <n v="0"/>
    <n v="0"/>
    <n v="0"/>
    <n v="0"/>
    <n v="0"/>
    <n v="-1"/>
    <n v="-1"/>
    <n v="0"/>
    <n v="0"/>
    <n v="1"/>
    <n v="0"/>
    <n v="0"/>
    <n v="-1"/>
    <n v="-1"/>
    <n v="0"/>
    <n v="0"/>
    <n v="0"/>
    <n v="0"/>
    <n v="0"/>
    <n v="0"/>
    <n v="0"/>
    <n v="0"/>
    <n v="0"/>
    <n v="1"/>
    <n v="0"/>
    <n v="0"/>
    <n v="0"/>
    <n v="0"/>
    <n v="0"/>
    <n v="0"/>
    <n v="0"/>
    <n v="0"/>
    <x v="0"/>
    <x v="0"/>
    <x v="0"/>
    <x v="0"/>
    <x v="0"/>
    <m/>
    <x v="0"/>
    <x v="0"/>
    <n v="19"/>
    <m/>
    <m/>
    <m/>
    <m/>
    <m/>
    <n v="-0.33333333333333331"/>
    <n v="-0.33333333333333331"/>
    <n v="-0.33333333333333331"/>
    <m/>
    <m/>
    <m/>
    <m/>
    <m/>
    <m/>
    <m/>
    <m/>
    <m/>
    <m/>
    <m/>
    <m/>
    <m/>
    <n v="-0.33333333333333331"/>
    <n v="-1"/>
  </r>
  <r>
    <n v="6238"/>
    <x v="4"/>
    <s v="2019/1231"/>
    <s v="235a - 237a, 235-237 Wimbledon Park road"/>
    <m/>
    <n v="524777"/>
    <n v="173324"/>
    <x v="14"/>
    <m/>
    <m/>
    <n v="0"/>
    <n v="3"/>
    <n v="3"/>
    <n v="3"/>
    <n v="3"/>
    <x v="0"/>
    <s v="Erection of a three-storey rea rextension in connection with formation of 3 x 2 -bedroom flats with balconies, associated cycle and refuse storage."/>
    <s v="AF"/>
    <d v="2019-03-18T00:00:00"/>
    <m/>
    <x v="0"/>
    <s v="Nil"/>
    <m/>
    <s v="BF"/>
    <s v="NB"/>
    <x v="0"/>
    <x v="5"/>
    <n v="1.4000000432133701E-2"/>
    <m/>
    <x v="0"/>
    <m/>
    <x v="0"/>
    <s v="M"/>
    <m/>
    <m/>
    <n v="0"/>
    <n v="0"/>
    <n v="0"/>
    <n v="0"/>
    <n v="0"/>
    <n v="0"/>
    <n v="3"/>
    <n v="0"/>
    <n v="0"/>
    <n v="0"/>
    <n v="0"/>
    <n v="0"/>
    <n v="0"/>
    <n v="3"/>
    <n v="0"/>
    <n v="0"/>
    <n v="0"/>
    <n v="0"/>
    <n v="0"/>
    <n v="0"/>
    <n v="0"/>
    <n v="0"/>
    <n v="0"/>
    <n v="0"/>
    <n v="0"/>
    <n v="0"/>
    <n v="0"/>
    <n v="0"/>
    <n v="0"/>
    <n v="0"/>
    <n v="0"/>
    <n v="0"/>
    <x v="0"/>
    <x v="0"/>
    <x v="0"/>
    <x v="0"/>
    <x v="0"/>
    <m/>
    <x v="0"/>
    <x v="0"/>
    <n v="10"/>
    <m/>
    <m/>
    <m/>
    <m/>
    <m/>
    <n v="1"/>
    <n v="1"/>
    <n v="1"/>
    <m/>
    <m/>
    <m/>
    <m/>
    <m/>
    <m/>
    <m/>
    <m/>
    <m/>
    <m/>
    <m/>
    <m/>
    <m/>
    <n v="1"/>
    <n v="3"/>
  </r>
  <r>
    <n v="6280"/>
    <x v="4"/>
    <s v="2019/5092"/>
    <s v="Belvedere Court, 372-374 Upper Richmond Road"/>
    <m/>
    <n v="523210"/>
    <n v="175380"/>
    <x v="15"/>
    <m/>
    <m/>
    <n v="0"/>
    <n v="9"/>
    <n v="9"/>
    <n v="9"/>
    <n v="9"/>
    <x v="0"/>
    <s v="Alterations including extension to main roof for the creation of 6 X 2 bedroom, 2 X 1 bedroom and 1 X 3 bedroom flats at 6th and 7th floor level.. Associated landscaping and refuse provision. Formation of additional 9 parking spaces."/>
    <s v="AF"/>
    <d v="2019-12-16T00:00:00"/>
    <m/>
    <x v="0"/>
    <s v="Nil"/>
    <m/>
    <s v="BF"/>
    <s v="EXT"/>
    <x v="0"/>
    <x v="3"/>
    <n v="5.9999998658895499E-2"/>
    <m/>
    <x v="0"/>
    <m/>
    <x v="0"/>
    <s v="M"/>
    <m/>
    <m/>
    <n v="0"/>
    <n v="0"/>
    <n v="0"/>
    <n v="0"/>
    <n v="0"/>
    <n v="2"/>
    <n v="6"/>
    <n v="1"/>
    <n v="0"/>
    <n v="0"/>
    <n v="0"/>
    <n v="0"/>
    <n v="2"/>
    <n v="6"/>
    <n v="1"/>
    <n v="0"/>
    <n v="0"/>
    <n v="0"/>
    <n v="0"/>
    <n v="0"/>
    <n v="0"/>
    <n v="0"/>
    <n v="0"/>
    <n v="0"/>
    <n v="0"/>
    <n v="0"/>
    <n v="0"/>
    <n v="0"/>
    <n v="0"/>
    <n v="0"/>
    <n v="0"/>
    <n v="0"/>
    <x v="0"/>
    <x v="0"/>
    <x v="0"/>
    <x v="0"/>
    <x v="0"/>
    <m/>
    <x v="0"/>
    <x v="0"/>
    <n v="19"/>
    <m/>
    <m/>
    <m/>
    <m/>
    <m/>
    <n v="3"/>
    <n v="3"/>
    <n v="3"/>
    <m/>
    <m/>
    <m/>
    <m/>
    <m/>
    <m/>
    <m/>
    <m/>
    <m/>
    <m/>
    <m/>
    <m/>
    <m/>
    <n v="3"/>
    <n v="9"/>
  </r>
  <r>
    <n v="6462"/>
    <x v="4"/>
    <s v="2020/0681"/>
    <s v="533 Garratt Lane"/>
    <m/>
    <n v="526097"/>
    <n v="172943"/>
    <x v="8"/>
    <m/>
    <m/>
    <n v="0"/>
    <n v="1"/>
    <n v="1"/>
    <n v="1"/>
    <n v="1"/>
    <x v="0"/>
    <s v="Alterations in connection with change of use of rear ground floor from retail (Class A1) to residential (Class C3) to provide studio flat with access from Beemans Row."/>
    <s v="AF"/>
    <d v="2020-02-28T00:00:00"/>
    <m/>
    <x v="0"/>
    <s v="Nil"/>
    <m/>
    <s v="BF"/>
    <s v="COU"/>
    <x v="0"/>
    <x v="4"/>
    <n v="3.0000000260770299E-3"/>
    <m/>
    <x v="0"/>
    <m/>
    <x v="0"/>
    <s v="M"/>
    <m/>
    <m/>
    <n v="0"/>
    <n v="0"/>
    <n v="0"/>
    <n v="0"/>
    <n v="1"/>
    <n v="0"/>
    <n v="0"/>
    <n v="0"/>
    <n v="0"/>
    <n v="0"/>
    <n v="0"/>
    <n v="1"/>
    <n v="0"/>
    <n v="0"/>
    <n v="0"/>
    <n v="0"/>
    <n v="0"/>
    <n v="0"/>
    <n v="0"/>
    <n v="0"/>
    <n v="0"/>
    <n v="0"/>
    <n v="0"/>
    <n v="0"/>
    <n v="0"/>
    <n v="0"/>
    <n v="0"/>
    <n v="0"/>
    <n v="0"/>
    <n v="0"/>
    <n v="0"/>
    <n v="0"/>
    <x v="0"/>
    <x v="0"/>
    <x v="0"/>
    <x v="0"/>
    <x v="0"/>
    <m/>
    <x v="0"/>
    <x v="0"/>
    <n v="19"/>
    <m/>
    <m/>
    <m/>
    <m/>
    <m/>
    <n v="0.33333333333333331"/>
    <n v="0.33333333333333331"/>
    <n v="0.33333333333333331"/>
    <m/>
    <m/>
    <m/>
    <m/>
    <m/>
    <m/>
    <m/>
    <m/>
    <m/>
    <m/>
    <m/>
    <m/>
    <m/>
    <n v="0.33333333333333331"/>
    <n v="1"/>
  </r>
  <r>
    <n v="6739"/>
    <x v="4"/>
    <s v="2020/0123"/>
    <s v="Irene House, 218 Balham High Road"/>
    <m/>
    <n v="528376"/>
    <n v="173160"/>
    <x v="3"/>
    <m/>
    <m/>
    <n v="0"/>
    <n v="7"/>
    <n v="7"/>
    <n v="7"/>
    <n v="7"/>
    <x v="0"/>
    <s v="Erection of roof extension to provide an additional floor of accommodation to accommodate 7 residential units (1x1 bedroom and 6 x 2 bedroom) with roof terraces; alterations to parking arrangements, landscaping and refuse and cycle storage."/>
    <s v="AF"/>
    <d v="2020-01-28T00:00:00"/>
    <m/>
    <x v="0"/>
    <s v="Nil"/>
    <m/>
    <s v="BF"/>
    <s v="EXT"/>
    <x v="0"/>
    <x v="3"/>
    <n v="2.0999999716877899E-2"/>
    <m/>
    <x v="0"/>
    <m/>
    <x v="0"/>
    <s v="M"/>
    <m/>
    <m/>
    <n v="0"/>
    <n v="0"/>
    <n v="0"/>
    <n v="0"/>
    <n v="0"/>
    <n v="1"/>
    <n v="6"/>
    <n v="0"/>
    <n v="0"/>
    <n v="0"/>
    <n v="0"/>
    <n v="0"/>
    <n v="1"/>
    <n v="6"/>
    <n v="0"/>
    <n v="0"/>
    <n v="0"/>
    <n v="0"/>
    <n v="0"/>
    <n v="0"/>
    <n v="0"/>
    <n v="0"/>
    <n v="0"/>
    <n v="0"/>
    <n v="0"/>
    <n v="0"/>
    <n v="0"/>
    <n v="0"/>
    <n v="0"/>
    <n v="0"/>
    <n v="0"/>
    <n v="0"/>
    <x v="0"/>
    <x v="0"/>
    <x v="0"/>
    <x v="0"/>
    <x v="0"/>
    <m/>
    <x v="0"/>
    <x v="0"/>
    <n v="16"/>
    <m/>
    <m/>
    <n v="7"/>
    <m/>
    <m/>
    <m/>
    <m/>
    <m/>
    <m/>
    <m/>
    <m/>
    <m/>
    <m/>
    <m/>
    <m/>
    <m/>
    <m/>
    <m/>
    <m/>
    <m/>
    <m/>
    <n v="7"/>
    <n v="7"/>
  </r>
  <r>
    <n v="6979"/>
    <x v="4"/>
    <s v="2019/4409"/>
    <s v="99-105 Moyser Road"/>
    <m/>
    <n v="528847"/>
    <n v="171190"/>
    <x v="7"/>
    <m/>
    <m/>
    <n v="0"/>
    <n v="4"/>
    <n v="4"/>
    <n v="4"/>
    <n v="4"/>
    <x v="0"/>
    <s v="Alterations including erection of roof extension to provide additional floor of accommodation and creation of 3 x 1-bedroom and a studio flats."/>
    <s v="AF"/>
    <d v="2019-10-31T00:00:00"/>
    <m/>
    <x v="0"/>
    <s v="Nil"/>
    <m/>
    <s v="BF"/>
    <s v="EXT"/>
    <x v="0"/>
    <x v="3"/>
    <n v="8.0000003799796104E-3"/>
    <m/>
    <x v="0"/>
    <m/>
    <x v="0"/>
    <s v="M"/>
    <m/>
    <m/>
    <n v="0"/>
    <n v="0"/>
    <n v="0"/>
    <n v="0"/>
    <n v="1"/>
    <n v="3"/>
    <n v="0"/>
    <n v="0"/>
    <n v="0"/>
    <n v="0"/>
    <n v="0"/>
    <n v="1"/>
    <n v="3"/>
    <n v="0"/>
    <n v="0"/>
    <n v="0"/>
    <n v="0"/>
    <n v="0"/>
    <n v="0"/>
    <n v="0"/>
    <n v="0"/>
    <n v="0"/>
    <n v="0"/>
    <n v="0"/>
    <n v="0"/>
    <n v="0"/>
    <n v="0"/>
    <n v="0"/>
    <n v="0"/>
    <n v="0"/>
    <n v="0"/>
    <n v="0"/>
    <x v="0"/>
    <x v="0"/>
    <x v="0"/>
    <x v="0"/>
    <x v="0"/>
    <m/>
    <x v="0"/>
    <x v="0"/>
    <n v="19"/>
    <m/>
    <m/>
    <m/>
    <m/>
    <m/>
    <n v="1.3333333333333333"/>
    <n v="1.3333333333333333"/>
    <n v="1.3333333333333333"/>
    <m/>
    <m/>
    <m/>
    <m/>
    <m/>
    <m/>
    <m/>
    <m/>
    <m/>
    <m/>
    <m/>
    <m/>
    <m/>
    <n v="1.3333333333333333"/>
    <n v="4"/>
  </r>
  <r>
    <n v="7036"/>
    <x v="4"/>
    <s v="2019/5259"/>
    <s v="2 Worcester Gardens"/>
    <m/>
    <n v="527828"/>
    <n v="175000"/>
    <x v="4"/>
    <m/>
    <m/>
    <n v="1"/>
    <n v="3"/>
    <n v="2"/>
    <n v="3"/>
    <n v="2"/>
    <x v="0"/>
    <s v="Alterations including erection of a rear roof extension and extension above part of  back addition; formation of a roof terrace with screen surround; erection first and second floor rear extensions; erection of a ground floor rear/side extension; excavation to enlarge existing basement and formation of front and rear lightwells, in connection with conversion to 1 x 2 bed and 2 x 3 bed self-contained flats."/>
    <s v="AF"/>
    <d v="2020-01-09T00:00:00"/>
    <m/>
    <x v="0"/>
    <s v="Nil"/>
    <m/>
    <s v="BF"/>
    <s v="MIX"/>
    <x v="0"/>
    <x v="2"/>
    <n v="1.4000000432133701E-2"/>
    <m/>
    <x v="0"/>
    <m/>
    <x v="0"/>
    <s v="M"/>
    <m/>
    <m/>
    <n v="0"/>
    <n v="0"/>
    <n v="0"/>
    <n v="0"/>
    <n v="0"/>
    <n v="0"/>
    <n v="1"/>
    <n v="2"/>
    <n v="-1"/>
    <n v="0"/>
    <n v="0"/>
    <n v="0"/>
    <n v="0"/>
    <n v="1"/>
    <n v="2"/>
    <n v="0"/>
    <n v="0"/>
    <n v="0"/>
    <n v="0"/>
    <n v="0"/>
    <n v="0"/>
    <n v="0"/>
    <n v="-1"/>
    <n v="0"/>
    <n v="0"/>
    <n v="0"/>
    <n v="0"/>
    <n v="0"/>
    <n v="0"/>
    <n v="0"/>
    <n v="0"/>
    <n v="0"/>
    <x v="0"/>
    <x v="0"/>
    <x v="0"/>
    <x v="0"/>
    <x v="0"/>
    <m/>
    <x v="0"/>
    <x v="0"/>
    <n v="19"/>
    <m/>
    <m/>
    <m/>
    <m/>
    <m/>
    <n v="0.66666666666666663"/>
    <n v="0.66666666666666663"/>
    <n v="0.66666666666666663"/>
    <m/>
    <m/>
    <m/>
    <m/>
    <m/>
    <m/>
    <m/>
    <m/>
    <m/>
    <m/>
    <m/>
    <m/>
    <m/>
    <n v="0.66666666666666663"/>
    <n v="2"/>
  </r>
  <r>
    <n v="7086"/>
    <x v="4"/>
    <s v="2019/4923"/>
    <s v="18 Trinity Road"/>
    <m/>
    <n v="527983"/>
    <n v="172402"/>
    <x v="3"/>
    <m/>
    <m/>
    <n v="0"/>
    <n v="2"/>
    <n v="2"/>
    <n v="2"/>
    <n v="2"/>
    <x v="0"/>
    <s v="Erection of a part two, part three-storey extension to create two x 2-bedroom flats with associated refuse and cycle storage."/>
    <s v="AF"/>
    <d v="2019-12-05T00:00:00"/>
    <m/>
    <x v="0"/>
    <s v="Nil"/>
    <m/>
    <s v="BF"/>
    <s v="NB"/>
    <x v="0"/>
    <x v="5"/>
    <n v="1.60000007599592E-2"/>
    <m/>
    <x v="0"/>
    <m/>
    <x v="0"/>
    <s v="M"/>
    <m/>
    <m/>
    <n v="0"/>
    <n v="0"/>
    <n v="0"/>
    <n v="0"/>
    <n v="0"/>
    <n v="0"/>
    <n v="2"/>
    <n v="0"/>
    <n v="0"/>
    <n v="0"/>
    <n v="0"/>
    <n v="0"/>
    <n v="0"/>
    <n v="2"/>
    <n v="0"/>
    <n v="0"/>
    <n v="0"/>
    <n v="0"/>
    <n v="0"/>
    <n v="0"/>
    <n v="0"/>
    <n v="0"/>
    <n v="0"/>
    <n v="0"/>
    <n v="0"/>
    <n v="0"/>
    <n v="0"/>
    <n v="0"/>
    <n v="0"/>
    <n v="0"/>
    <n v="0"/>
    <n v="0"/>
    <x v="0"/>
    <x v="0"/>
    <x v="0"/>
    <x v="0"/>
    <x v="0"/>
    <m/>
    <x v="0"/>
    <x v="0"/>
    <n v="10"/>
    <m/>
    <m/>
    <m/>
    <m/>
    <m/>
    <n v="0.66666666666666663"/>
    <n v="0.66666666666666663"/>
    <n v="0.66666666666666663"/>
    <m/>
    <m/>
    <m/>
    <m/>
    <m/>
    <m/>
    <m/>
    <m/>
    <m/>
    <m/>
    <m/>
    <m/>
    <m/>
    <n v="0.66666666666666663"/>
    <n v="2"/>
  </r>
  <r>
    <n v="7187"/>
    <x v="4"/>
    <s v="2019/2295"/>
    <s v="2-18 Yelverton Road"/>
    <m/>
    <n v="526782"/>
    <n v="176145"/>
    <x v="11"/>
    <m/>
    <m/>
    <n v="0"/>
    <n v="48"/>
    <n v="48"/>
    <n v="74"/>
    <n v="74"/>
    <x v="1"/>
    <s v="Demolition of an existing building and structures and erection of a part 3/16 storey mixed-use development plus basement, providing 357 sq.m of commercial office floor space (Class B1a) and 231 sq.m of creative workspace (flexible Class B1/Sui Generis) at ground and basement levels and 74 residential units at upper levels; communal garden on the 3rd floor; with 6 car parking spaces and cycle parking spaces at basement level; disabled car parking space on Yelverton Road and visitor cycle parking spaces on York Road and associated infrastructure works."/>
    <s v="AF"/>
    <d v="2019-05-24T00:00:00"/>
    <m/>
    <x v="0"/>
    <s v="Nil"/>
    <m/>
    <s v="BF"/>
    <s v="NB"/>
    <x v="1"/>
    <x v="7"/>
    <n v="0"/>
    <m/>
    <x v="0"/>
    <m/>
    <x v="0"/>
    <s v="M"/>
    <m/>
    <m/>
    <n v="0"/>
    <n v="0"/>
    <n v="0"/>
    <n v="0"/>
    <n v="0"/>
    <n v="11"/>
    <n v="35"/>
    <n v="2"/>
    <n v="0"/>
    <n v="0"/>
    <n v="0"/>
    <n v="0"/>
    <n v="11"/>
    <n v="35"/>
    <n v="2"/>
    <n v="0"/>
    <n v="0"/>
    <n v="0"/>
    <n v="0"/>
    <n v="0"/>
    <n v="0"/>
    <n v="0"/>
    <n v="0"/>
    <n v="0"/>
    <n v="0"/>
    <n v="0"/>
    <n v="0"/>
    <n v="0"/>
    <n v="0"/>
    <n v="0"/>
    <n v="0"/>
    <n v="0"/>
    <x v="0"/>
    <x v="0"/>
    <x v="0"/>
    <x v="0"/>
    <x v="0"/>
    <m/>
    <x v="0"/>
    <x v="0"/>
    <n v="10"/>
    <m/>
    <m/>
    <m/>
    <m/>
    <m/>
    <n v="16"/>
    <n v="16"/>
    <n v="16"/>
    <m/>
    <m/>
    <m/>
    <m/>
    <m/>
    <m/>
    <m/>
    <m/>
    <m/>
    <m/>
    <m/>
    <m/>
    <m/>
    <n v="16"/>
    <n v="48"/>
  </r>
  <r>
    <n v="7187"/>
    <x v="4"/>
    <s v="2019/2295"/>
    <s v="2-18 Yelverton Road"/>
    <m/>
    <n v="526782"/>
    <n v="176145"/>
    <x v="11"/>
    <m/>
    <m/>
    <n v="0"/>
    <n v="26"/>
    <n v="26"/>
    <n v="74"/>
    <n v="74"/>
    <x v="1"/>
    <s v="Demolition of an existing building and structures and erection of a part 3/16 storey mixed-use development plus basement, providing 357 sq.m of commercial office floor space (Class B1a) and 231 sq.m of creative workspace (flexible Class B1/Sui Generis) at ground and basement levels and 74 residential units at upper levels; communal garden on the 3rd floor; with 6 car parking spaces and cycle parking spaces at basement level; disabled car parking space on Yelverton Road and visitor cycle parking spaces on York Road and associated infrastructure works."/>
    <s v="AF"/>
    <d v="2019-05-24T00:00:00"/>
    <m/>
    <x v="0"/>
    <s v="Nil"/>
    <m/>
    <s v="BF"/>
    <s v="NB"/>
    <x v="1"/>
    <x v="7"/>
    <n v="0"/>
    <m/>
    <x v="0"/>
    <m/>
    <x v="1"/>
    <s v="IU"/>
    <m/>
    <m/>
    <n v="0"/>
    <n v="0"/>
    <n v="0"/>
    <n v="0"/>
    <n v="0"/>
    <n v="0"/>
    <n v="13"/>
    <n v="13"/>
    <n v="0"/>
    <n v="0"/>
    <n v="0"/>
    <n v="0"/>
    <n v="0"/>
    <n v="13"/>
    <n v="13"/>
    <n v="0"/>
    <n v="0"/>
    <n v="0"/>
    <n v="0"/>
    <n v="0"/>
    <n v="0"/>
    <n v="0"/>
    <n v="0"/>
    <n v="0"/>
    <n v="0"/>
    <n v="0"/>
    <n v="0"/>
    <n v="0"/>
    <n v="0"/>
    <n v="0"/>
    <n v="0"/>
    <n v="0"/>
    <x v="0"/>
    <x v="0"/>
    <x v="0"/>
    <x v="0"/>
    <x v="0"/>
    <m/>
    <x v="0"/>
    <x v="0"/>
    <n v="10"/>
    <m/>
    <m/>
    <m/>
    <m/>
    <m/>
    <n v="8.6666666666666661"/>
    <n v="8.6666666666666661"/>
    <n v="8.6666666666666661"/>
    <m/>
    <m/>
    <m/>
    <m/>
    <m/>
    <m/>
    <m/>
    <m/>
    <m/>
    <m/>
    <m/>
    <m/>
    <m/>
    <n v="8.6666666666666661"/>
    <n v="26"/>
  </r>
  <r>
    <n v="7193"/>
    <x v="4"/>
    <s v="2019/3464"/>
    <s v="35-37 Augustus Road"/>
    <m/>
    <n v="524557"/>
    <n v="173303"/>
    <x v="18"/>
    <m/>
    <m/>
    <n v="1"/>
    <n v="2"/>
    <n v="1"/>
    <n v="2"/>
    <n v="1"/>
    <x v="0"/>
    <s v="Alterations in connection with conversion of existing house into 2 x 2-bedroom flats."/>
    <s v="AF"/>
    <d v="2019-12-10T00:00:00"/>
    <m/>
    <x v="0"/>
    <s v="Nil"/>
    <m/>
    <s v="BF"/>
    <s v="CON"/>
    <x v="0"/>
    <x v="2"/>
    <n v="8.79999995231628E-2"/>
    <m/>
    <x v="0"/>
    <m/>
    <x v="0"/>
    <s v="M"/>
    <m/>
    <m/>
    <n v="0"/>
    <n v="0"/>
    <n v="0"/>
    <n v="0"/>
    <n v="0"/>
    <n v="0"/>
    <n v="2"/>
    <n v="0"/>
    <n v="0"/>
    <n v="-1"/>
    <n v="0"/>
    <n v="0"/>
    <n v="0"/>
    <n v="2"/>
    <n v="0"/>
    <n v="0"/>
    <n v="0"/>
    <n v="0"/>
    <n v="0"/>
    <n v="0"/>
    <n v="0"/>
    <n v="0"/>
    <n v="0"/>
    <n v="-1"/>
    <n v="0"/>
    <n v="0"/>
    <n v="0"/>
    <n v="0"/>
    <n v="0"/>
    <n v="0"/>
    <n v="0"/>
    <n v="0"/>
    <x v="0"/>
    <x v="0"/>
    <x v="0"/>
    <x v="0"/>
    <x v="0"/>
    <m/>
    <x v="0"/>
    <x v="0"/>
    <n v="19"/>
    <m/>
    <m/>
    <m/>
    <m/>
    <m/>
    <n v="0.33333333333333331"/>
    <n v="0.33333333333333331"/>
    <n v="0.33333333333333331"/>
    <m/>
    <m/>
    <m/>
    <m/>
    <m/>
    <m/>
    <m/>
    <m/>
    <m/>
    <m/>
    <m/>
    <m/>
    <m/>
    <n v="0.33333333333333331"/>
    <n v="1"/>
  </r>
  <r>
    <n v="7211"/>
    <x v="4"/>
    <s v="2020/0929"/>
    <s v="916 Garratt Lane"/>
    <m/>
    <n v="527235"/>
    <n v="171597"/>
    <x v="1"/>
    <m/>
    <m/>
    <n v="1"/>
    <n v="3"/>
    <n v="2"/>
    <n v="3"/>
    <n v="2"/>
    <x v="0"/>
    <s v="Alterations including the extension of the main property through the introduction of an additional storey; the erection of a mansard roof extension over the proposed rear roofslope of the main property; the erection of a part one/two/three storey front/side/rear extension; alterations to front and rear boundary treatments; and associated waste and cycle storage in the front and rear gardens in connection with conversion of property to 1 x 3-bedroom, 2 x 2-bedroom flats."/>
    <s v="AF"/>
    <d v="2020-03-10T00:00:00"/>
    <m/>
    <x v="0"/>
    <s v="Nil"/>
    <m/>
    <s v="BF"/>
    <s v="MIX"/>
    <x v="0"/>
    <x v="2"/>
    <n v="1.9999999552965199E-2"/>
    <m/>
    <x v="0"/>
    <m/>
    <x v="0"/>
    <s v="M"/>
    <m/>
    <m/>
    <n v="0"/>
    <n v="0"/>
    <n v="0"/>
    <n v="0"/>
    <n v="0"/>
    <n v="0"/>
    <n v="2"/>
    <n v="0"/>
    <n v="0"/>
    <n v="0"/>
    <n v="0"/>
    <n v="0"/>
    <n v="0"/>
    <n v="2"/>
    <n v="1"/>
    <n v="0"/>
    <n v="0"/>
    <n v="0"/>
    <n v="0"/>
    <n v="0"/>
    <n v="0"/>
    <n v="-1"/>
    <n v="0"/>
    <n v="0"/>
    <n v="0"/>
    <n v="0"/>
    <n v="0"/>
    <n v="0"/>
    <n v="0"/>
    <n v="0"/>
    <n v="0"/>
    <n v="0"/>
    <x v="0"/>
    <x v="0"/>
    <x v="0"/>
    <x v="0"/>
    <x v="0"/>
    <m/>
    <x v="0"/>
    <x v="0"/>
    <n v="19"/>
    <m/>
    <m/>
    <m/>
    <m/>
    <m/>
    <n v="0.66666666666666663"/>
    <n v="0.66666666666666663"/>
    <n v="0.66666666666666663"/>
    <m/>
    <m/>
    <m/>
    <m/>
    <m/>
    <m/>
    <m/>
    <m/>
    <m/>
    <m/>
    <m/>
    <m/>
    <m/>
    <n v="0.66666666666666663"/>
    <n v="2"/>
  </r>
  <r>
    <n v="7245"/>
    <x v="4"/>
    <s v="2019/4316"/>
    <s v="58a Gosberton Road"/>
    <m/>
    <n v="528090"/>
    <n v="173486"/>
    <x v="3"/>
    <m/>
    <m/>
    <n v="1"/>
    <n v="2"/>
    <n v="1"/>
    <n v="2"/>
    <n v="1"/>
    <x v="0"/>
    <s v="Alterations including erection of hip to gable roof extension, extension to main rear roof and erection of part-single, part-two storey rear/side extension in connection with conversion to 2 x 1 bed flats."/>
    <s v="AF"/>
    <d v="2019-12-10T00:00:00"/>
    <m/>
    <x v="0"/>
    <s v="Nil"/>
    <m/>
    <s v="BF"/>
    <s v="CON"/>
    <x v="0"/>
    <x v="0"/>
    <n v="8.0000003799796104E-3"/>
    <m/>
    <x v="0"/>
    <m/>
    <x v="0"/>
    <s v="M"/>
    <m/>
    <m/>
    <n v="0"/>
    <n v="0"/>
    <n v="0"/>
    <n v="0"/>
    <n v="0"/>
    <n v="2"/>
    <n v="-1"/>
    <n v="0"/>
    <n v="0"/>
    <n v="0"/>
    <n v="0"/>
    <n v="0"/>
    <n v="2"/>
    <n v="-1"/>
    <n v="0"/>
    <n v="0"/>
    <n v="0"/>
    <n v="0"/>
    <n v="0"/>
    <n v="0"/>
    <n v="0"/>
    <n v="0"/>
    <n v="0"/>
    <n v="0"/>
    <n v="0"/>
    <n v="0"/>
    <n v="0"/>
    <n v="0"/>
    <n v="0"/>
    <n v="0"/>
    <n v="0"/>
    <n v="0"/>
    <x v="0"/>
    <x v="0"/>
    <x v="0"/>
    <x v="0"/>
    <x v="0"/>
    <m/>
    <x v="0"/>
    <x v="0"/>
    <n v="19"/>
    <m/>
    <m/>
    <m/>
    <m/>
    <m/>
    <n v="0.33333333333333331"/>
    <n v="0.33333333333333331"/>
    <n v="0.33333333333333331"/>
    <m/>
    <m/>
    <m/>
    <m/>
    <m/>
    <m/>
    <m/>
    <m/>
    <m/>
    <m/>
    <m/>
    <m/>
    <m/>
    <n v="0.33333333333333331"/>
    <n v="1"/>
  </r>
  <r>
    <n v="7248"/>
    <x v="4"/>
    <s v="2019/3459"/>
    <s v="Flat First Floor, 36a Putney High Street"/>
    <m/>
    <n v="524095"/>
    <n v="175524"/>
    <x v="0"/>
    <m/>
    <m/>
    <n v="1"/>
    <n v="2"/>
    <n v="1"/>
    <n v="2"/>
    <n v="1"/>
    <x v="0"/>
    <s v="Alterations in connection with conversion of  flat into 2 x 1-bedroom flats."/>
    <s v="AF"/>
    <d v="2019-09-12T00:00:00"/>
    <m/>
    <x v="0"/>
    <s v="Nil"/>
    <m/>
    <s v="BF"/>
    <s v="CON"/>
    <x v="0"/>
    <x v="0"/>
    <n v="0"/>
    <m/>
    <x v="0"/>
    <m/>
    <x v="0"/>
    <s v="M"/>
    <m/>
    <m/>
    <n v="0"/>
    <n v="0"/>
    <n v="0"/>
    <n v="0"/>
    <n v="0"/>
    <n v="2"/>
    <n v="-1"/>
    <n v="0"/>
    <n v="0"/>
    <n v="0"/>
    <n v="0"/>
    <n v="0"/>
    <n v="2"/>
    <n v="-1"/>
    <n v="0"/>
    <n v="0"/>
    <n v="0"/>
    <n v="0"/>
    <n v="0"/>
    <n v="0"/>
    <n v="0"/>
    <n v="0"/>
    <n v="0"/>
    <n v="0"/>
    <n v="0"/>
    <n v="0"/>
    <n v="0"/>
    <n v="0"/>
    <n v="0"/>
    <n v="0"/>
    <n v="0"/>
    <n v="0"/>
    <x v="2"/>
    <x v="0"/>
    <x v="0"/>
    <x v="0"/>
    <x v="0"/>
    <m/>
    <x v="0"/>
    <x v="0"/>
    <n v="19"/>
    <m/>
    <m/>
    <m/>
    <m/>
    <m/>
    <n v="0.33333333333333331"/>
    <n v="0.33333333333333331"/>
    <n v="0.33333333333333331"/>
    <m/>
    <m/>
    <m/>
    <m/>
    <m/>
    <m/>
    <m/>
    <m/>
    <m/>
    <m/>
    <m/>
    <m/>
    <m/>
    <n v="0.33333333333333331"/>
    <n v="1"/>
  </r>
  <r>
    <n v="7274"/>
    <x v="4"/>
    <s v="2020/1153"/>
    <s v="Ground Floor, 369 Garratt Lane"/>
    <m/>
    <n v="525930"/>
    <n v="173382"/>
    <x v="8"/>
    <m/>
    <m/>
    <n v="0"/>
    <n v="1"/>
    <n v="1"/>
    <n v="1"/>
    <n v="1"/>
    <x v="0"/>
    <s v="Determination as to whether prior approval is required for change of use from shop (Class A1) to 1 x 2-bedroom flat and 1 x 1-bedroom flat (Class C3)."/>
    <s v="NPA"/>
    <d v="2020-03-24T00:00:00"/>
    <m/>
    <x v="0"/>
    <s v="Nil"/>
    <m/>
    <s v="BF"/>
    <s v="COU"/>
    <x v="0"/>
    <x v="4"/>
    <n v="4.9999998882412902E-3"/>
    <m/>
    <x v="0"/>
    <m/>
    <x v="0"/>
    <s v="M"/>
    <m/>
    <m/>
    <n v="0"/>
    <n v="0"/>
    <n v="0"/>
    <n v="0"/>
    <n v="0"/>
    <n v="1"/>
    <n v="0"/>
    <n v="0"/>
    <n v="0"/>
    <n v="0"/>
    <n v="0"/>
    <n v="0"/>
    <n v="1"/>
    <n v="0"/>
    <n v="0"/>
    <n v="0"/>
    <n v="0"/>
    <n v="0"/>
    <n v="0"/>
    <n v="0"/>
    <n v="0"/>
    <n v="0"/>
    <n v="0"/>
    <n v="0"/>
    <n v="0"/>
    <n v="0"/>
    <n v="0"/>
    <n v="0"/>
    <n v="0"/>
    <n v="0"/>
    <n v="0"/>
    <n v="0"/>
    <x v="0"/>
    <x v="0"/>
    <x v="0"/>
    <x v="0"/>
    <x v="0"/>
    <m/>
    <x v="0"/>
    <x v="1"/>
    <n v="19"/>
    <m/>
    <m/>
    <m/>
    <m/>
    <m/>
    <n v="0.33333333333333331"/>
    <n v="0.33333333333333331"/>
    <n v="0.33333333333333331"/>
    <m/>
    <m/>
    <m/>
    <m/>
    <m/>
    <m/>
    <m/>
    <m/>
    <m/>
    <m/>
    <m/>
    <m/>
    <m/>
    <n v="0.33333333333333331"/>
    <n v="1"/>
  </r>
  <r>
    <n v="7295"/>
    <x v="4"/>
    <s v="2020/0014"/>
    <s v="9a Loubet Street"/>
    <m/>
    <n v="527820"/>
    <n v="170815"/>
    <x v="10"/>
    <m/>
    <m/>
    <n v="0"/>
    <n v="1"/>
    <n v="1"/>
    <n v="2"/>
    <n v="1"/>
    <x v="0"/>
    <s v="Alterations including erection of mansard roof extension (with french doors and safety railings), erection of roof extension and formation of roof terrace with 1.7m glazed screen surround above two storey back addition and installation of steel spiral staircase to rear garden in connection with conversion of existing flat to 1 x 2-bedroom and 1 x1-bedroom flats."/>
    <s v="AF"/>
    <d v="2020-03-03T00:00:00"/>
    <m/>
    <x v="0"/>
    <s v="Nil"/>
    <m/>
    <s v="BF"/>
    <s v="MIX"/>
    <x v="0"/>
    <x v="3"/>
    <n v="8.0000003799796104E-3"/>
    <m/>
    <x v="0"/>
    <m/>
    <x v="0"/>
    <s v="M"/>
    <m/>
    <m/>
    <n v="0"/>
    <n v="0"/>
    <n v="0"/>
    <n v="0"/>
    <n v="0"/>
    <n v="0"/>
    <n v="1"/>
    <n v="0"/>
    <n v="0"/>
    <n v="0"/>
    <n v="0"/>
    <n v="0"/>
    <n v="0"/>
    <n v="1"/>
    <n v="0"/>
    <n v="0"/>
    <n v="0"/>
    <n v="0"/>
    <n v="0"/>
    <n v="0"/>
    <n v="0"/>
    <n v="0"/>
    <n v="0"/>
    <n v="0"/>
    <n v="0"/>
    <n v="0"/>
    <n v="0"/>
    <n v="0"/>
    <n v="0"/>
    <n v="0"/>
    <n v="0"/>
    <n v="0"/>
    <x v="0"/>
    <x v="0"/>
    <x v="0"/>
    <x v="0"/>
    <x v="0"/>
    <m/>
    <x v="0"/>
    <x v="0"/>
    <n v="19"/>
    <m/>
    <m/>
    <m/>
    <m/>
    <m/>
    <n v="0.33333333333333331"/>
    <n v="0.33333333333333331"/>
    <n v="0.33333333333333331"/>
    <m/>
    <m/>
    <m/>
    <m/>
    <m/>
    <m/>
    <m/>
    <m/>
    <m/>
    <m/>
    <m/>
    <m/>
    <m/>
    <n v="0.33333333333333331"/>
    <n v="1"/>
  </r>
  <r>
    <n v="7295"/>
    <x v="4"/>
    <s v="2020/0014"/>
    <s v="9a Loubet Street"/>
    <m/>
    <n v="527820"/>
    <n v="170815"/>
    <x v="10"/>
    <m/>
    <m/>
    <n v="1"/>
    <n v="1"/>
    <n v="0"/>
    <n v="2"/>
    <n v="1"/>
    <x v="0"/>
    <s v="Alterations including erection of mansard roof extension (with french doors and safety railings), erection of roof extension and formation of roof terrace with 1.7m glazed screen surround above two storey back addition and installation of steel spiral staircase to rear garden in connection with conversion of existing flat to 1 x 2-bedroom and 1 x1-bedroom flats."/>
    <s v="AF"/>
    <d v="2020-03-03T00:00:00"/>
    <m/>
    <x v="0"/>
    <s v="Nil"/>
    <m/>
    <s v="BF"/>
    <s v="MIX"/>
    <x v="0"/>
    <x v="0"/>
    <n v="4.9999998882412902E-3"/>
    <m/>
    <x v="0"/>
    <m/>
    <x v="0"/>
    <s v="M"/>
    <m/>
    <m/>
    <n v="0"/>
    <n v="0"/>
    <n v="0"/>
    <n v="0"/>
    <n v="0"/>
    <n v="1"/>
    <n v="0"/>
    <n v="-1"/>
    <n v="0"/>
    <n v="0"/>
    <n v="0"/>
    <n v="0"/>
    <n v="1"/>
    <n v="0"/>
    <n v="-1"/>
    <n v="0"/>
    <n v="0"/>
    <n v="0"/>
    <n v="0"/>
    <n v="0"/>
    <n v="0"/>
    <n v="0"/>
    <n v="0"/>
    <n v="0"/>
    <n v="0"/>
    <n v="0"/>
    <n v="0"/>
    <n v="0"/>
    <n v="0"/>
    <n v="0"/>
    <n v="0"/>
    <n v="0"/>
    <x v="0"/>
    <x v="0"/>
    <x v="0"/>
    <x v="0"/>
    <x v="0"/>
    <m/>
    <x v="0"/>
    <x v="0"/>
    <n v="19"/>
    <m/>
    <m/>
    <m/>
    <m/>
    <m/>
    <n v="0"/>
    <n v="0"/>
    <n v="0"/>
    <m/>
    <m/>
    <m/>
    <m/>
    <m/>
    <m/>
    <m/>
    <m/>
    <m/>
    <m/>
    <m/>
    <m/>
    <m/>
    <n v="0"/>
    <n v="0"/>
  </r>
  <r>
    <n v="7299"/>
    <x v="4"/>
    <s v="2019/4665"/>
    <s v="2 Replingham Road"/>
    <m/>
    <n v="524756"/>
    <n v="173258"/>
    <x v="14"/>
    <m/>
    <m/>
    <n v="0"/>
    <n v="5"/>
    <n v="5"/>
    <n v="5"/>
    <n v="5"/>
    <x v="0"/>
    <s v="Alterations in connection with change of use of ground floor from office (Class A2) to retail (Class A1). Alterations including erection of dormer roof extension and formation of roof terrace in connection with change of use of rear ground, first and second floors from office (Class A2) to residential (Class C3) to create 1 x 3-bedroom, 2 x 2-bedroom, 1 x 1-bedroom and 1 x studio flats with associated cycle and refuse storage."/>
    <s v="AF"/>
    <d v="2019-11-21T00:00:00"/>
    <m/>
    <x v="0"/>
    <s v="Nil"/>
    <m/>
    <s v="BF"/>
    <s v="COU"/>
    <x v="0"/>
    <x v="6"/>
    <n v="1.4000000432133701E-2"/>
    <m/>
    <x v="0"/>
    <m/>
    <x v="0"/>
    <s v="M"/>
    <m/>
    <m/>
    <n v="0"/>
    <n v="0"/>
    <n v="0"/>
    <n v="0"/>
    <n v="1"/>
    <n v="1"/>
    <n v="2"/>
    <n v="1"/>
    <n v="0"/>
    <n v="0"/>
    <n v="0"/>
    <n v="1"/>
    <n v="1"/>
    <n v="2"/>
    <n v="1"/>
    <n v="0"/>
    <n v="0"/>
    <n v="0"/>
    <n v="0"/>
    <n v="0"/>
    <n v="0"/>
    <n v="0"/>
    <n v="0"/>
    <n v="0"/>
    <n v="0"/>
    <n v="0"/>
    <n v="0"/>
    <n v="0"/>
    <n v="0"/>
    <n v="0"/>
    <n v="0"/>
    <n v="0"/>
    <x v="0"/>
    <x v="0"/>
    <x v="0"/>
    <x v="0"/>
    <x v="0"/>
    <m/>
    <x v="0"/>
    <x v="0"/>
    <n v="19"/>
    <m/>
    <m/>
    <m/>
    <m/>
    <m/>
    <n v="1.6666666666666667"/>
    <n v="1.6666666666666667"/>
    <n v="1.6666666666666667"/>
    <m/>
    <m/>
    <m/>
    <m/>
    <m/>
    <m/>
    <m/>
    <m/>
    <m/>
    <m/>
    <m/>
    <m/>
    <m/>
    <n v="1.6666666666666667"/>
    <n v="5"/>
  </r>
  <r>
    <n v="7304"/>
    <x v="4"/>
    <s v="2019/2516"/>
    <s v="Development Site of Alton Estate, Danebury Avenue (Alton Estate)"/>
    <s v="Block K"/>
    <n v="522152"/>
    <n v="173834"/>
    <x v="13"/>
    <m/>
    <m/>
    <n v="0"/>
    <n v="230"/>
    <n v="230"/>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83600002527236905"/>
    <m/>
    <x v="0"/>
    <m/>
    <x v="0"/>
    <s v="M"/>
    <s v="8.1.1"/>
    <m/>
    <n v="0"/>
    <m/>
    <n v="0"/>
    <m/>
    <n v="0"/>
    <n v="55"/>
    <n v="163"/>
    <n v="12"/>
    <n v="0"/>
    <n v="0"/>
    <n v="0"/>
    <n v="0"/>
    <n v="55"/>
    <n v="163"/>
    <n v="12"/>
    <n v="0"/>
    <n v="0"/>
    <n v="0"/>
    <n v="0"/>
    <n v="0"/>
    <n v="0"/>
    <n v="0"/>
    <n v="0"/>
    <n v="0"/>
    <n v="0"/>
    <n v="0"/>
    <n v="0"/>
    <n v="0"/>
    <n v="0"/>
    <n v="0"/>
    <n v="0"/>
    <n v="0"/>
    <x v="0"/>
    <x v="0"/>
    <x v="0"/>
    <x v="0"/>
    <x v="0"/>
    <m/>
    <x v="0"/>
    <x v="0"/>
    <n v="7"/>
    <m/>
    <m/>
    <m/>
    <m/>
    <m/>
    <m/>
    <m/>
    <m/>
    <n v="230"/>
    <m/>
    <m/>
    <m/>
    <m/>
    <m/>
    <m/>
    <m/>
    <m/>
    <m/>
    <m/>
    <m/>
    <m/>
    <n v="0"/>
    <n v="230"/>
  </r>
  <r>
    <n v="7304"/>
    <x v="4"/>
    <s v="2019/2516"/>
    <s v="Development Site of Alton Estate, Danebury Avenue (Alton Estate)"/>
    <s v="Block M"/>
    <n v="522152"/>
    <n v="173834"/>
    <x v="13"/>
    <m/>
    <m/>
    <n v="0"/>
    <n v="107"/>
    <n v="107"/>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38899999856948902"/>
    <m/>
    <x v="0"/>
    <m/>
    <x v="0"/>
    <s v="M"/>
    <s v="8.1.1"/>
    <m/>
    <n v="0"/>
    <m/>
    <n v="0"/>
    <m/>
    <n v="0"/>
    <n v="32"/>
    <n v="75"/>
    <n v="0"/>
    <n v="0"/>
    <n v="0"/>
    <n v="0"/>
    <n v="0"/>
    <n v="32"/>
    <n v="75"/>
    <n v="0"/>
    <n v="0"/>
    <n v="0"/>
    <n v="0"/>
    <n v="0"/>
    <n v="0"/>
    <n v="0"/>
    <n v="0"/>
    <n v="0"/>
    <n v="0"/>
    <n v="0"/>
    <n v="0"/>
    <n v="0"/>
    <n v="0"/>
    <n v="0"/>
    <n v="0"/>
    <n v="0"/>
    <n v="0"/>
    <x v="0"/>
    <x v="0"/>
    <x v="0"/>
    <x v="0"/>
    <x v="0"/>
    <m/>
    <x v="0"/>
    <x v="0"/>
    <n v="7"/>
    <m/>
    <m/>
    <m/>
    <m/>
    <m/>
    <m/>
    <m/>
    <m/>
    <n v="107"/>
    <m/>
    <m/>
    <m/>
    <m/>
    <m/>
    <m/>
    <m/>
    <m/>
    <m/>
    <m/>
    <m/>
    <m/>
    <n v="0"/>
    <n v="107"/>
  </r>
  <r>
    <n v="7304"/>
    <x v="4"/>
    <s v="2019/2516"/>
    <s v="Development Site of Alton Estate, Danebury Avenue (Alton Estate)"/>
    <s v="Block N"/>
    <n v="522152"/>
    <n v="173834"/>
    <x v="13"/>
    <m/>
    <m/>
    <n v="0"/>
    <n v="121"/>
    <n v="121"/>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43999999761581399"/>
    <m/>
    <x v="0"/>
    <m/>
    <x v="0"/>
    <s v="M"/>
    <s v="8.1.1"/>
    <m/>
    <n v="0"/>
    <m/>
    <n v="0"/>
    <m/>
    <n v="0"/>
    <n v="37"/>
    <n v="84"/>
    <n v="0"/>
    <n v="0"/>
    <n v="0"/>
    <n v="0"/>
    <n v="0"/>
    <n v="37"/>
    <n v="84"/>
    <n v="0"/>
    <n v="0"/>
    <n v="0"/>
    <n v="0"/>
    <n v="0"/>
    <n v="0"/>
    <n v="0"/>
    <n v="0"/>
    <n v="0"/>
    <n v="0"/>
    <n v="0"/>
    <n v="0"/>
    <n v="0"/>
    <n v="0"/>
    <n v="0"/>
    <n v="0"/>
    <n v="0"/>
    <n v="0"/>
    <x v="0"/>
    <x v="0"/>
    <x v="0"/>
    <x v="0"/>
    <x v="0"/>
    <m/>
    <x v="0"/>
    <x v="0"/>
    <n v="7"/>
    <m/>
    <m/>
    <m/>
    <m/>
    <m/>
    <m/>
    <m/>
    <m/>
    <n v="121"/>
    <m/>
    <m/>
    <m/>
    <m/>
    <m/>
    <m/>
    <m/>
    <m/>
    <m/>
    <m/>
    <m/>
    <m/>
    <n v="0"/>
    <n v="121"/>
  </r>
  <r>
    <n v="7304"/>
    <x v="4"/>
    <s v="2019/2516"/>
    <s v="Development Site of Alton Estate, Danebury Avenue (Alton Estate)"/>
    <s v="Block O"/>
    <n v="522152"/>
    <n v="173834"/>
    <x v="13"/>
    <m/>
    <m/>
    <n v="0"/>
    <n v="40"/>
    <n v="40"/>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144999995827675"/>
    <m/>
    <x v="0"/>
    <m/>
    <x v="0"/>
    <s v="M"/>
    <s v="8.1.1"/>
    <m/>
    <n v="0"/>
    <m/>
    <n v="0"/>
    <m/>
    <n v="0"/>
    <n v="20"/>
    <n v="20"/>
    <n v="0"/>
    <n v="0"/>
    <n v="0"/>
    <n v="0"/>
    <n v="0"/>
    <n v="20"/>
    <n v="20"/>
    <n v="0"/>
    <n v="0"/>
    <n v="0"/>
    <n v="0"/>
    <n v="0"/>
    <n v="0"/>
    <n v="0"/>
    <n v="0"/>
    <n v="0"/>
    <n v="0"/>
    <n v="0"/>
    <n v="0"/>
    <n v="0"/>
    <n v="0"/>
    <n v="0"/>
    <n v="0"/>
    <n v="0"/>
    <n v="0"/>
    <x v="0"/>
    <x v="0"/>
    <x v="0"/>
    <x v="0"/>
    <x v="0"/>
    <m/>
    <x v="0"/>
    <x v="0"/>
    <n v="7"/>
    <m/>
    <m/>
    <m/>
    <m/>
    <m/>
    <m/>
    <n v="40"/>
    <m/>
    <m/>
    <m/>
    <m/>
    <m/>
    <m/>
    <m/>
    <m/>
    <m/>
    <m/>
    <m/>
    <m/>
    <m/>
    <m/>
    <n v="0"/>
    <n v="40"/>
  </r>
  <r>
    <n v="7304"/>
    <x v="4"/>
    <s v="2019/2516"/>
    <s v="Development Site of Alton Estate, Danebury Avenue (Alton Estate)"/>
    <s v="Blocks A and Q"/>
    <n v="522152"/>
    <n v="173834"/>
    <x v="13"/>
    <m/>
    <m/>
    <n v="0"/>
    <n v="111"/>
    <n v="111"/>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402999997138977"/>
    <m/>
    <x v="0"/>
    <m/>
    <x v="2"/>
    <s v="AC"/>
    <s v="8.1.1"/>
    <m/>
    <n v="0"/>
    <m/>
    <n v="0"/>
    <m/>
    <n v="0"/>
    <n v="18"/>
    <n v="33"/>
    <n v="35"/>
    <n v="25"/>
    <n v="0"/>
    <n v="0"/>
    <n v="0"/>
    <n v="18"/>
    <n v="33"/>
    <n v="35"/>
    <n v="25"/>
    <n v="0"/>
    <n v="0"/>
    <n v="0"/>
    <n v="0"/>
    <n v="0"/>
    <n v="0"/>
    <n v="0"/>
    <n v="0"/>
    <n v="0"/>
    <n v="0"/>
    <n v="0"/>
    <n v="0"/>
    <n v="0"/>
    <n v="0"/>
    <n v="0"/>
    <n v="0"/>
    <x v="0"/>
    <x v="0"/>
    <x v="0"/>
    <x v="0"/>
    <x v="0"/>
    <m/>
    <x v="0"/>
    <x v="0"/>
    <n v="7"/>
    <m/>
    <m/>
    <m/>
    <m/>
    <m/>
    <m/>
    <m/>
    <m/>
    <n v="111"/>
    <m/>
    <m/>
    <m/>
    <m/>
    <m/>
    <m/>
    <m/>
    <m/>
    <m/>
    <m/>
    <m/>
    <m/>
    <n v="0"/>
    <n v="111"/>
  </r>
  <r>
    <n v="7304"/>
    <x v="4"/>
    <s v="2019/2516"/>
    <s v="Development Site of Alton Estate, Danebury Avenue (Alton Estate)"/>
    <s v="Blocks A and Q"/>
    <n v="522152"/>
    <n v="173834"/>
    <x v="13"/>
    <m/>
    <m/>
    <n v="0"/>
    <n v="45"/>
    <n v="45"/>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164000004529953"/>
    <m/>
    <x v="0"/>
    <m/>
    <x v="1"/>
    <s v="IU"/>
    <s v="8.1.1"/>
    <m/>
    <n v="0"/>
    <m/>
    <n v="0"/>
    <m/>
    <n v="0"/>
    <n v="1"/>
    <n v="6"/>
    <n v="38"/>
    <n v="0"/>
    <n v="0"/>
    <n v="0"/>
    <n v="0"/>
    <n v="1"/>
    <n v="6"/>
    <n v="38"/>
    <n v="0"/>
    <n v="0"/>
    <n v="0"/>
    <n v="0"/>
    <n v="0"/>
    <n v="0"/>
    <n v="0"/>
    <n v="0"/>
    <n v="0"/>
    <n v="0"/>
    <n v="0"/>
    <n v="0"/>
    <n v="0"/>
    <n v="0"/>
    <n v="0"/>
    <n v="0"/>
    <n v="0"/>
    <x v="0"/>
    <x v="0"/>
    <x v="0"/>
    <x v="0"/>
    <x v="0"/>
    <m/>
    <x v="0"/>
    <x v="0"/>
    <n v="7"/>
    <m/>
    <m/>
    <m/>
    <m/>
    <m/>
    <m/>
    <m/>
    <m/>
    <n v="45"/>
    <m/>
    <m/>
    <m/>
    <m/>
    <m/>
    <m/>
    <m/>
    <m/>
    <m/>
    <m/>
    <m/>
    <m/>
    <n v="0"/>
    <n v="45"/>
  </r>
  <r>
    <n v="7304"/>
    <x v="4"/>
    <s v="2019/2516"/>
    <s v="Development Site of Alton Estate, Danebury Avenue (Alton Estate)"/>
    <s v="Blocks D-J"/>
    <n v="522152"/>
    <n v="173834"/>
    <x v="13"/>
    <m/>
    <m/>
    <n v="0"/>
    <n v="349"/>
    <n v="349"/>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1.26800000667572"/>
    <m/>
    <x v="0"/>
    <m/>
    <x v="0"/>
    <s v="M"/>
    <s v="8.1.1"/>
    <m/>
    <n v="0"/>
    <m/>
    <n v="0"/>
    <m/>
    <n v="0"/>
    <n v="0"/>
    <n v="0"/>
    <n v="0"/>
    <n v="0"/>
    <n v="0"/>
    <n v="349"/>
    <n v="0"/>
    <n v="0"/>
    <n v="0"/>
    <n v="0"/>
    <n v="0"/>
    <n v="0"/>
    <n v="349"/>
    <n v="0"/>
    <n v="0"/>
    <n v="0"/>
    <n v="0"/>
    <n v="0"/>
    <n v="0"/>
    <n v="0"/>
    <n v="0"/>
    <n v="0"/>
    <n v="0"/>
    <n v="0"/>
    <n v="0"/>
    <n v="0"/>
    <n v="0"/>
    <x v="0"/>
    <x v="0"/>
    <x v="0"/>
    <x v="0"/>
    <x v="0"/>
    <m/>
    <x v="0"/>
    <x v="0"/>
    <n v="7"/>
    <m/>
    <m/>
    <m/>
    <m/>
    <m/>
    <m/>
    <m/>
    <m/>
    <m/>
    <m/>
    <m/>
    <n v="349"/>
    <m/>
    <m/>
    <m/>
    <m/>
    <m/>
    <m/>
    <m/>
    <m/>
    <m/>
    <n v="0"/>
    <n v="0"/>
  </r>
  <r>
    <n v="7304"/>
    <x v="4"/>
    <s v="2019/2516"/>
    <s v="Development Site of Alton Estate, Danebury Avenue (Alton Estate)"/>
    <s v="Blocks D-J"/>
    <n v="522152"/>
    <n v="173834"/>
    <x v="13"/>
    <m/>
    <m/>
    <n v="0"/>
    <n v="77"/>
    <n v="77"/>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28000000119209301"/>
    <m/>
    <x v="0"/>
    <m/>
    <x v="2"/>
    <s v="AC"/>
    <s v="8.1.1"/>
    <m/>
    <n v="0"/>
    <m/>
    <n v="0"/>
    <m/>
    <n v="0"/>
    <n v="12"/>
    <n v="23"/>
    <n v="42"/>
    <n v="0"/>
    <n v="0"/>
    <n v="0"/>
    <n v="0"/>
    <n v="12"/>
    <n v="23"/>
    <n v="42"/>
    <n v="0"/>
    <n v="0"/>
    <n v="0"/>
    <n v="0"/>
    <n v="0"/>
    <n v="0"/>
    <n v="0"/>
    <n v="0"/>
    <n v="0"/>
    <n v="0"/>
    <n v="0"/>
    <n v="0"/>
    <n v="0"/>
    <n v="0"/>
    <n v="0"/>
    <n v="0"/>
    <n v="0"/>
    <x v="0"/>
    <x v="0"/>
    <x v="0"/>
    <x v="0"/>
    <x v="0"/>
    <m/>
    <x v="0"/>
    <x v="0"/>
    <n v="7"/>
    <m/>
    <m/>
    <m/>
    <m/>
    <m/>
    <m/>
    <m/>
    <m/>
    <m/>
    <m/>
    <m/>
    <n v="77"/>
    <m/>
    <m/>
    <m/>
    <m/>
    <m/>
    <m/>
    <m/>
    <m/>
    <m/>
    <n v="0"/>
    <n v="0"/>
  </r>
  <r>
    <n v="7304"/>
    <x v="4"/>
    <s v="2019/2516"/>
    <s v="Development Site of Alton Estate, Danebury Avenue (Alton Estate)"/>
    <s v="Blocks D-J"/>
    <n v="522152"/>
    <n v="173834"/>
    <x v="13"/>
    <m/>
    <m/>
    <n v="0"/>
    <n v="23"/>
    <n v="23"/>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28000000119209301"/>
    <m/>
    <x v="0"/>
    <m/>
    <x v="1"/>
    <s v="IU"/>
    <s v="8.1.1"/>
    <m/>
    <n v="0"/>
    <m/>
    <n v="0"/>
    <m/>
    <n v="0"/>
    <n v="0"/>
    <n v="0"/>
    <n v="0"/>
    <n v="0"/>
    <n v="0"/>
    <n v="23"/>
    <n v="0"/>
    <n v="0"/>
    <n v="0"/>
    <n v="0"/>
    <n v="0"/>
    <n v="0"/>
    <n v="23"/>
    <n v="0"/>
    <n v="0"/>
    <n v="0"/>
    <n v="0"/>
    <n v="0"/>
    <n v="0"/>
    <n v="0"/>
    <n v="0"/>
    <n v="0"/>
    <n v="0"/>
    <n v="0"/>
    <n v="0"/>
    <n v="0"/>
    <n v="0"/>
    <x v="0"/>
    <x v="0"/>
    <x v="0"/>
    <x v="0"/>
    <x v="0"/>
    <m/>
    <x v="0"/>
    <x v="0"/>
    <n v="7"/>
    <m/>
    <m/>
    <m/>
    <m/>
    <m/>
    <m/>
    <m/>
    <m/>
    <m/>
    <m/>
    <m/>
    <n v="23"/>
    <m/>
    <m/>
    <m/>
    <m/>
    <m/>
    <m/>
    <m/>
    <m/>
    <m/>
    <n v="0"/>
    <n v="0"/>
  </r>
  <r>
    <n v="7304"/>
    <x v="4"/>
    <s v="2019/2516"/>
    <s v="Development Site of Alton Estate, Danebury Avenue (Alton Estate)"/>
    <s v="Existing"/>
    <n v="522152"/>
    <n v="173834"/>
    <x v="13"/>
    <m/>
    <m/>
    <n v="130"/>
    <n v="0"/>
    <n v="-130"/>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
    <m/>
    <x v="0"/>
    <m/>
    <x v="0"/>
    <s v="M"/>
    <s v="8.1.1"/>
    <m/>
    <n v="0"/>
    <m/>
    <n v="0"/>
    <m/>
    <n v="0"/>
    <n v="-4"/>
    <n v="-8"/>
    <n v="-118"/>
    <n v="0"/>
    <n v="0"/>
    <n v="0"/>
    <n v="0"/>
    <n v="-4"/>
    <n v="-8"/>
    <n v="-118"/>
    <n v="0"/>
    <n v="0"/>
    <n v="0"/>
    <n v="0"/>
    <n v="0"/>
    <n v="0"/>
    <n v="0"/>
    <n v="0"/>
    <n v="0"/>
    <n v="0"/>
    <n v="0"/>
    <n v="0"/>
    <n v="0"/>
    <n v="0"/>
    <n v="0"/>
    <n v="0"/>
    <n v="0"/>
    <x v="0"/>
    <x v="0"/>
    <x v="0"/>
    <x v="0"/>
    <x v="0"/>
    <m/>
    <x v="0"/>
    <x v="0"/>
    <n v="7"/>
    <m/>
    <m/>
    <m/>
    <m/>
    <m/>
    <m/>
    <m/>
    <m/>
    <n v="-130"/>
    <m/>
    <m/>
    <m/>
    <m/>
    <m/>
    <m/>
    <m/>
    <m/>
    <m/>
    <m/>
    <m/>
    <m/>
    <n v="0"/>
    <n v="-130"/>
  </r>
  <r>
    <n v="7304"/>
    <x v="4"/>
    <s v="2019/2516"/>
    <s v="Development Site of Alton Estate, Danebury Avenue (Alton Estate)"/>
    <s v="Existing"/>
    <n v="522152"/>
    <n v="173834"/>
    <x v="13"/>
    <m/>
    <m/>
    <n v="158"/>
    <n v="0"/>
    <n v="-158"/>
    <n v="1103"/>
    <n v="815"/>
    <x v="1"/>
    <s v="The application is for a part outline and a part detailed planning permission for the following proposed development._x000d__x000a__x000d__x000a_(a) Phased demolition of existing buildings and structures (except Alton Activity Centre community building);_x000d__x000a_(b) Mixed-use phased development ranging from 1-9 storeys above ground level comprising 1,103 residential units and up to 9,572 sqm (GIA) of non-residential uses comprising new and replacement community facilities (including library and healthcare facilities, youth facilities, community hall, children's nursery &amp; children's centre) (Class D1); flexible commercial floorspace (comprising retail (Class A1), financial and professional services (Class A2), café/restaurants (Class A3), hot-food takeaways (Class A5), business (Class B1), and community uses (Class D1); landscaping; removal and replacement of trees; public realm improvements; access improvements; relocation of bus turnaround area; improvements to children's play facilities; provision of energy centre; car &amp; cycle parking; and other highway works incidental to the development. All matters reserved except for Blocks A, K, M, N, O, Q, Portswood Place Nursery and Community Centre and highway/landscape/public realm improvements_x000d__x000a__x000d__x000a_An Environmental Statement has been submitted with the application under the Town and Country Planning (Environmental Impact Assessment) Regulations 2017."/>
    <s v="AO"/>
    <d v="2019-06-07T00:00:00"/>
    <m/>
    <x v="0"/>
    <s v="Nil"/>
    <m/>
    <s v="BF"/>
    <s v="NB"/>
    <x v="1"/>
    <x v="7"/>
    <n v="0"/>
    <m/>
    <x v="0"/>
    <m/>
    <x v="2"/>
    <s v="AC"/>
    <s v="8.1.1"/>
    <m/>
    <n v="0"/>
    <m/>
    <n v="0"/>
    <m/>
    <n v="0"/>
    <n v="-20"/>
    <n v="-34"/>
    <n v="-103"/>
    <n v="0"/>
    <n v="-1"/>
    <n v="0"/>
    <n v="0"/>
    <n v="-20"/>
    <n v="-34"/>
    <n v="-103"/>
    <n v="0"/>
    <n v="-1"/>
    <n v="0"/>
    <n v="0"/>
    <n v="0"/>
    <n v="0"/>
    <n v="0"/>
    <n v="0"/>
    <n v="0"/>
    <n v="0"/>
    <n v="0"/>
    <n v="0"/>
    <n v="0"/>
    <n v="0"/>
    <n v="0"/>
    <n v="0"/>
    <n v="0"/>
    <x v="0"/>
    <x v="0"/>
    <x v="0"/>
    <x v="0"/>
    <x v="0"/>
    <m/>
    <x v="0"/>
    <x v="0"/>
    <n v="7"/>
    <m/>
    <m/>
    <m/>
    <m/>
    <m/>
    <m/>
    <m/>
    <m/>
    <n v="-158"/>
    <m/>
    <m/>
    <m/>
    <m/>
    <m/>
    <m/>
    <m/>
    <m/>
    <m/>
    <m/>
    <m/>
    <m/>
    <n v="0"/>
    <n v="-158"/>
  </r>
  <r>
    <n v="7305"/>
    <x v="4"/>
    <s v="2020/0740"/>
    <s v="292 Cavendish Road"/>
    <m/>
    <n v="529000"/>
    <n v="173317"/>
    <x v="6"/>
    <m/>
    <m/>
    <n v="0"/>
    <n v="1"/>
    <n v="1"/>
    <n v="1"/>
    <n v="1"/>
    <x v="0"/>
    <s v="Alterations including changes to shopfront and erection of single storey rear/side extension in connection with change of use from restaurant (Class A3) to dwelling (Class C3) to provide 1 x 2-bedroom self-contained flat."/>
    <s v="AF"/>
    <d v="2020-03-06T00:00:00"/>
    <m/>
    <x v="0"/>
    <s v="Nil"/>
    <m/>
    <s v="BF"/>
    <s v="MIX"/>
    <x v="0"/>
    <x v="4"/>
    <n v="9.9999997764825804E-3"/>
    <m/>
    <x v="0"/>
    <m/>
    <x v="0"/>
    <s v="M"/>
    <m/>
    <m/>
    <n v="0"/>
    <n v="0"/>
    <n v="0"/>
    <n v="0"/>
    <n v="0"/>
    <n v="0"/>
    <n v="1"/>
    <n v="0"/>
    <n v="0"/>
    <n v="0"/>
    <n v="0"/>
    <n v="0"/>
    <n v="0"/>
    <n v="1"/>
    <n v="0"/>
    <n v="0"/>
    <n v="0"/>
    <n v="0"/>
    <n v="0"/>
    <n v="0"/>
    <n v="0"/>
    <n v="0"/>
    <n v="0"/>
    <n v="0"/>
    <n v="0"/>
    <n v="0"/>
    <n v="0"/>
    <n v="0"/>
    <n v="0"/>
    <n v="0"/>
    <n v="0"/>
    <n v="0"/>
    <x v="0"/>
    <x v="0"/>
    <x v="0"/>
    <x v="0"/>
    <x v="0"/>
    <m/>
    <x v="0"/>
    <x v="0"/>
    <n v="19"/>
    <m/>
    <m/>
    <m/>
    <m/>
    <m/>
    <n v="0.33333333333333331"/>
    <n v="0.33333333333333331"/>
    <n v="0.33333333333333331"/>
    <m/>
    <m/>
    <m/>
    <m/>
    <m/>
    <m/>
    <m/>
    <m/>
    <m/>
    <m/>
    <m/>
    <m/>
    <m/>
    <n v="0.33333333333333331"/>
    <n v="1"/>
  </r>
  <r>
    <n v="7308"/>
    <x v="4"/>
    <s v="2020/0694"/>
    <s v="235 Mitcham Road"/>
    <m/>
    <n v="528024"/>
    <n v="170867"/>
    <x v="10"/>
    <m/>
    <m/>
    <n v="0"/>
    <n v="1"/>
    <n v="1"/>
    <n v="1"/>
    <n v="1"/>
    <x v="0"/>
    <s v="Alterations including erection of a part-single, part-two storey rear extension and part change of use of ground floor from retail (Class A1) to residential (Class C3) in connection with creation of a 1 x 1 bed flat and 1 x 2 bed flat."/>
    <s v="AF"/>
    <d v="2020-03-04T00:00:00"/>
    <m/>
    <x v="0"/>
    <s v="Nil"/>
    <m/>
    <s v="BF"/>
    <s v="MIX"/>
    <x v="0"/>
    <x v="4"/>
    <n v="4.0000001899898104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7322"/>
    <x v="4"/>
    <s v="2019/5376"/>
    <s v="18 Salcott Road"/>
    <m/>
    <n v="527361"/>
    <n v="174688"/>
    <x v="4"/>
    <m/>
    <m/>
    <n v="1"/>
    <n v="2"/>
    <n v="1"/>
    <n v="3"/>
    <n v="1"/>
    <x v="0"/>
    <s v="Alterations including erection of roof extension to create additional floor of accommodation; erection of single-storey ground and second floor extensions; increase in height of rear first floor roof terrace screen to 1.7m; excavation of basement and formation of rear lightwell. Conversion of the existing first and second floor flat to form 1 x 1-bedroom and 1 x 2-bedroom flats over the top three floors."/>
    <s v="AF"/>
    <d v="2020-01-14T00:00:00"/>
    <m/>
    <x v="0"/>
    <s v="Nil"/>
    <m/>
    <s v="BF"/>
    <s v="MIX"/>
    <x v="0"/>
    <x v="3"/>
    <n v="9.9999997764825804E-3"/>
    <m/>
    <x v="0"/>
    <m/>
    <x v="0"/>
    <s v="M"/>
    <m/>
    <m/>
    <n v="0"/>
    <n v="0"/>
    <n v="0"/>
    <n v="0"/>
    <n v="0"/>
    <n v="-1"/>
    <n v="1"/>
    <n v="1"/>
    <n v="0"/>
    <n v="0"/>
    <n v="0"/>
    <n v="0"/>
    <n v="-1"/>
    <n v="1"/>
    <n v="1"/>
    <n v="0"/>
    <n v="0"/>
    <n v="0"/>
    <n v="0"/>
    <n v="0"/>
    <n v="0"/>
    <n v="0"/>
    <n v="0"/>
    <n v="0"/>
    <n v="0"/>
    <n v="0"/>
    <n v="0"/>
    <n v="0"/>
    <n v="0"/>
    <n v="0"/>
    <n v="0"/>
    <n v="0"/>
    <x v="0"/>
    <x v="0"/>
    <x v="0"/>
    <x v="0"/>
    <x v="0"/>
    <m/>
    <x v="0"/>
    <x v="0"/>
    <n v="19"/>
    <m/>
    <m/>
    <m/>
    <m/>
    <m/>
    <n v="0.33333333333333331"/>
    <n v="0.33333333333333331"/>
    <n v="0.33333333333333331"/>
    <m/>
    <m/>
    <m/>
    <m/>
    <m/>
    <m/>
    <m/>
    <m/>
    <m/>
    <m/>
    <m/>
    <m/>
    <m/>
    <n v="0.33333333333333331"/>
    <n v="1"/>
  </r>
  <r>
    <n v="7322"/>
    <x v="4"/>
    <s v="2019/5376"/>
    <s v="18 Salcott Road"/>
    <m/>
    <n v="527361"/>
    <n v="174688"/>
    <x v="4"/>
    <m/>
    <m/>
    <n v="1"/>
    <n v="1"/>
    <n v="0"/>
    <n v="3"/>
    <n v="1"/>
    <x v="0"/>
    <s v="Alterations including erection of roof extension to create additional floor of accommodation; erection of single-storey ground and second floor extensions; increase in height of rear first floor roof terrace screen to 1.7m; excavation of basement and formation of rear lightwell. Conversion of the existing first and second floor flat to form 1 x 1-bedroom and 1 x 2-bedroom flats over the top three floors."/>
    <s v="AF"/>
    <d v="2020-01-14T00:00:00"/>
    <m/>
    <x v="0"/>
    <s v="Nil"/>
    <m/>
    <s v="BF"/>
    <s v="MIX"/>
    <x v="0"/>
    <x v="0"/>
    <n v="2.0000000949949E-3"/>
    <m/>
    <x v="0"/>
    <m/>
    <x v="0"/>
    <s v="M"/>
    <m/>
    <m/>
    <n v="0"/>
    <n v="0"/>
    <n v="0"/>
    <n v="0"/>
    <n v="0"/>
    <n v="1"/>
    <n v="-1"/>
    <n v="0"/>
    <n v="0"/>
    <n v="0"/>
    <n v="0"/>
    <n v="0"/>
    <n v="1"/>
    <n v="-1"/>
    <n v="0"/>
    <n v="0"/>
    <n v="0"/>
    <n v="0"/>
    <n v="0"/>
    <n v="0"/>
    <n v="0"/>
    <n v="0"/>
    <n v="0"/>
    <n v="0"/>
    <n v="0"/>
    <n v="0"/>
    <n v="0"/>
    <n v="0"/>
    <n v="0"/>
    <n v="0"/>
    <n v="0"/>
    <n v="0"/>
    <x v="0"/>
    <x v="0"/>
    <x v="0"/>
    <x v="0"/>
    <x v="0"/>
    <m/>
    <x v="0"/>
    <x v="0"/>
    <n v="19"/>
    <m/>
    <m/>
    <m/>
    <m/>
    <m/>
    <n v="0"/>
    <n v="0"/>
    <n v="0"/>
    <m/>
    <m/>
    <m/>
    <m/>
    <m/>
    <m/>
    <m/>
    <m/>
    <m/>
    <m/>
    <m/>
    <m/>
    <m/>
    <n v="0"/>
    <n v="0"/>
  </r>
  <r>
    <n v="7324"/>
    <x v="4"/>
    <s v="2019/5567"/>
    <s v="6-8 West Hill"/>
    <m/>
    <n v="525232"/>
    <n v="174667"/>
    <x v="2"/>
    <m/>
    <m/>
    <n v="1"/>
    <n v="4"/>
    <n v="3"/>
    <n v="7"/>
    <n v="6"/>
    <x v="0"/>
    <s v="Alterations including the erection of ground floor rear extensions with roof terraces above; erection of mansard roof extensions above the main rear roof slopes and back addition roofs; restoration of the front façade; installation of a replacement shop front.  Works in connection with the conversion of the property into 5 x 1-bedroom and 2 x 2-bedroom flats (Class C3) and provision of bicycle and bin stores on the ground floor [RE-CONSULTATION CARRIED OUT DUE TO AMENDED PROPOSAL DESCRIPTION]."/>
    <s v="AF"/>
    <d v="2020-01-21T00:00:00"/>
    <m/>
    <x v="0"/>
    <s v="Nil"/>
    <m/>
    <s v="BF"/>
    <s v="MIX"/>
    <x v="0"/>
    <x v="0"/>
    <n v="1.4000000432133701E-2"/>
    <m/>
    <x v="0"/>
    <m/>
    <x v="0"/>
    <s v="M"/>
    <m/>
    <m/>
    <n v="0"/>
    <n v="0"/>
    <n v="0"/>
    <n v="0"/>
    <n v="0"/>
    <n v="3"/>
    <n v="1"/>
    <n v="0"/>
    <n v="0"/>
    <n v="0"/>
    <n v="-1"/>
    <n v="0"/>
    <n v="3"/>
    <n v="1"/>
    <n v="0"/>
    <n v="0"/>
    <n v="0"/>
    <n v="-1"/>
    <n v="0"/>
    <n v="0"/>
    <n v="0"/>
    <n v="0"/>
    <n v="0"/>
    <n v="0"/>
    <n v="0"/>
    <n v="0"/>
    <n v="0"/>
    <n v="0"/>
    <n v="0"/>
    <n v="0"/>
    <n v="0"/>
    <n v="0"/>
    <x v="0"/>
    <x v="0"/>
    <x v="0"/>
    <x v="0"/>
    <x v="0"/>
    <m/>
    <x v="0"/>
    <x v="0"/>
    <n v="19"/>
    <m/>
    <m/>
    <m/>
    <m/>
    <m/>
    <n v="1"/>
    <n v="1"/>
    <n v="1"/>
    <m/>
    <m/>
    <m/>
    <m/>
    <m/>
    <m/>
    <m/>
    <m/>
    <m/>
    <m/>
    <m/>
    <m/>
    <m/>
    <n v="1"/>
    <n v="3"/>
  </r>
  <r>
    <n v="7324"/>
    <x v="4"/>
    <s v="2019/5567"/>
    <s v="6-8 West Hill"/>
    <m/>
    <n v="525232"/>
    <n v="174667"/>
    <x v="2"/>
    <m/>
    <m/>
    <n v="0"/>
    <n v="2"/>
    <n v="2"/>
    <n v="7"/>
    <n v="6"/>
    <x v="0"/>
    <s v="Alterations including the erection of ground floor rear extensions with roof terraces above; erection of mansard roof extensions above the main rear roof slopes and back addition roofs; restoration of the front façade; installation of a replacement shop front.  Works in connection with the conversion of the property into 5 x 1-bedroom and 2 x 2-bedroom flats (Class C3) and provision of bicycle and bin stores on the ground floor [RE-CONSULTATION CARRIED OUT DUE TO AMENDED PROPOSAL DESCRIPTION]."/>
    <s v="AF"/>
    <d v="2020-01-21T00:00:00"/>
    <m/>
    <x v="0"/>
    <s v="Nil"/>
    <m/>
    <s v="BF"/>
    <s v="MIX"/>
    <x v="0"/>
    <x v="1"/>
    <n v="7.0000002160668399E-3"/>
    <m/>
    <x v="0"/>
    <m/>
    <x v="0"/>
    <s v="M"/>
    <m/>
    <m/>
    <n v="0"/>
    <n v="0"/>
    <n v="0"/>
    <n v="0"/>
    <n v="0"/>
    <n v="1"/>
    <n v="1"/>
    <n v="0"/>
    <n v="0"/>
    <n v="0"/>
    <n v="0"/>
    <n v="0"/>
    <n v="1"/>
    <n v="1"/>
    <n v="0"/>
    <n v="0"/>
    <n v="0"/>
    <n v="0"/>
    <n v="0"/>
    <n v="0"/>
    <n v="0"/>
    <n v="0"/>
    <n v="0"/>
    <n v="0"/>
    <n v="0"/>
    <n v="0"/>
    <n v="0"/>
    <n v="0"/>
    <n v="0"/>
    <n v="0"/>
    <n v="0"/>
    <n v="0"/>
    <x v="0"/>
    <x v="0"/>
    <x v="0"/>
    <x v="0"/>
    <x v="0"/>
    <m/>
    <x v="0"/>
    <x v="0"/>
    <n v="19"/>
    <m/>
    <m/>
    <m/>
    <m/>
    <m/>
    <n v="0.66666666666666663"/>
    <n v="0.66666666666666663"/>
    <n v="0.66666666666666663"/>
    <m/>
    <m/>
    <m/>
    <m/>
    <m/>
    <m/>
    <m/>
    <m/>
    <m/>
    <m/>
    <m/>
    <m/>
    <m/>
    <n v="0.66666666666666663"/>
    <n v="2"/>
  </r>
  <r>
    <n v="7324"/>
    <x v="4"/>
    <s v="2019/5567"/>
    <s v="6-8 West Hill"/>
    <m/>
    <n v="525232"/>
    <n v="174667"/>
    <x v="2"/>
    <m/>
    <m/>
    <n v="0"/>
    <n v="1"/>
    <n v="1"/>
    <n v="7"/>
    <n v="6"/>
    <x v="0"/>
    <s v="Alterations including the erection of ground floor rear extensions with roof terraces above; erection of mansard roof extensions above the main rear roof slopes and back addition roofs; restoration of the front façade; installation of a replacement shop front.  Works in connection with the conversion of the property into 5 x 1-bedroom and 2 x 2-bedroom flats (Class C3) and provision of bicycle and bin stores on the ground floor [RE-CONSULTATION CARRIED OUT DUE TO AMENDED PROPOSAL DESCRIPTION]."/>
    <s v="AF"/>
    <d v="2020-01-21T00:00:00"/>
    <m/>
    <x v="0"/>
    <s v="Nil"/>
    <m/>
    <s v="BF"/>
    <s v="MIX"/>
    <x v="0"/>
    <x v="3"/>
    <n v="4.0000001899898104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7327"/>
    <x v="4"/>
    <s v="2019/5552"/>
    <s v="44 and 46, Alfriston Road"/>
    <m/>
    <n v="527931"/>
    <n v="174869"/>
    <x v="4"/>
    <m/>
    <m/>
    <n v="0"/>
    <n v="1"/>
    <n v="1"/>
    <n v="1"/>
    <n v="1"/>
    <x v="0"/>
    <s v="**Revised Design submitted**_x000d__x000a__x000d__x000a_Remodelling of houses to include re-configured front, side and rear elevations, increased roof height with front and rear dormers, single-storey rear extensions. Demolition of existing garage and erection of single storey (plus habitable roof) 1-bedroom bungalow."/>
    <s v="AF"/>
    <d v="2020-01-24T00:00:00"/>
    <m/>
    <x v="0"/>
    <s v="Nil"/>
    <m/>
    <s v="BF"/>
    <s v="NB"/>
    <x v="0"/>
    <x v="5"/>
    <n v="1.2000000104308101E-2"/>
    <m/>
    <x v="0"/>
    <m/>
    <x v="0"/>
    <s v="M"/>
    <m/>
    <m/>
    <n v="0"/>
    <n v="0"/>
    <n v="0"/>
    <n v="0"/>
    <n v="0"/>
    <n v="1"/>
    <n v="0"/>
    <n v="0"/>
    <n v="0"/>
    <n v="0"/>
    <n v="0"/>
    <n v="0"/>
    <n v="0"/>
    <n v="0"/>
    <n v="0"/>
    <n v="0"/>
    <n v="0"/>
    <n v="0"/>
    <n v="0"/>
    <n v="1"/>
    <n v="0"/>
    <n v="0"/>
    <n v="0"/>
    <n v="0"/>
    <n v="0"/>
    <n v="0"/>
    <n v="0"/>
    <n v="0"/>
    <n v="0"/>
    <n v="0"/>
    <n v="0"/>
    <n v="0"/>
    <x v="0"/>
    <x v="0"/>
    <x v="0"/>
    <x v="0"/>
    <x v="0"/>
    <m/>
    <x v="0"/>
    <x v="0"/>
    <n v="10"/>
    <m/>
    <m/>
    <m/>
    <m/>
    <m/>
    <n v="0.33333333333333331"/>
    <n v="0.33333333333333331"/>
    <n v="0.33333333333333331"/>
    <m/>
    <m/>
    <m/>
    <m/>
    <m/>
    <m/>
    <m/>
    <m/>
    <m/>
    <m/>
    <m/>
    <m/>
    <m/>
    <n v="0.33333333333333331"/>
    <n v="1"/>
  </r>
  <r>
    <n v="7336"/>
    <x v="4"/>
    <s v="2020/0503"/>
    <s v="99 St Johns Hill"/>
    <m/>
    <n v="526970"/>
    <n v="175172"/>
    <x v="2"/>
    <m/>
    <m/>
    <n v="1"/>
    <n v="2"/>
    <n v="1"/>
    <n v="4"/>
    <n v="3"/>
    <x v="0"/>
    <s v="Alterations including erection of single storey rear extension at basement level and formation of rear lightwell in connection with retention of retail space (Class A1) on ground floor level and  creation of 2 x 2-bedroom and 2 x 1-bedroom flats to rear basement and ground floors and first to third floors above with associated cycle and refuse storage."/>
    <s v="AF"/>
    <d v="2020-02-14T00:00:00"/>
    <m/>
    <x v="0"/>
    <s v="Nil"/>
    <m/>
    <s v="BF"/>
    <s v="MIX"/>
    <x v="0"/>
    <x v="0"/>
    <n v="6.0000000521540598E-3"/>
    <m/>
    <x v="0"/>
    <m/>
    <x v="0"/>
    <s v="M"/>
    <m/>
    <m/>
    <n v="0"/>
    <n v="0"/>
    <n v="0"/>
    <n v="0"/>
    <n v="1"/>
    <n v="-1"/>
    <n v="1"/>
    <n v="0"/>
    <n v="0"/>
    <n v="0"/>
    <n v="0"/>
    <n v="1"/>
    <n v="-1"/>
    <n v="1"/>
    <n v="0"/>
    <n v="0"/>
    <n v="0"/>
    <n v="0"/>
    <n v="0"/>
    <n v="0"/>
    <n v="0"/>
    <n v="0"/>
    <n v="0"/>
    <n v="0"/>
    <n v="0"/>
    <n v="0"/>
    <n v="0"/>
    <n v="0"/>
    <n v="0"/>
    <n v="0"/>
    <n v="0"/>
    <n v="0"/>
    <x v="0"/>
    <x v="0"/>
    <x v="0"/>
    <x v="0"/>
    <x v="0"/>
    <m/>
    <x v="0"/>
    <x v="0"/>
    <n v="19"/>
    <m/>
    <m/>
    <m/>
    <m/>
    <m/>
    <n v="0.33333333333333331"/>
    <n v="0.33333333333333331"/>
    <n v="0.33333333333333331"/>
    <m/>
    <m/>
    <m/>
    <m/>
    <m/>
    <m/>
    <m/>
    <m/>
    <m/>
    <m/>
    <m/>
    <m/>
    <m/>
    <n v="0.33333333333333331"/>
    <n v="1"/>
  </r>
  <r>
    <n v="7336"/>
    <x v="4"/>
    <s v="2020/0503"/>
    <s v="99 St Johns Hill"/>
    <m/>
    <n v="526970"/>
    <n v="175172"/>
    <x v="2"/>
    <m/>
    <m/>
    <n v="0"/>
    <n v="1"/>
    <n v="1"/>
    <n v="4"/>
    <n v="3"/>
    <x v="0"/>
    <s v="Alterations including erection of single storey rear extension at basement level and formation of rear lightwell in connection with retention of retail space (Class A1) on ground floor level and  creation of 2 x 2-bedroom and 2 x 1-bedroom flats to rear basement and ground floors and first to third floors above with associated cycle and refuse storage."/>
    <s v="AF"/>
    <d v="2020-02-14T00:00:00"/>
    <m/>
    <x v="0"/>
    <s v="Nil"/>
    <m/>
    <s v="BF"/>
    <s v="MIX"/>
    <x v="0"/>
    <x v="4"/>
    <n v="6.0000000521540598E-3"/>
    <m/>
    <x v="0"/>
    <m/>
    <x v="0"/>
    <s v="M"/>
    <m/>
    <m/>
    <n v="0"/>
    <n v="0"/>
    <n v="0"/>
    <n v="0"/>
    <n v="0"/>
    <n v="0"/>
    <n v="1"/>
    <n v="0"/>
    <n v="0"/>
    <n v="0"/>
    <n v="0"/>
    <n v="0"/>
    <n v="0"/>
    <n v="1"/>
    <n v="0"/>
    <n v="0"/>
    <n v="0"/>
    <n v="0"/>
    <n v="0"/>
    <n v="0"/>
    <n v="0"/>
    <n v="0"/>
    <n v="0"/>
    <n v="0"/>
    <n v="0"/>
    <n v="0"/>
    <n v="0"/>
    <n v="0"/>
    <n v="0"/>
    <n v="0"/>
    <n v="0"/>
    <n v="0"/>
    <x v="0"/>
    <x v="0"/>
    <x v="0"/>
    <x v="0"/>
    <x v="0"/>
    <m/>
    <x v="0"/>
    <x v="0"/>
    <n v="19"/>
    <m/>
    <m/>
    <m/>
    <m/>
    <m/>
    <n v="0.33333333333333331"/>
    <n v="0.33333333333333331"/>
    <n v="0.33333333333333331"/>
    <m/>
    <m/>
    <m/>
    <m/>
    <m/>
    <m/>
    <m/>
    <m/>
    <m/>
    <m/>
    <m/>
    <m/>
    <m/>
    <n v="0.33333333333333331"/>
    <n v="1"/>
  </r>
  <r>
    <n v="7336"/>
    <x v="4"/>
    <s v="2020/0503"/>
    <s v="99 St Johns Hill"/>
    <m/>
    <n v="526970"/>
    <n v="175172"/>
    <x v="2"/>
    <m/>
    <m/>
    <n v="0"/>
    <n v="1"/>
    <n v="1"/>
    <n v="4"/>
    <n v="3"/>
    <x v="0"/>
    <s v="Alterations including erection of single storey rear extension at basement level and formation of rear lightwell in connection with retention of retail space (Class A1) on ground floor level and  creation of 2 x 2-bedroom and 2 x 1-bedroom flats to rear basement and ground floors and first to third floors above with associated cycle and refuse storage."/>
    <s v="AF"/>
    <d v="2020-02-14T00:00:00"/>
    <m/>
    <x v="0"/>
    <s v="Nil"/>
    <m/>
    <s v="BF"/>
    <s v="MIX"/>
    <x v="0"/>
    <x v="3"/>
    <n v="3.0000000260770299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7340"/>
    <x v="4"/>
    <s v="2020/0412"/>
    <s v="62 Lavender Hill"/>
    <m/>
    <n v="528330"/>
    <n v="175742"/>
    <x v="9"/>
    <m/>
    <m/>
    <n v="0"/>
    <n v="1"/>
    <n v="1"/>
    <n v="1"/>
    <n v="1"/>
    <x v="0"/>
    <s v="Alterations including part change of use of exisitng restaurant (Class A4) at ground and lower ground levels to create a one-bedroom flat (Class C3). Erection of dwarf wall and glass pavement lenses to front forecourt. Alteration to shop front entrance."/>
    <s v="AF"/>
    <d v="2020-02-13T00:00:00"/>
    <m/>
    <x v="0"/>
    <s v="Nil"/>
    <m/>
    <s v="BF"/>
    <s v="MIX"/>
    <x v="6"/>
    <x v="1"/>
    <n v="4.0000001899898104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7350"/>
    <x v="4"/>
    <s v="2020/0202"/>
    <s v="Garages at, 143 Byrne Road"/>
    <s v="House 1"/>
    <n v="529158"/>
    <n v="172857"/>
    <x v="19"/>
    <m/>
    <m/>
    <n v="0"/>
    <n v="1"/>
    <n v="1"/>
    <n v="2"/>
    <n v="2"/>
    <x v="0"/>
    <s v="Alterations, including part demolition and reconfiguration of of north east section and installation of windows to elevations and replacement roof slopes in connection with conversion of garages into 2 x 2-bedroom houses."/>
    <s v="AF"/>
    <d v="2020-02-27T00:00:00"/>
    <m/>
    <x v="0"/>
    <s v="Nil"/>
    <m/>
    <s v="BF"/>
    <s v="COU"/>
    <x v="0"/>
    <x v="1"/>
    <n v="2.0999999716877899E-2"/>
    <m/>
    <x v="0"/>
    <m/>
    <x v="0"/>
    <s v="M"/>
    <m/>
    <m/>
    <n v="0"/>
    <n v="0"/>
    <n v="0"/>
    <n v="0"/>
    <n v="0"/>
    <n v="0"/>
    <n v="1"/>
    <n v="0"/>
    <n v="0"/>
    <n v="0"/>
    <n v="0"/>
    <n v="0"/>
    <n v="0"/>
    <n v="0"/>
    <n v="0"/>
    <n v="0"/>
    <n v="0"/>
    <n v="0"/>
    <n v="0"/>
    <n v="0"/>
    <n v="1"/>
    <n v="0"/>
    <n v="0"/>
    <n v="0"/>
    <n v="0"/>
    <n v="0"/>
    <n v="0"/>
    <n v="0"/>
    <n v="0"/>
    <n v="0"/>
    <n v="0"/>
    <n v="0"/>
    <x v="0"/>
    <x v="0"/>
    <x v="0"/>
    <x v="0"/>
    <x v="0"/>
    <m/>
    <x v="0"/>
    <x v="0"/>
    <n v="19"/>
    <m/>
    <m/>
    <m/>
    <m/>
    <m/>
    <n v="0.33333333333333331"/>
    <n v="0.33333333333333331"/>
    <n v="0.33333333333333331"/>
    <m/>
    <m/>
    <m/>
    <m/>
    <m/>
    <m/>
    <m/>
    <m/>
    <m/>
    <m/>
    <m/>
    <m/>
    <m/>
    <n v="0.33333333333333331"/>
    <n v="1"/>
  </r>
  <r>
    <n v="7350"/>
    <x v="4"/>
    <s v="2020/0202"/>
    <s v="Garages at, 143 Byrne Road"/>
    <s v="House 2"/>
    <n v="529158"/>
    <n v="172857"/>
    <x v="19"/>
    <m/>
    <m/>
    <n v="0"/>
    <n v="1"/>
    <n v="1"/>
    <n v="2"/>
    <n v="2"/>
    <x v="0"/>
    <s v="Alterations, including part demolition and reconfiguration of of north east section and installation of windows to elevations and replacement roof slopes in connection with conversion of garages into 2 x 2-bedroom houses."/>
    <s v="AF"/>
    <d v="2020-02-27T00:00:00"/>
    <m/>
    <x v="0"/>
    <s v="Nil"/>
    <m/>
    <s v="BF"/>
    <s v="COU"/>
    <x v="0"/>
    <x v="1"/>
    <n v="1.7999999225139601E-2"/>
    <m/>
    <x v="0"/>
    <m/>
    <x v="0"/>
    <s v="M"/>
    <m/>
    <m/>
    <n v="0"/>
    <n v="0"/>
    <n v="0"/>
    <n v="0"/>
    <n v="0"/>
    <n v="0"/>
    <n v="1"/>
    <n v="0"/>
    <n v="0"/>
    <n v="0"/>
    <n v="0"/>
    <n v="0"/>
    <n v="0"/>
    <n v="0"/>
    <n v="0"/>
    <n v="0"/>
    <n v="0"/>
    <n v="0"/>
    <n v="0"/>
    <n v="0"/>
    <n v="1"/>
    <n v="0"/>
    <n v="0"/>
    <n v="0"/>
    <n v="0"/>
    <n v="0"/>
    <n v="0"/>
    <n v="0"/>
    <n v="0"/>
    <n v="0"/>
    <n v="0"/>
    <n v="0"/>
    <x v="0"/>
    <x v="0"/>
    <x v="0"/>
    <x v="0"/>
    <x v="0"/>
    <m/>
    <x v="0"/>
    <x v="0"/>
    <n v="19"/>
    <m/>
    <m/>
    <m/>
    <m/>
    <m/>
    <n v="0.33333333333333331"/>
    <n v="0.33333333333333331"/>
    <n v="0.33333333333333331"/>
    <m/>
    <m/>
    <m/>
    <m/>
    <m/>
    <m/>
    <m/>
    <m/>
    <m/>
    <m/>
    <m/>
    <m/>
    <m/>
    <n v="0.33333333333333331"/>
    <n v="1"/>
  </r>
  <r>
    <n v="7351"/>
    <x v="4"/>
    <s v="2020/0583"/>
    <s v="54 Bickley Street"/>
    <m/>
    <n v="527510"/>
    <n v="171246"/>
    <x v="10"/>
    <m/>
    <m/>
    <n v="0"/>
    <n v="1"/>
    <n v="1"/>
    <n v="1"/>
    <n v="1"/>
    <x v="0"/>
    <s v="Alterations including erection of mansard roof extension to main rear roof (with French door and safety railings) including raising the ridge by 300mm; erection of roof extension and formation of roof terrace with 1.7m high glazed screen surround over two-storey back addition to provide 1x1 bedroom flat"/>
    <s v="AF"/>
    <d v="2020-02-26T00:00:00"/>
    <m/>
    <x v="0"/>
    <s v="Nil"/>
    <m/>
    <s v="BF"/>
    <s v="EXT"/>
    <x v="0"/>
    <x v="3"/>
    <n v="6.0000000521540598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7354"/>
    <x v="4"/>
    <s v="2020/0784"/>
    <s v="2 &amp; 2a, Oldridge Road"/>
    <m/>
    <n v="528432"/>
    <n v="173696"/>
    <x v="6"/>
    <m/>
    <m/>
    <n v="2"/>
    <n v="3"/>
    <n v="1"/>
    <n v="3"/>
    <n v="1"/>
    <x v="0"/>
    <s v="Alterations including erection of an extension to form an additional floor of accomodation; Formation of a roof terrace with 1.6m high screen surround above to storey back addition; Erection of a two-storey rear extension; Installation of new front entrance; Excavation to create basement with formation of front and rear lightwells, in connection with conversion to 2 x 1-bed and 1 x 2-bed flats."/>
    <s v="AF"/>
    <d v="2020-03-06T00:00:00"/>
    <m/>
    <x v="0"/>
    <s v="Nil"/>
    <m/>
    <s v="BF"/>
    <s v="MIX"/>
    <x v="0"/>
    <x v="3"/>
    <n v="8.9999996125698107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7358"/>
    <x v="4"/>
    <s v="2020/0679"/>
    <s v="Units 3 to 8 Windward House, Square Rigger Row"/>
    <m/>
    <n v="526467"/>
    <n v="175725"/>
    <x v="11"/>
    <m/>
    <m/>
    <n v="0"/>
    <n v="6"/>
    <n v="6"/>
    <n v="6"/>
    <n v="6"/>
    <x v="0"/>
    <s v="Determination as to whether prior approval is required for change of use from office (Class B1a) to 3 x 2-bedroom flats and 3 x 1-bedroom flats (Class C3)."/>
    <s v="NPA"/>
    <d v="2020-03-05T00:00:00"/>
    <m/>
    <x v="0"/>
    <s v="Nil"/>
    <m/>
    <s v="BF"/>
    <s v="COU"/>
    <x v="0"/>
    <x v="6"/>
    <n v="1.4999999664723899E-2"/>
    <m/>
    <x v="0"/>
    <m/>
    <x v="0"/>
    <s v="M"/>
    <m/>
    <m/>
    <n v="0"/>
    <n v="0"/>
    <n v="0"/>
    <n v="0"/>
    <n v="0"/>
    <n v="3"/>
    <n v="3"/>
    <n v="0"/>
    <n v="0"/>
    <n v="0"/>
    <n v="0"/>
    <n v="0"/>
    <n v="3"/>
    <n v="3"/>
    <n v="0"/>
    <n v="0"/>
    <n v="0"/>
    <n v="0"/>
    <n v="0"/>
    <n v="0"/>
    <n v="0"/>
    <n v="0"/>
    <n v="0"/>
    <n v="0"/>
    <n v="0"/>
    <n v="0"/>
    <n v="0"/>
    <n v="0"/>
    <n v="0"/>
    <n v="0"/>
    <n v="0"/>
    <n v="0"/>
    <x v="0"/>
    <x v="0"/>
    <x v="0"/>
    <x v="0"/>
    <x v="0"/>
    <m/>
    <x v="1"/>
    <x v="0"/>
    <n v="19"/>
    <m/>
    <m/>
    <m/>
    <m/>
    <m/>
    <n v="2"/>
    <n v="2"/>
    <n v="2"/>
    <m/>
    <m/>
    <m/>
    <m/>
    <m/>
    <m/>
    <m/>
    <m/>
    <m/>
    <m/>
    <m/>
    <m/>
    <m/>
    <n v="2"/>
    <n v="6"/>
  </r>
  <r>
    <n v="7360"/>
    <x v="4"/>
    <s v="2020/0040"/>
    <s v="521-525 Battersea Park Road"/>
    <m/>
    <n v="527443"/>
    <n v="176347"/>
    <x v="16"/>
    <m/>
    <m/>
    <n v="0"/>
    <n v="1"/>
    <n v="1"/>
    <n v="1"/>
    <n v="1"/>
    <x v="0"/>
    <s v="Alterations including erection of part one/two/three storey extensions at rear in connection with the enlargement of ground floor commercial unit, existing dwelling and creation of 2 x 2-bedroom flat; formation of roof terraces on first floor level with 2m high screen surround. Change of use of commercial ground floor from retail (Class A1) to office (Class B1a) and treatment rooms (Class D1) (sui generis). Relocation of 2 existing air conditioning units to first floor roof."/>
    <s v="AF"/>
    <d v="2020-02-28T00:00:00"/>
    <m/>
    <x v="0"/>
    <s v="Nil"/>
    <m/>
    <s v="BF"/>
    <s v="MIX"/>
    <x v="0"/>
    <x v="3"/>
    <n v="8.0000003799796104E-3"/>
    <m/>
    <x v="0"/>
    <m/>
    <x v="0"/>
    <s v="M"/>
    <m/>
    <m/>
    <n v="0"/>
    <n v="0"/>
    <n v="0"/>
    <n v="0"/>
    <n v="0"/>
    <n v="0"/>
    <n v="1"/>
    <n v="0"/>
    <n v="0"/>
    <n v="0"/>
    <n v="0"/>
    <n v="0"/>
    <n v="0"/>
    <n v="1"/>
    <n v="0"/>
    <n v="0"/>
    <n v="0"/>
    <n v="0"/>
    <n v="0"/>
    <n v="0"/>
    <n v="0"/>
    <n v="0"/>
    <n v="0"/>
    <n v="0"/>
    <n v="0"/>
    <n v="0"/>
    <n v="0"/>
    <n v="0"/>
    <n v="0"/>
    <n v="0"/>
    <n v="0"/>
    <n v="0"/>
    <x v="0"/>
    <x v="0"/>
    <x v="0"/>
    <x v="0"/>
    <x v="0"/>
    <m/>
    <x v="0"/>
    <x v="0"/>
    <n v="19"/>
    <m/>
    <m/>
    <m/>
    <m/>
    <m/>
    <n v="0.33333333333333331"/>
    <n v="0.33333333333333331"/>
    <n v="0.33333333333333331"/>
    <m/>
    <m/>
    <m/>
    <m/>
    <m/>
    <m/>
    <m/>
    <m/>
    <m/>
    <m/>
    <m/>
    <m/>
    <m/>
    <n v="0.33333333333333331"/>
    <n v="1"/>
  </r>
  <r>
    <n v="7362"/>
    <x v="4"/>
    <s v="2020/0797"/>
    <s v="The Studio, 1c Moring Road"/>
    <m/>
    <n v="528273"/>
    <n v="171722"/>
    <x v="10"/>
    <m/>
    <m/>
    <n v="0"/>
    <n v="1"/>
    <n v="1"/>
    <n v="1"/>
    <n v="1"/>
    <x v="0"/>
    <s v="Alterations in connection with change of use from office (Class B1) to residential (Class C3) to provide studio flat with associated refuse storage."/>
    <s v="AF"/>
    <d v="2020-03-02T00:00:00"/>
    <m/>
    <x v="0"/>
    <s v="Nil"/>
    <m/>
    <s v="BF"/>
    <s v="COU"/>
    <x v="0"/>
    <x v="6"/>
    <n v="4.9999998882412902E-3"/>
    <m/>
    <x v="0"/>
    <m/>
    <x v="0"/>
    <s v="M"/>
    <m/>
    <m/>
    <n v="0"/>
    <n v="0"/>
    <n v="0"/>
    <n v="0"/>
    <n v="1"/>
    <n v="0"/>
    <n v="0"/>
    <n v="0"/>
    <n v="0"/>
    <n v="0"/>
    <n v="0"/>
    <n v="1"/>
    <n v="0"/>
    <n v="0"/>
    <n v="0"/>
    <n v="0"/>
    <n v="0"/>
    <n v="0"/>
    <n v="0"/>
    <n v="0"/>
    <n v="0"/>
    <n v="0"/>
    <n v="0"/>
    <n v="0"/>
    <n v="0"/>
    <n v="0"/>
    <n v="0"/>
    <n v="0"/>
    <n v="0"/>
    <n v="0"/>
    <n v="0"/>
    <n v="0"/>
    <x v="0"/>
    <x v="0"/>
    <x v="0"/>
    <x v="0"/>
    <x v="0"/>
    <m/>
    <x v="0"/>
    <x v="0"/>
    <n v="19"/>
    <m/>
    <m/>
    <m/>
    <m/>
    <m/>
    <n v="0.33333333333333331"/>
    <n v="0.33333333333333331"/>
    <n v="0.33333333333333331"/>
    <m/>
    <m/>
    <m/>
    <m/>
    <m/>
    <m/>
    <m/>
    <m/>
    <m/>
    <m/>
    <m/>
    <m/>
    <m/>
    <n v="0.33333333333333331"/>
    <n v="1"/>
  </r>
  <r>
    <n v="7363"/>
    <x v="4"/>
    <s v="2020/0980"/>
    <s v="86 Mitcham Road"/>
    <m/>
    <n v="527621"/>
    <n v="171247"/>
    <x v="10"/>
    <m/>
    <m/>
    <n v="0"/>
    <n v="1"/>
    <n v="1"/>
    <n v="1"/>
    <n v="1"/>
    <x v="0"/>
    <s v="Determination as to whether prior approval is required for change of use from shop (Class A1) to a restaurant (Class A3)."/>
    <s v="NPA"/>
    <d v="2020-03-10T00:00:00"/>
    <m/>
    <x v="0"/>
    <s v="Nil"/>
    <m/>
    <s v="BF"/>
    <s v="COU"/>
    <x v="0"/>
    <x v="4"/>
    <n v="0"/>
    <m/>
    <x v="0"/>
    <m/>
    <x v="0"/>
    <s v="M"/>
    <m/>
    <m/>
    <n v="0"/>
    <n v="0"/>
    <n v="0"/>
    <n v="0"/>
    <n v="0"/>
    <n v="0"/>
    <n v="0"/>
    <n v="0"/>
    <n v="0"/>
    <n v="0"/>
    <n v="1"/>
    <n v="0"/>
    <n v="0"/>
    <n v="0"/>
    <n v="0"/>
    <n v="0"/>
    <n v="0"/>
    <n v="1"/>
    <n v="0"/>
    <n v="0"/>
    <n v="0"/>
    <n v="0"/>
    <n v="0"/>
    <n v="0"/>
    <n v="0"/>
    <n v="0"/>
    <n v="0"/>
    <n v="0"/>
    <n v="0"/>
    <n v="0"/>
    <n v="0"/>
    <n v="0"/>
    <x v="4"/>
    <x v="0"/>
    <x v="0"/>
    <x v="0"/>
    <x v="0"/>
    <m/>
    <x v="0"/>
    <x v="0"/>
    <n v="19"/>
    <m/>
    <m/>
    <m/>
    <m/>
    <m/>
    <n v="0.33333333333333331"/>
    <n v="0.33333333333333331"/>
    <n v="0.33333333333333331"/>
    <m/>
    <m/>
    <m/>
    <m/>
    <m/>
    <m/>
    <m/>
    <m/>
    <m/>
    <m/>
    <m/>
    <m/>
    <m/>
    <n v="0.33333333333333331"/>
    <n v="1"/>
  </r>
  <r>
    <n v="7365"/>
    <x v="4"/>
    <s v="2020/1090"/>
    <s v="118a Disraeli Road"/>
    <m/>
    <n v="524420"/>
    <n v="175013"/>
    <x v="0"/>
    <m/>
    <m/>
    <n v="0"/>
    <n v="5"/>
    <n v="5"/>
    <n v="5"/>
    <n v="5"/>
    <x v="0"/>
    <s v="Demolition of existing car garage and erection of two storey (plus roof) building to provide 2 x 1-bedrrom and 3 x 2-bedroom flats with associated refuse and cycle storage."/>
    <s v="AF"/>
    <d v="2020-03-20T00:00:00"/>
    <m/>
    <x v="0"/>
    <s v="Nil"/>
    <m/>
    <s v="BF"/>
    <s v="NB"/>
    <x v="0"/>
    <x v="5"/>
    <n v="2.0999999716877899E-2"/>
    <m/>
    <x v="0"/>
    <m/>
    <x v="0"/>
    <s v="M"/>
    <m/>
    <m/>
    <n v="0"/>
    <n v="0"/>
    <n v="0"/>
    <n v="0"/>
    <n v="0"/>
    <n v="2"/>
    <n v="3"/>
    <n v="0"/>
    <n v="0"/>
    <n v="0"/>
    <n v="0"/>
    <n v="0"/>
    <n v="2"/>
    <n v="3"/>
    <n v="0"/>
    <n v="0"/>
    <n v="0"/>
    <n v="0"/>
    <n v="0"/>
    <n v="0"/>
    <n v="0"/>
    <n v="0"/>
    <n v="0"/>
    <n v="0"/>
    <n v="0"/>
    <n v="0"/>
    <n v="0"/>
    <n v="0"/>
    <n v="0"/>
    <n v="0"/>
    <n v="0"/>
    <n v="0"/>
    <x v="0"/>
    <x v="0"/>
    <x v="0"/>
    <x v="0"/>
    <x v="0"/>
    <m/>
    <x v="0"/>
    <x v="0"/>
    <n v="10"/>
    <m/>
    <m/>
    <m/>
    <m/>
    <m/>
    <n v="1.6666666666666667"/>
    <n v="1.6666666666666667"/>
    <n v="1.6666666666666667"/>
    <m/>
    <m/>
    <m/>
    <m/>
    <m/>
    <m/>
    <m/>
    <m/>
    <m/>
    <m/>
    <m/>
    <m/>
    <m/>
    <n v="1.6666666666666667"/>
    <n v="5"/>
  </r>
  <r>
    <n v="7366"/>
    <x v="4"/>
    <s v="2020/0951"/>
    <s v="36a Fountain Road"/>
    <m/>
    <n v="526938"/>
    <n v="171608"/>
    <x v="1"/>
    <m/>
    <m/>
    <n v="0"/>
    <n v="1"/>
    <n v="1"/>
    <n v="1"/>
    <n v="1"/>
    <x v="0"/>
    <s v="Alterations including erection of a mansard roof extension to main rear roof (with french doors and safety railings) including raising the main foor ridge height by 300mm and extension above part of existing two storey back addition; Formation of roof terrace above existing two storey back addition with 1.7m high screen surround in connection with creation of 1 x 1 bed flat."/>
    <s v="AF"/>
    <d v="2020-03-11T00:00:00"/>
    <m/>
    <x v="0"/>
    <s v="Nil"/>
    <m/>
    <s v="BF"/>
    <s v="EXT"/>
    <x v="0"/>
    <x v="3"/>
    <n v="7.0000002160668399E-3"/>
    <m/>
    <x v="0"/>
    <m/>
    <x v="0"/>
    <s v="M"/>
    <m/>
    <m/>
    <n v="0"/>
    <n v="0"/>
    <n v="0"/>
    <n v="0"/>
    <n v="0"/>
    <n v="1"/>
    <n v="0"/>
    <n v="0"/>
    <n v="0"/>
    <n v="0"/>
    <n v="0"/>
    <n v="0"/>
    <n v="1"/>
    <n v="0"/>
    <n v="0"/>
    <n v="0"/>
    <n v="0"/>
    <n v="0"/>
    <n v="0"/>
    <n v="0"/>
    <n v="0"/>
    <n v="0"/>
    <n v="0"/>
    <n v="0"/>
    <n v="0"/>
    <n v="0"/>
    <n v="0"/>
    <n v="0"/>
    <n v="0"/>
    <n v="0"/>
    <n v="0"/>
    <n v="0"/>
    <x v="0"/>
    <x v="0"/>
    <x v="0"/>
    <x v="0"/>
    <x v="0"/>
    <m/>
    <x v="0"/>
    <x v="0"/>
    <n v="19"/>
    <m/>
    <m/>
    <m/>
    <m/>
    <m/>
    <n v="0.33333333333333331"/>
    <n v="0.33333333333333331"/>
    <n v="0.33333333333333331"/>
    <m/>
    <m/>
    <m/>
    <m/>
    <m/>
    <m/>
    <m/>
    <m/>
    <m/>
    <m/>
    <m/>
    <m/>
    <m/>
    <n v="0.33333333333333331"/>
    <n v="1"/>
  </r>
  <r>
    <n v="3523"/>
    <x v="5"/>
    <s v="0000/0250"/>
    <s v="McDonald's, Swandon Way (1 Marl Road)"/>
    <m/>
    <n v="526043"/>
    <n v="175254"/>
    <x v="2"/>
    <m/>
    <m/>
    <n v="0"/>
    <n v="3"/>
    <n v="3"/>
    <n v="3"/>
    <n v="3"/>
    <x v="0"/>
    <s v="Redevelopment"/>
    <s v="NONE"/>
    <m/>
    <m/>
    <x v="0"/>
    <s v="Nil"/>
    <m/>
    <s v="BF"/>
    <s v="NB"/>
    <x v="0"/>
    <x v="5"/>
    <n v="0"/>
    <m/>
    <x v="0"/>
    <m/>
    <x v="0"/>
    <s v="M"/>
    <s v="3.8"/>
    <n v="17320120"/>
    <n v="0"/>
    <n v="0"/>
    <n v="0"/>
    <n v="0"/>
    <n v="0"/>
    <n v="0"/>
    <n v="0"/>
    <n v="0"/>
    <n v="0"/>
    <n v="0"/>
    <n v="3"/>
    <n v="0"/>
    <n v="0"/>
    <n v="0"/>
    <n v="0"/>
    <n v="0"/>
    <n v="0"/>
    <n v="3"/>
    <n v="0"/>
    <n v="0"/>
    <n v="0"/>
    <n v="0"/>
    <n v="0"/>
    <n v="0"/>
    <n v="0"/>
    <n v="0"/>
    <n v="0"/>
    <n v="0"/>
    <n v="0"/>
    <n v="0"/>
    <n v="0"/>
    <n v="0"/>
    <x v="0"/>
    <x v="0"/>
    <x v="1"/>
    <x v="0"/>
    <x v="0"/>
    <m/>
    <x v="0"/>
    <x v="0"/>
    <n v="20"/>
    <m/>
    <m/>
    <m/>
    <m/>
    <m/>
    <m/>
    <m/>
    <m/>
    <m/>
    <m/>
    <n v="0.25"/>
    <n v="0.25"/>
    <n v="0.25"/>
    <n v="0.25"/>
    <n v="0.25"/>
    <n v="0.25"/>
    <n v="0.25"/>
    <n v="0.25"/>
    <n v="0.25"/>
    <n v="0.25"/>
    <n v="0.25"/>
    <n v="0"/>
    <n v="0.25"/>
  </r>
  <r>
    <n v="3955"/>
    <x v="5"/>
    <s v="0000/0251"/>
    <s v="Mercedes Benz and Bemco, Bridgend Road"/>
    <m/>
    <n v="526045"/>
    <n v="175348"/>
    <x v="2"/>
    <m/>
    <m/>
    <n v="0"/>
    <n v="42"/>
    <n v="42"/>
    <n v="62"/>
    <n v="62"/>
    <x v="1"/>
    <s v="Redevelopment"/>
    <s v="NONE"/>
    <m/>
    <m/>
    <x v="0"/>
    <s v="Nil"/>
    <m/>
    <s v="BF"/>
    <s v="NB"/>
    <x v="1"/>
    <x v="7"/>
    <n v="0"/>
    <m/>
    <x v="0"/>
    <m/>
    <x v="0"/>
    <s v="M"/>
    <s v="3.9"/>
    <m/>
    <n v="0"/>
    <n v="0"/>
    <n v="0"/>
    <n v="0"/>
    <n v="0"/>
    <n v="0"/>
    <n v="0"/>
    <n v="0"/>
    <n v="0"/>
    <n v="0"/>
    <n v="42"/>
    <n v="0"/>
    <n v="0"/>
    <n v="0"/>
    <n v="0"/>
    <n v="0"/>
    <n v="0"/>
    <n v="42"/>
    <n v="0"/>
    <n v="0"/>
    <n v="0"/>
    <n v="0"/>
    <n v="0"/>
    <n v="0"/>
    <n v="0"/>
    <n v="0"/>
    <n v="0"/>
    <n v="0"/>
    <n v="0"/>
    <n v="0"/>
    <n v="0"/>
    <n v="0"/>
    <x v="0"/>
    <x v="0"/>
    <x v="1"/>
    <x v="0"/>
    <x v="0"/>
    <m/>
    <x v="0"/>
    <x v="0"/>
    <n v="20"/>
    <m/>
    <m/>
    <m/>
    <m/>
    <m/>
    <m/>
    <n v="2.625"/>
    <n v="2.625"/>
    <n v="2.625"/>
    <n v="2.625"/>
    <n v="2.625"/>
    <n v="2.625"/>
    <n v="2.625"/>
    <n v="2.625"/>
    <n v="2.625"/>
    <n v="2.625"/>
    <n v="2.625"/>
    <n v="2.625"/>
    <n v="2.625"/>
    <n v="2.625"/>
    <n v="2.625"/>
    <n v="0"/>
    <n v="13.125"/>
  </r>
  <r>
    <n v="3955"/>
    <x v="5"/>
    <s v="0000/0251"/>
    <s v="Mercedes Benz and Bemco, Bridgend Road"/>
    <m/>
    <n v="526045"/>
    <n v="175348"/>
    <x v="2"/>
    <m/>
    <m/>
    <n v="0"/>
    <n v="12"/>
    <n v="12"/>
    <n v="62"/>
    <n v="62"/>
    <x v="1"/>
    <s v="Redevelopment"/>
    <s v="NONE"/>
    <m/>
    <m/>
    <x v="0"/>
    <s v="Nil"/>
    <m/>
    <s v="BF"/>
    <s v="NB"/>
    <x v="1"/>
    <x v="7"/>
    <n v="0"/>
    <m/>
    <x v="0"/>
    <m/>
    <x v="2"/>
    <s v="AA"/>
    <s v="3.9"/>
    <m/>
    <n v="0"/>
    <n v="0"/>
    <n v="0"/>
    <n v="0"/>
    <n v="0"/>
    <n v="0"/>
    <n v="0"/>
    <n v="0"/>
    <n v="0"/>
    <n v="0"/>
    <n v="12"/>
    <n v="0"/>
    <n v="0"/>
    <n v="0"/>
    <n v="0"/>
    <n v="0"/>
    <n v="0"/>
    <n v="12"/>
    <n v="0"/>
    <n v="0"/>
    <n v="0"/>
    <n v="0"/>
    <n v="0"/>
    <n v="0"/>
    <n v="0"/>
    <n v="0"/>
    <n v="0"/>
    <n v="0"/>
    <n v="0"/>
    <n v="0"/>
    <n v="0"/>
    <n v="0"/>
    <x v="0"/>
    <x v="0"/>
    <x v="1"/>
    <x v="0"/>
    <x v="0"/>
    <m/>
    <x v="0"/>
    <x v="0"/>
    <n v="20"/>
    <m/>
    <m/>
    <m/>
    <m/>
    <m/>
    <m/>
    <n v="0.75"/>
    <n v="0.75"/>
    <n v="0.75"/>
    <n v="0.75"/>
    <n v="0.75"/>
    <n v="0.75"/>
    <n v="0.75"/>
    <n v="0.75"/>
    <n v="0.75"/>
    <n v="0.75"/>
    <n v="0.75"/>
    <n v="0.75"/>
    <n v="0.75"/>
    <n v="0.75"/>
    <n v="0.75"/>
    <n v="0"/>
    <n v="3.75"/>
  </r>
  <r>
    <n v="3955"/>
    <x v="5"/>
    <s v="0000/0251"/>
    <s v="Mercedes Benz and Bemco, Bridgend Road"/>
    <m/>
    <n v="526045"/>
    <n v="175348"/>
    <x v="2"/>
    <m/>
    <m/>
    <n v="0"/>
    <n v="8"/>
    <n v="8"/>
    <n v="62"/>
    <n v="62"/>
    <x v="1"/>
    <s v="Redevelopment"/>
    <s v="NONE"/>
    <m/>
    <m/>
    <x v="0"/>
    <s v="Nil"/>
    <m/>
    <s v="BF"/>
    <s v="NB"/>
    <x v="1"/>
    <x v="7"/>
    <n v="0"/>
    <m/>
    <x v="0"/>
    <m/>
    <x v="1"/>
    <s v="IU"/>
    <s v="3.9"/>
    <m/>
    <n v="0"/>
    <n v="0"/>
    <n v="0"/>
    <n v="0"/>
    <n v="0"/>
    <n v="0"/>
    <n v="0"/>
    <n v="0"/>
    <n v="0"/>
    <n v="0"/>
    <n v="8"/>
    <n v="0"/>
    <n v="0"/>
    <n v="0"/>
    <n v="0"/>
    <n v="0"/>
    <n v="0"/>
    <n v="8"/>
    <n v="0"/>
    <n v="0"/>
    <n v="0"/>
    <n v="0"/>
    <n v="0"/>
    <n v="0"/>
    <n v="0"/>
    <n v="0"/>
    <n v="0"/>
    <n v="0"/>
    <n v="0"/>
    <n v="0"/>
    <n v="0"/>
    <n v="0"/>
    <x v="0"/>
    <x v="0"/>
    <x v="1"/>
    <x v="0"/>
    <x v="0"/>
    <m/>
    <x v="0"/>
    <x v="0"/>
    <n v="20"/>
    <m/>
    <m/>
    <m/>
    <m/>
    <m/>
    <m/>
    <n v="0.5"/>
    <n v="0.5"/>
    <n v="0.5"/>
    <n v="0.5"/>
    <n v="0.5"/>
    <n v="0.5"/>
    <n v="0.5"/>
    <n v="0.5"/>
    <n v="0.5"/>
    <n v="0.5"/>
    <n v="0.5"/>
    <n v="0.5"/>
    <n v="0.5"/>
    <n v="0.5"/>
    <n v="0.5"/>
    <n v="0"/>
    <n v="2.5"/>
  </r>
  <r>
    <n v="3956"/>
    <x v="5"/>
    <s v="0000/0248"/>
    <s v="Wandsworth Bridge Roundabout"/>
    <m/>
    <n v="526150"/>
    <n v="175269"/>
    <x v="16"/>
    <m/>
    <m/>
    <n v="0"/>
    <n v="7"/>
    <n v="7"/>
    <n v="7"/>
    <n v="7"/>
    <x v="0"/>
    <s v="Redevelopment"/>
    <s v="NONE"/>
    <m/>
    <m/>
    <x v="0"/>
    <s v="Nil"/>
    <m/>
    <s v="BF"/>
    <s v="NB"/>
    <x v="1"/>
    <x v="7"/>
    <n v="0"/>
    <m/>
    <x v="0"/>
    <m/>
    <x v="0"/>
    <s v="M"/>
    <s v="3.10"/>
    <n v="17320282"/>
    <n v="0"/>
    <n v="0"/>
    <n v="0"/>
    <n v="0"/>
    <n v="0"/>
    <n v="0"/>
    <n v="0"/>
    <n v="0"/>
    <n v="0"/>
    <n v="0"/>
    <n v="7"/>
    <n v="0"/>
    <n v="0"/>
    <n v="0"/>
    <n v="0"/>
    <n v="0"/>
    <n v="0"/>
    <n v="7"/>
    <n v="0"/>
    <n v="0"/>
    <n v="0"/>
    <n v="0"/>
    <n v="0"/>
    <n v="0"/>
    <n v="0"/>
    <n v="0"/>
    <n v="0"/>
    <n v="0"/>
    <n v="0"/>
    <n v="0"/>
    <n v="0"/>
    <n v="0"/>
    <x v="0"/>
    <x v="0"/>
    <x v="1"/>
    <x v="0"/>
    <x v="0"/>
    <m/>
    <x v="0"/>
    <x v="0"/>
    <n v="20"/>
    <m/>
    <m/>
    <m/>
    <m/>
    <m/>
    <m/>
    <m/>
    <m/>
    <m/>
    <m/>
    <n v="0.58333333333333337"/>
    <n v="0.58333333333333337"/>
    <n v="0.58333333333333337"/>
    <n v="0.58333333333333337"/>
    <n v="0.58333333333333337"/>
    <n v="0.58333333333333337"/>
    <n v="0.58333333333333337"/>
    <n v="0.58333333333333337"/>
    <n v="0.58333333333333337"/>
    <n v="0.58333333333333337"/>
    <n v="0.58333333333333337"/>
    <n v="0"/>
    <n v="0.58333333333333337"/>
  </r>
  <r>
    <n v="3970"/>
    <x v="5"/>
    <s v="0000/0254"/>
    <s v="Sainsbury's, 2-6 Werter Road"/>
    <m/>
    <n v="524058"/>
    <n v="175199"/>
    <x v="0"/>
    <m/>
    <m/>
    <n v="0"/>
    <n v="3"/>
    <n v="3"/>
    <n v="3"/>
    <n v="3"/>
    <x v="0"/>
    <s v="Redevelopment"/>
    <s v="NONE"/>
    <m/>
    <m/>
    <x v="0"/>
    <s v="Nil"/>
    <m/>
    <s v="BF"/>
    <s v="NB"/>
    <x v="0"/>
    <x v="5"/>
    <n v="0"/>
    <m/>
    <x v="0"/>
    <m/>
    <x v="0"/>
    <s v="M"/>
    <s v="6.3"/>
    <m/>
    <n v="0"/>
    <n v="0"/>
    <n v="0"/>
    <n v="0"/>
    <n v="0"/>
    <n v="0"/>
    <n v="0"/>
    <n v="0"/>
    <n v="0"/>
    <n v="0"/>
    <n v="3"/>
    <n v="0"/>
    <n v="0"/>
    <n v="0"/>
    <n v="0"/>
    <n v="0"/>
    <n v="0"/>
    <n v="3"/>
    <n v="0"/>
    <n v="0"/>
    <n v="0"/>
    <n v="0"/>
    <n v="0"/>
    <n v="0"/>
    <n v="0"/>
    <n v="0"/>
    <n v="0"/>
    <n v="0"/>
    <n v="0"/>
    <n v="0"/>
    <n v="0"/>
    <n v="0"/>
    <x v="2"/>
    <x v="0"/>
    <x v="0"/>
    <x v="0"/>
    <x v="0"/>
    <m/>
    <x v="0"/>
    <x v="0"/>
    <n v="20"/>
    <m/>
    <m/>
    <m/>
    <m/>
    <m/>
    <m/>
    <m/>
    <m/>
    <m/>
    <m/>
    <n v="0.25"/>
    <n v="0.25"/>
    <n v="0.25"/>
    <n v="0.25"/>
    <n v="0.25"/>
    <n v="0.25"/>
    <n v="0.25"/>
    <n v="0.25"/>
    <n v="0.25"/>
    <n v="0.25"/>
    <n v="0.25"/>
    <n v="0"/>
    <n v="0.25"/>
  </r>
  <r>
    <n v="4221"/>
    <x v="5"/>
    <s v="0000/0256"/>
    <s v="Asda, Roehampton Vale"/>
    <m/>
    <n v="521988"/>
    <n v="172610"/>
    <x v="13"/>
    <m/>
    <m/>
    <n v="0"/>
    <n v="229"/>
    <n v="229"/>
    <n v="342"/>
    <n v="342"/>
    <x v="1"/>
    <s v="Redevelopment"/>
    <s v="NONE"/>
    <m/>
    <m/>
    <x v="0"/>
    <s v="Nil"/>
    <m/>
    <s v="BF"/>
    <s v="NB"/>
    <x v="1"/>
    <x v="7"/>
    <n v="0"/>
    <m/>
    <x v="0"/>
    <m/>
    <x v="0"/>
    <s v="M"/>
    <s v="8.2"/>
    <n v="17320018"/>
    <n v="0"/>
    <n v="0"/>
    <n v="0"/>
    <n v="0"/>
    <n v="0"/>
    <n v="0"/>
    <n v="0"/>
    <n v="0"/>
    <n v="0"/>
    <n v="0"/>
    <n v="229"/>
    <n v="0"/>
    <n v="0"/>
    <n v="0"/>
    <n v="0"/>
    <n v="0"/>
    <n v="0"/>
    <n v="229"/>
    <n v="0"/>
    <n v="0"/>
    <n v="0"/>
    <n v="0"/>
    <n v="0"/>
    <n v="0"/>
    <n v="0"/>
    <n v="0"/>
    <n v="0"/>
    <n v="0"/>
    <n v="0"/>
    <n v="0"/>
    <n v="0"/>
    <n v="0"/>
    <x v="0"/>
    <x v="0"/>
    <x v="0"/>
    <x v="0"/>
    <x v="0"/>
    <m/>
    <x v="0"/>
    <x v="0"/>
    <n v="20"/>
    <m/>
    <m/>
    <m/>
    <m/>
    <m/>
    <m/>
    <n v="14.3125"/>
    <n v="14.3125"/>
    <n v="14.3125"/>
    <n v="14.3125"/>
    <n v="14.3125"/>
    <n v="14.3125"/>
    <n v="14.3125"/>
    <n v="14.3125"/>
    <n v="14.3125"/>
    <n v="14.3125"/>
    <n v="14.3125"/>
    <n v="14.3125"/>
    <n v="14.3125"/>
    <n v="14.3125"/>
    <n v="14.3125"/>
    <n v="0"/>
    <n v="71.5625"/>
  </r>
  <r>
    <n v="4221"/>
    <x v="5"/>
    <s v="0000/0256"/>
    <s v="Asda, Roehampton Vale"/>
    <m/>
    <n v="521988"/>
    <n v="172610"/>
    <x v="13"/>
    <m/>
    <m/>
    <n v="0"/>
    <n v="68"/>
    <n v="68"/>
    <n v="342"/>
    <n v="342"/>
    <x v="1"/>
    <s v="Redevelopment"/>
    <s v="NONE"/>
    <m/>
    <m/>
    <x v="0"/>
    <s v="Nil"/>
    <m/>
    <s v="BF"/>
    <s v="NB"/>
    <x v="1"/>
    <x v="7"/>
    <n v="0"/>
    <m/>
    <x v="0"/>
    <m/>
    <x v="2"/>
    <s v="AA"/>
    <s v="8.2"/>
    <n v="17320018"/>
    <n v="0"/>
    <n v="0"/>
    <n v="0"/>
    <n v="0"/>
    <n v="0"/>
    <n v="0"/>
    <n v="0"/>
    <n v="0"/>
    <n v="0"/>
    <n v="0"/>
    <n v="68"/>
    <n v="0"/>
    <n v="0"/>
    <n v="0"/>
    <n v="0"/>
    <n v="0"/>
    <n v="0"/>
    <n v="68"/>
    <n v="0"/>
    <n v="0"/>
    <n v="0"/>
    <n v="0"/>
    <n v="0"/>
    <n v="0"/>
    <n v="0"/>
    <n v="0"/>
    <n v="0"/>
    <n v="0"/>
    <n v="0"/>
    <n v="0"/>
    <n v="0"/>
    <n v="0"/>
    <x v="0"/>
    <x v="0"/>
    <x v="0"/>
    <x v="0"/>
    <x v="0"/>
    <m/>
    <x v="0"/>
    <x v="0"/>
    <n v="20"/>
    <m/>
    <m/>
    <m/>
    <m/>
    <m/>
    <m/>
    <n v="4.25"/>
    <n v="4.25"/>
    <n v="4.25"/>
    <n v="4.25"/>
    <n v="4.25"/>
    <n v="4.25"/>
    <n v="4.25"/>
    <n v="4.25"/>
    <n v="4.25"/>
    <n v="4.25"/>
    <n v="4.25"/>
    <n v="4.25"/>
    <n v="4.25"/>
    <n v="4.25"/>
    <n v="4.25"/>
    <n v="0"/>
    <n v="21.25"/>
  </r>
  <r>
    <n v="4221"/>
    <x v="5"/>
    <s v="0000/0256"/>
    <s v="Asda, Roehampton Vale"/>
    <m/>
    <n v="521988"/>
    <n v="172610"/>
    <x v="13"/>
    <m/>
    <m/>
    <n v="0"/>
    <n v="45"/>
    <n v="45"/>
    <n v="342"/>
    <n v="342"/>
    <x v="1"/>
    <s v="Redevelopment"/>
    <s v="NONE"/>
    <m/>
    <m/>
    <x v="0"/>
    <s v="Nil"/>
    <m/>
    <s v="BF"/>
    <s v="NB"/>
    <x v="1"/>
    <x v="7"/>
    <n v="0"/>
    <m/>
    <x v="0"/>
    <m/>
    <x v="1"/>
    <s v="ISO"/>
    <s v="8.2"/>
    <n v="17320018"/>
    <n v="0"/>
    <n v="0"/>
    <n v="0"/>
    <n v="0"/>
    <n v="0"/>
    <n v="0"/>
    <n v="0"/>
    <n v="0"/>
    <n v="0"/>
    <n v="0"/>
    <n v="45"/>
    <n v="0"/>
    <n v="0"/>
    <n v="0"/>
    <n v="0"/>
    <n v="0"/>
    <n v="0"/>
    <n v="45"/>
    <n v="0"/>
    <n v="0"/>
    <n v="0"/>
    <n v="0"/>
    <n v="0"/>
    <n v="0"/>
    <n v="0"/>
    <n v="0"/>
    <n v="0"/>
    <n v="0"/>
    <n v="0"/>
    <n v="0"/>
    <n v="0"/>
    <n v="0"/>
    <x v="0"/>
    <x v="0"/>
    <x v="0"/>
    <x v="0"/>
    <x v="0"/>
    <m/>
    <x v="0"/>
    <x v="0"/>
    <n v="20"/>
    <m/>
    <m/>
    <m/>
    <m/>
    <m/>
    <m/>
    <n v="2.8125"/>
    <n v="2.8125"/>
    <n v="2.8125"/>
    <n v="2.8125"/>
    <n v="2.8125"/>
    <n v="2.8125"/>
    <n v="2.8125"/>
    <n v="2.8125"/>
    <n v="2.8125"/>
    <n v="2.8125"/>
    <n v="2.8125"/>
    <n v="2.8125"/>
    <n v="2.8125"/>
    <n v="2.8125"/>
    <n v="2.8125"/>
    <n v="0"/>
    <n v="14.0625"/>
  </r>
  <r>
    <n v="4283"/>
    <x v="5"/>
    <s v="0000/0249"/>
    <s v="Wandsworth Bus Garage, Jews Row"/>
    <m/>
    <n v="525979"/>
    <n v="175334"/>
    <x v="2"/>
    <m/>
    <m/>
    <n v="0"/>
    <n v="3"/>
    <n v="3"/>
    <n v="3"/>
    <n v="3"/>
    <x v="0"/>
    <s v="Redevelopment"/>
    <s v="NONE"/>
    <m/>
    <m/>
    <x v="0"/>
    <s v="Nil"/>
    <m/>
    <s v="BF"/>
    <s v="MIX"/>
    <x v="0"/>
    <x v="5"/>
    <n v="0"/>
    <m/>
    <x v="0"/>
    <m/>
    <x v="0"/>
    <s v="M"/>
    <s v="3.11"/>
    <n v="17320046"/>
    <n v="0"/>
    <n v="0"/>
    <n v="0"/>
    <n v="0"/>
    <n v="0"/>
    <n v="0"/>
    <n v="0"/>
    <n v="0"/>
    <n v="0"/>
    <n v="0"/>
    <n v="3"/>
    <n v="0"/>
    <n v="0"/>
    <n v="0"/>
    <n v="0"/>
    <n v="0"/>
    <n v="0"/>
    <n v="3"/>
    <n v="0"/>
    <n v="0"/>
    <n v="0"/>
    <n v="0"/>
    <n v="0"/>
    <n v="0"/>
    <n v="0"/>
    <n v="0"/>
    <n v="0"/>
    <n v="0"/>
    <n v="0"/>
    <n v="0"/>
    <n v="0"/>
    <n v="0"/>
    <x v="0"/>
    <x v="0"/>
    <x v="1"/>
    <x v="0"/>
    <x v="0"/>
    <m/>
    <x v="0"/>
    <x v="0"/>
    <n v="20"/>
    <m/>
    <m/>
    <m/>
    <m/>
    <m/>
    <m/>
    <m/>
    <m/>
    <m/>
    <m/>
    <n v="0.25"/>
    <n v="0.25"/>
    <n v="0.25"/>
    <n v="0.25"/>
    <n v="0.25"/>
    <n v="0.25"/>
    <n v="0.25"/>
    <n v="0.25"/>
    <n v="0.25"/>
    <n v="0.25"/>
    <n v="0.25"/>
    <n v="0"/>
    <n v="0.25"/>
  </r>
  <r>
    <n v="4472"/>
    <x v="5"/>
    <s v="0000/0310"/>
    <s v="Brooks Court, 1-10 Cringle Street"/>
    <m/>
    <n v="529267"/>
    <n v="177387"/>
    <x v="12"/>
    <m/>
    <m/>
    <n v="0"/>
    <n v="39"/>
    <n v="39"/>
    <n v="46"/>
    <n v="46"/>
    <x v="1"/>
    <s v="Redevelopment"/>
    <s v="NONE"/>
    <m/>
    <m/>
    <x v="0"/>
    <s v="Nil"/>
    <m/>
    <s v="BF"/>
    <s v="NB"/>
    <x v="1"/>
    <x v="7"/>
    <n v="0"/>
    <m/>
    <x v="0"/>
    <m/>
    <x v="0"/>
    <s v="M"/>
    <s v="2.1.23"/>
    <m/>
    <n v="0"/>
    <n v="0"/>
    <n v="0"/>
    <n v="0"/>
    <n v="0"/>
    <n v="0"/>
    <n v="0"/>
    <n v="0"/>
    <n v="0"/>
    <n v="0"/>
    <n v="39"/>
    <n v="0"/>
    <n v="0"/>
    <n v="0"/>
    <n v="0"/>
    <n v="0"/>
    <n v="0"/>
    <n v="39"/>
    <n v="0"/>
    <n v="0"/>
    <n v="0"/>
    <n v="0"/>
    <n v="0"/>
    <n v="0"/>
    <n v="0"/>
    <n v="0"/>
    <n v="0"/>
    <n v="0"/>
    <n v="0"/>
    <n v="0"/>
    <n v="0"/>
    <n v="0"/>
    <x v="0"/>
    <x v="1"/>
    <x v="0"/>
    <x v="0"/>
    <x v="0"/>
    <m/>
    <x v="0"/>
    <x v="0"/>
    <n v="21"/>
    <m/>
    <m/>
    <m/>
    <m/>
    <m/>
    <m/>
    <n v="39"/>
    <m/>
    <m/>
    <m/>
    <m/>
    <m/>
    <m/>
    <m/>
    <m/>
    <m/>
    <m/>
    <m/>
    <m/>
    <m/>
    <m/>
    <n v="0"/>
    <n v="39"/>
  </r>
  <r>
    <n v="4472"/>
    <x v="5"/>
    <s v="0000/0310"/>
    <s v="Brooks Court, 1-10 Cringle Street"/>
    <m/>
    <n v="529267"/>
    <n v="177387"/>
    <x v="12"/>
    <m/>
    <m/>
    <n v="0"/>
    <n v="4"/>
    <n v="4"/>
    <n v="46"/>
    <n v="46"/>
    <x v="1"/>
    <s v="Redevelopment"/>
    <s v="NONE"/>
    <m/>
    <m/>
    <x v="0"/>
    <s v="Nil"/>
    <m/>
    <s v="BF"/>
    <s v="NB"/>
    <x v="1"/>
    <x v="7"/>
    <n v="0"/>
    <m/>
    <x v="0"/>
    <m/>
    <x v="2"/>
    <s v="AA"/>
    <s v="2.1.23"/>
    <m/>
    <n v="0"/>
    <n v="0"/>
    <n v="0"/>
    <n v="0"/>
    <n v="0"/>
    <n v="0"/>
    <n v="0"/>
    <n v="0"/>
    <n v="0"/>
    <n v="0"/>
    <n v="4"/>
    <n v="0"/>
    <n v="0"/>
    <n v="0"/>
    <n v="0"/>
    <n v="0"/>
    <n v="0"/>
    <n v="4"/>
    <n v="0"/>
    <n v="0"/>
    <n v="0"/>
    <n v="0"/>
    <n v="0"/>
    <n v="0"/>
    <n v="0"/>
    <n v="0"/>
    <n v="0"/>
    <n v="0"/>
    <n v="0"/>
    <n v="0"/>
    <n v="0"/>
    <n v="0"/>
    <x v="0"/>
    <x v="1"/>
    <x v="0"/>
    <x v="0"/>
    <x v="0"/>
    <m/>
    <x v="0"/>
    <x v="0"/>
    <n v="21"/>
    <m/>
    <m/>
    <m/>
    <m/>
    <m/>
    <m/>
    <n v="4"/>
    <m/>
    <m/>
    <m/>
    <m/>
    <m/>
    <m/>
    <m/>
    <m/>
    <m/>
    <m/>
    <m/>
    <m/>
    <m/>
    <m/>
    <n v="0"/>
    <n v="4"/>
  </r>
  <r>
    <n v="4472"/>
    <x v="5"/>
    <s v="0000/0310"/>
    <s v="Brooks Court, 1-10 Cringle Street"/>
    <m/>
    <n v="529267"/>
    <n v="177387"/>
    <x v="12"/>
    <m/>
    <m/>
    <n v="0"/>
    <n v="3"/>
    <n v="3"/>
    <n v="46"/>
    <n v="46"/>
    <x v="1"/>
    <s v="Redevelopment"/>
    <s v="NONE"/>
    <m/>
    <m/>
    <x v="0"/>
    <s v="Nil"/>
    <m/>
    <s v="BF"/>
    <s v="NB"/>
    <x v="1"/>
    <x v="7"/>
    <n v="0"/>
    <m/>
    <x v="0"/>
    <m/>
    <x v="1"/>
    <s v="IU"/>
    <s v="2.1.23"/>
    <m/>
    <n v="0"/>
    <n v="0"/>
    <n v="0"/>
    <n v="0"/>
    <n v="0"/>
    <n v="0"/>
    <n v="0"/>
    <n v="0"/>
    <n v="0"/>
    <n v="0"/>
    <n v="3"/>
    <n v="0"/>
    <n v="0"/>
    <n v="0"/>
    <n v="0"/>
    <n v="0"/>
    <n v="0"/>
    <n v="3"/>
    <n v="0"/>
    <n v="0"/>
    <n v="0"/>
    <n v="0"/>
    <n v="0"/>
    <n v="0"/>
    <n v="0"/>
    <n v="0"/>
    <n v="0"/>
    <n v="0"/>
    <n v="0"/>
    <n v="0"/>
    <n v="0"/>
    <n v="0"/>
    <x v="0"/>
    <x v="1"/>
    <x v="0"/>
    <x v="0"/>
    <x v="0"/>
    <m/>
    <x v="0"/>
    <x v="0"/>
    <n v="21"/>
    <m/>
    <m/>
    <m/>
    <m/>
    <m/>
    <m/>
    <n v="3"/>
    <m/>
    <m/>
    <m/>
    <m/>
    <m/>
    <m/>
    <m/>
    <m/>
    <m/>
    <m/>
    <m/>
    <m/>
    <m/>
    <m/>
    <n v="0"/>
    <n v="3"/>
  </r>
  <r>
    <n v="4510"/>
    <x v="5"/>
    <s v="0000/0311"/>
    <s v="Cemex Battersea Plant, Cringle Street (Kirtling Wharf)"/>
    <m/>
    <n v="529218"/>
    <n v="177561"/>
    <x v="12"/>
    <m/>
    <m/>
    <n v="0"/>
    <n v="70"/>
    <n v="70"/>
    <n v="82"/>
    <n v="82"/>
    <x v="1"/>
    <s v="Redevelopment"/>
    <s v="NONE"/>
    <m/>
    <m/>
    <x v="0"/>
    <s v="Nil"/>
    <m/>
    <s v="BF"/>
    <s v="MIX"/>
    <x v="1"/>
    <x v="7"/>
    <n v="0"/>
    <m/>
    <x v="0"/>
    <m/>
    <x v="0"/>
    <s v="M"/>
    <s v="2.1.7"/>
    <m/>
    <n v="0"/>
    <n v="0"/>
    <n v="0"/>
    <n v="0"/>
    <n v="0"/>
    <n v="0"/>
    <n v="0"/>
    <n v="0"/>
    <n v="0"/>
    <n v="0"/>
    <n v="70"/>
    <n v="0"/>
    <n v="0"/>
    <n v="0"/>
    <n v="0"/>
    <n v="0"/>
    <n v="0"/>
    <n v="70"/>
    <n v="0"/>
    <n v="0"/>
    <n v="0"/>
    <n v="0"/>
    <n v="0"/>
    <n v="0"/>
    <n v="0"/>
    <n v="0"/>
    <n v="0"/>
    <n v="0"/>
    <n v="0"/>
    <n v="0"/>
    <n v="0"/>
    <n v="0"/>
    <x v="0"/>
    <x v="1"/>
    <x v="0"/>
    <x v="0"/>
    <x v="0"/>
    <m/>
    <x v="0"/>
    <x v="0"/>
    <n v="21"/>
    <m/>
    <m/>
    <m/>
    <m/>
    <m/>
    <m/>
    <n v="70"/>
    <m/>
    <m/>
    <m/>
    <m/>
    <m/>
    <m/>
    <m/>
    <m/>
    <m/>
    <m/>
    <m/>
    <m/>
    <m/>
    <m/>
    <n v="0"/>
    <n v="70"/>
  </r>
  <r>
    <n v="4510"/>
    <x v="5"/>
    <s v="0000/0311"/>
    <s v="Cemex Battersea Plant, Cringle Street (Kirtling Wharf)"/>
    <m/>
    <n v="529218"/>
    <n v="177561"/>
    <x v="12"/>
    <m/>
    <m/>
    <n v="0"/>
    <n v="7"/>
    <n v="7"/>
    <n v="82"/>
    <n v="82"/>
    <x v="1"/>
    <s v="Redevelopment"/>
    <s v="NONE"/>
    <m/>
    <m/>
    <x v="0"/>
    <s v="Nil"/>
    <m/>
    <s v="BF"/>
    <s v="MIX"/>
    <x v="1"/>
    <x v="7"/>
    <n v="0"/>
    <m/>
    <x v="0"/>
    <m/>
    <x v="2"/>
    <s v="AA"/>
    <s v="2.1.7"/>
    <m/>
    <n v="0"/>
    <n v="0"/>
    <n v="0"/>
    <n v="0"/>
    <n v="0"/>
    <n v="0"/>
    <n v="0"/>
    <n v="0"/>
    <n v="0"/>
    <n v="0"/>
    <n v="7"/>
    <n v="0"/>
    <n v="0"/>
    <n v="0"/>
    <n v="0"/>
    <n v="0"/>
    <n v="0"/>
    <n v="7"/>
    <n v="0"/>
    <n v="0"/>
    <n v="0"/>
    <n v="0"/>
    <n v="0"/>
    <n v="0"/>
    <n v="0"/>
    <n v="0"/>
    <n v="0"/>
    <n v="0"/>
    <n v="0"/>
    <n v="0"/>
    <n v="0"/>
    <n v="0"/>
    <x v="0"/>
    <x v="1"/>
    <x v="0"/>
    <x v="0"/>
    <x v="0"/>
    <m/>
    <x v="0"/>
    <x v="0"/>
    <n v="21"/>
    <m/>
    <m/>
    <m/>
    <m/>
    <m/>
    <m/>
    <n v="7"/>
    <m/>
    <m/>
    <m/>
    <m/>
    <m/>
    <m/>
    <m/>
    <m/>
    <m/>
    <m/>
    <m/>
    <m/>
    <m/>
    <m/>
    <n v="0"/>
    <n v="7"/>
  </r>
  <r>
    <n v="4510"/>
    <x v="5"/>
    <s v="0000/0311"/>
    <s v="Cemex Battersea Plant, Cringle Street (Kirtling Wharf)"/>
    <m/>
    <n v="529218"/>
    <n v="177561"/>
    <x v="12"/>
    <m/>
    <m/>
    <n v="0"/>
    <n v="5"/>
    <n v="5"/>
    <n v="82"/>
    <n v="82"/>
    <x v="1"/>
    <s v="Redevelopment"/>
    <s v="NONE"/>
    <m/>
    <m/>
    <x v="0"/>
    <s v="Nil"/>
    <m/>
    <s v="BF"/>
    <s v="MIX"/>
    <x v="1"/>
    <x v="7"/>
    <n v="0"/>
    <m/>
    <x v="0"/>
    <m/>
    <x v="1"/>
    <s v="IU"/>
    <s v="2.1.7"/>
    <m/>
    <n v="0"/>
    <n v="0"/>
    <n v="0"/>
    <n v="0"/>
    <n v="0"/>
    <n v="0"/>
    <n v="0"/>
    <n v="0"/>
    <n v="0"/>
    <n v="0"/>
    <n v="5"/>
    <n v="0"/>
    <n v="0"/>
    <n v="0"/>
    <n v="0"/>
    <n v="0"/>
    <n v="0"/>
    <n v="5"/>
    <n v="0"/>
    <n v="0"/>
    <n v="0"/>
    <n v="0"/>
    <n v="0"/>
    <n v="0"/>
    <n v="0"/>
    <n v="0"/>
    <n v="0"/>
    <n v="0"/>
    <n v="0"/>
    <n v="0"/>
    <n v="0"/>
    <n v="0"/>
    <x v="0"/>
    <x v="1"/>
    <x v="0"/>
    <x v="0"/>
    <x v="0"/>
    <m/>
    <x v="0"/>
    <x v="0"/>
    <n v="21"/>
    <m/>
    <m/>
    <m/>
    <m/>
    <m/>
    <m/>
    <n v="5"/>
    <m/>
    <m/>
    <m/>
    <m/>
    <m/>
    <m/>
    <m/>
    <m/>
    <m/>
    <m/>
    <m/>
    <m/>
    <m/>
    <m/>
    <n v="0"/>
    <n v="5"/>
  </r>
  <r>
    <n v="6864"/>
    <x v="5"/>
    <s v="0000/0252"/>
    <s v="Market Area, Tooting High Street"/>
    <m/>
    <n v="527562"/>
    <n v="171554"/>
    <x v="10"/>
    <m/>
    <m/>
    <n v="0"/>
    <n v="211"/>
    <n v="211"/>
    <n v="315"/>
    <n v="315"/>
    <x v="1"/>
    <s v="Redevelopment"/>
    <s v="NONE"/>
    <m/>
    <m/>
    <x v="0"/>
    <s v="Nil"/>
    <m/>
    <s v="BF"/>
    <s v="NB"/>
    <x v="1"/>
    <x v="7"/>
    <n v="0"/>
    <m/>
    <x v="0"/>
    <m/>
    <x v="0"/>
    <s v="M"/>
    <s v="5.2"/>
    <n v="17320280"/>
    <n v="0"/>
    <n v="0"/>
    <n v="0"/>
    <n v="0"/>
    <n v="0"/>
    <n v="0"/>
    <n v="0"/>
    <n v="0"/>
    <n v="0"/>
    <n v="0"/>
    <n v="211"/>
    <n v="0"/>
    <n v="0"/>
    <n v="0"/>
    <n v="0"/>
    <n v="0"/>
    <n v="0"/>
    <n v="211"/>
    <n v="0"/>
    <n v="0"/>
    <n v="0"/>
    <n v="0"/>
    <n v="0"/>
    <n v="0"/>
    <n v="0"/>
    <n v="0"/>
    <n v="0"/>
    <n v="0"/>
    <n v="0"/>
    <n v="0"/>
    <n v="0"/>
    <n v="0"/>
    <x v="4"/>
    <x v="0"/>
    <x v="0"/>
    <x v="0"/>
    <x v="0"/>
    <m/>
    <x v="0"/>
    <x v="0"/>
    <n v="20"/>
    <m/>
    <m/>
    <m/>
    <m/>
    <m/>
    <m/>
    <m/>
    <m/>
    <m/>
    <m/>
    <n v="17.583333333333332"/>
    <n v="17.583333333333332"/>
    <n v="17.583333333333332"/>
    <n v="17.583333333333332"/>
    <n v="17.583333333333332"/>
    <n v="17.583333333333332"/>
    <n v="17.583333333333332"/>
    <n v="17.583333333333332"/>
    <n v="17.583333333333332"/>
    <n v="17.583333333333332"/>
    <n v="17.583333333333332"/>
    <n v="0"/>
    <n v="17.583333333333332"/>
  </r>
  <r>
    <n v="6864"/>
    <x v="5"/>
    <s v="0000/0252"/>
    <s v="Market Area, Tooting High Street"/>
    <m/>
    <n v="527562"/>
    <n v="171554"/>
    <x v="10"/>
    <m/>
    <m/>
    <n v="0"/>
    <n v="62"/>
    <n v="62"/>
    <n v="315"/>
    <n v="315"/>
    <x v="1"/>
    <s v="Redevelopment"/>
    <s v="NONE"/>
    <m/>
    <m/>
    <x v="0"/>
    <s v="Nil"/>
    <m/>
    <s v="BF"/>
    <s v="NB"/>
    <x v="1"/>
    <x v="7"/>
    <n v="0"/>
    <m/>
    <x v="0"/>
    <m/>
    <x v="2"/>
    <s v="AA"/>
    <s v="5.2"/>
    <n v="17320280"/>
    <n v="0"/>
    <n v="0"/>
    <n v="0"/>
    <n v="0"/>
    <n v="0"/>
    <n v="0"/>
    <n v="0"/>
    <n v="0"/>
    <n v="0"/>
    <n v="0"/>
    <n v="62"/>
    <n v="0"/>
    <n v="0"/>
    <n v="0"/>
    <n v="0"/>
    <n v="0"/>
    <n v="0"/>
    <n v="62"/>
    <n v="0"/>
    <n v="0"/>
    <n v="0"/>
    <n v="0"/>
    <n v="0"/>
    <n v="0"/>
    <n v="0"/>
    <n v="0"/>
    <n v="0"/>
    <n v="0"/>
    <n v="0"/>
    <n v="0"/>
    <n v="0"/>
    <n v="0"/>
    <x v="4"/>
    <x v="0"/>
    <x v="0"/>
    <x v="0"/>
    <x v="0"/>
    <m/>
    <x v="0"/>
    <x v="0"/>
    <n v="20"/>
    <m/>
    <m/>
    <m/>
    <m/>
    <m/>
    <m/>
    <m/>
    <m/>
    <m/>
    <m/>
    <n v="5.166666666666667"/>
    <n v="5.166666666666667"/>
    <n v="5.166666666666667"/>
    <n v="5.166666666666667"/>
    <n v="5.166666666666667"/>
    <n v="5.166666666666667"/>
    <n v="5.166666666666667"/>
    <n v="5.166666666666667"/>
    <n v="5.166666666666667"/>
    <n v="5.166666666666667"/>
    <n v="5.166666666666667"/>
    <n v="0"/>
    <n v="5.166666666666667"/>
  </r>
  <r>
    <n v="6864"/>
    <x v="5"/>
    <s v="0000/0252"/>
    <s v="Market Area, Tooting High Street"/>
    <m/>
    <n v="527562"/>
    <n v="171554"/>
    <x v="10"/>
    <m/>
    <m/>
    <n v="0"/>
    <n v="42"/>
    <n v="42"/>
    <n v="315"/>
    <n v="315"/>
    <x v="1"/>
    <s v="Redevelopment"/>
    <s v="NONE"/>
    <m/>
    <m/>
    <x v="0"/>
    <s v="Nil"/>
    <m/>
    <s v="BF"/>
    <s v="NB"/>
    <x v="1"/>
    <x v="7"/>
    <n v="0"/>
    <m/>
    <x v="0"/>
    <m/>
    <x v="1"/>
    <s v="ISO"/>
    <s v="5.2"/>
    <n v="17320280"/>
    <n v="0"/>
    <n v="0"/>
    <n v="0"/>
    <n v="0"/>
    <n v="0"/>
    <n v="0"/>
    <n v="0"/>
    <n v="0"/>
    <n v="0"/>
    <n v="0"/>
    <n v="42"/>
    <n v="0"/>
    <n v="0"/>
    <n v="0"/>
    <n v="0"/>
    <n v="0"/>
    <n v="0"/>
    <n v="42"/>
    <n v="0"/>
    <n v="0"/>
    <n v="0"/>
    <n v="0"/>
    <n v="0"/>
    <n v="0"/>
    <n v="0"/>
    <n v="0"/>
    <n v="0"/>
    <n v="0"/>
    <n v="0"/>
    <n v="0"/>
    <n v="0"/>
    <n v="0"/>
    <x v="4"/>
    <x v="0"/>
    <x v="0"/>
    <x v="0"/>
    <x v="0"/>
    <m/>
    <x v="0"/>
    <x v="0"/>
    <n v="20"/>
    <m/>
    <m/>
    <m/>
    <m/>
    <m/>
    <m/>
    <m/>
    <m/>
    <m/>
    <m/>
    <n v="3.5"/>
    <n v="3.5"/>
    <n v="3.5"/>
    <n v="3.5"/>
    <n v="3.5"/>
    <n v="3.5"/>
    <n v="3.5"/>
    <n v="3.5"/>
    <n v="3.5"/>
    <n v="3.5"/>
    <n v="3.5"/>
    <n v="0"/>
    <n v="3.5"/>
  </r>
  <r>
    <n v="6865"/>
    <x v="5"/>
    <s v="0000/0253"/>
    <s v="St Georges Hospital Car Park, Maybury Street"/>
    <m/>
    <n v="527052"/>
    <n v="171137"/>
    <x v="1"/>
    <m/>
    <m/>
    <n v="0"/>
    <n v="103"/>
    <n v="103"/>
    <n v="153"/>
    <n v="153"/>
    <x v="1"/>
    <s v="Redevelopment"/>
    <s v="NONE"/>
    <m/>
    <m/>
    <x v="0"/>
    <s v="Nil"/>
    <m/>
    <s v="BF"/>
    <s v="NB"/>
    <x v="1"/>
    <x v="7"/>
    <n v="0"/>
    <m/>
    <x v="0"/>
    <m/>
    <x v="0"/>
    <s v="M"/>
    <s v="5.5"/>
    <n v="17320189"/>
    <n v="0"/>
    <n v="0"/>
    <n v="0"/>
    <n v="0"/>
    <n v="0"/>
    <n v="0"/>
    <n v="0"/>
    <n v="0"/>
    <n v="0"/>
    <n v="0"/>
    <n v="103"/>
    <n v="0"/>
    <n v="0"/>
    <n v="0"/>
    <n v="0"/>
    <n v="0"/>
    <n v="0"/>
    <n v="103"/>
    <n v="0"/>
    <n v="0"/>
    <n v="0"/>
    <n v="0"/>
    <n v="0"/>
    <n v="0"/>
    <n v="0"/>
    <n v="0"/>
    <n v="0"/>
    <n v="0"/>
    <n v="0"/>
    <n v="0"/>
    <n v="0"/>
    <n v="0"/>
    <x v="0"/>
    <x v="0"/>
    <x v="0"/>
    <x v="0"/>
    <x v="0"/>
    <m/>
    <x v="0"/>
    <x v="0"/>
    <n v="20"/>
    <m/>
    <m/>
    <m/>
    <m/>
    <m/>
    <m/>
    <n v="6.4375"/>
    <n v="6.4375"/>
    <n v="6.4375"/>
    <n v="6.4375"/>
    <n v="6.4375"/>
    <n v="6.4375"/>
    <n v="6.4375"/>
    <n v="6.4375"/>
    <n v="6.4375"/>
    <n v="6.4375"/>
    <n v="6.4375"/>
    <n v="6.4375"/>
    <n v="6.4375"/>
    <n v="6.4375"/>
    <n v="6.4375"/>
    <n v="0"/>
    <n v="32.1875"/>
  </r>
  <r>
    <n v="6865"/>
    <x v="5"/>
    <s v="0000/0253"/>
    <s v="St Georges Hospital Car Park, Maybury Street"/>
    <m/>
    <n v="527052"/>
    <n v="171137"/>
    <x v="1"/>
    <m/>
    <m/>
    <n v="0"/>
    <n v="30"/>
    <n v="30"/>
    <n v="153"/>
    <n v="153"/>
    <x v="1"/>
    <s v="Redevelopment"/>
    <s v="NONE"/>
    <m/>
    <m/>
    <x v="0"/>
    <s v="Nil"/>
    <m/>
    <s v="BF"/>
    <s v="NB"/>
    <x v="1"/>
    <x v="7"/>
    <n v="0"/>
    <m/>
    <x v="0"/>
    <m/>
    <x v="2"/>
    <s v="AA"/>
    <s v="5.5"/>
    <n v="17320189"/>
    <n v="0"/>
    <n v="0"/>
    <n v="0"/>
    <n v="0"/>
    <n v="0"/>
    <n v="0"/>
    <n v="0"/>
    <n v="0"/>
    <n v="0"/>
    <n v="0"/>
    <n v="30"/>
    <n v="0"/>
    <n v="0"/>
    <n v="0"/>
    <n v="0"/>
    <n v="0"/>
    <n v="0"/>
    <n v="30"/>
    <n v="0"/>
    <n v="0"/>
    <n v="0"/>
    <n v="0"/>
    <n v="0"/>
    <n v="0"/>
    <n v="0"/>
    <n v="0"/>
    <n v="0"/>
    <n v="0"/>
    <n v="0"/>
    <n v="0"/>
    <n v="0"/>
    <n v="0"/>
    <x v="0"/>
    <x v="0"/>
    <x v="0"/>
    <x v="0"/>
    <x v="0"/>
    <m/>
    <x v="0"/>
    <x v="0"/>
    <n v="20"/>
    <m/>
    <m/>
    <m/>
    <m/>
    <m/>
    <m/>
    <n v="1.875"/>
    <n v="1.875"/>
    <n v="1.875"/>
    <n v="1.875"/>
    <n v="1.875"/>
    <n v="1.875"/>
    <n v="1.875"/>
    <n v="1.875"/>
    <n v="1.875"/>
    <n v="1.875"/>
    <n v="1.875"/>
    <n v="1.875"/>
    <n v="1.875"/>
    <n v="1.875"/>
    <n v="1.875"/>
    <n v="0"/>
    <n v="9.375"/>
  </r>
  <r>
    <n v="6865"/>
    <x v="5"/>
    <s v="0000/0253"/>
    <s v="St Georges Hospital Car Park, Maybury Street"/>
    <m/>
    <n v="527052"/>
    <n v="171137"/>
    <x v="1"/>
    <m/>
    <m/>
    <n v="0"/>
    <n v="20"/>
    <n v="20"/>
    <n v="153"/>
    <n v="153"/>
    <x v="1"/>
    <s v="Redevelopment"/>
    <s v="NONE"/>
    <m/>
    <m/>
    <x v="0"/>
    <s v="Nil"/>
    <m/>
    <s v="BF"/>
    <s v="NB"/>
    <x v="1"/>
    <x v="7"/>
    <n v="0"/>
    <m/>
    <x v="0"/>
    <m/>
    <x v="1"/>
    <s v="ISO"/>
    <s v="5.5"/>
    <n v="17320189"/>
    <n v="0"/>
    <n v="0"/>
    <n v="0"/>
    <n v="0"/>
    <n v="0"/>
    <n v="0"/>
    <n v="0"/>
    <n v="0"/>
    <n v="0"/>
    <n v="0"/>
    <n v="20"/>
    <n v="0"/>
    <n v="0"/>
    <n v="0"/>
    <n v="0"/>
    <n v="0"/>
    <n v="0"/>
    <n v="20"/>
    <n v="0"/>
    <n v="0"/>
    <n v="0"/>
    <n v="0"/>
    <n v="0"/>
    <n v="0"/>
    <n v="0"/>
    <n v="0"/>
    <n v="0"/>
    <n v="0"/>
    <n v="0"/>
    <n v="0"/>
    <n v="0"/>
    <n v="0"/>
    <x v="0"/>
    <x v="0"/>
    <x v="0"/>
    <x v="0"/>
    <x v="0"/>
    <m/>
    <x v="0"/>
    <x v="0"/>
    <n v="20"/>
    <m/>
    <m/>
    <m/>
    <m/>
    <m/>
    <m/>
    <n v="1.25"/>
    <n v="1.25"/>
    <n v="1.25"/>
    <n v="1.25"/>
    <n v="1.25"/>
    <n v="1.25"/>
    <n v="1.25"/>
    <n v="1.25"/>
    <n v="1.25"/>
    <n v="1.25"/>
    <n v="1.25"/>
    <n v="1.25"/>
    <n v="1.25"/>
    <n v="1.25"/>
    <n v="1.25"/>
    <n v="0"/>
    <n v="6.25"/>
  </r>
  <r>
    <n v="6866"/>
    <x v="5"/>
    <s v="0000/0255"/>
    <s v="Sainsbury's Car Park, Bedford Hill"/>
    <m/>
    <n v="528627"/>
    <n v="173224"/>
    <x v="6"/>
    <m/>
    <m/>
    <n v="0"/>
    <n v="54"/>
    <n v="54"/>
    <n v="81"/>
    <n v="81"/>
    <x v="1"/>
    <s v="Redevelopment"/>
    <s v="NONE"/>
    <m/>
    <m/>
    <x v="0"/>
    <s v="Nil"/>
    <m/>
    <s v="BF"/>
    <s v="NB"/>
    <x v="1"/>
    <x v="7"/>
    <n v="0"/>
    <m/>
    <x v="0"/>
    <m/>
    <x v="0"/>
    <s v="M"/>
    <s v="7.1"/>
    <n v="17320339"/>
    <n v="0"/>
    <n v="0"/>
    <n v="0"/>
    <n v="0"/>
    <n v="0"/>
    <n v="0"/>
    <n v="0"/>
    <n v="0"/>
    <n v="0"/>
    <n v="0"/>
    <n v="54"/>
    <n v="0"/>
    <n v="0"/>
    <n v="0"/>
    <n v="0"/>
    <n v="0"/>
    <n v="0"/>
    <n v="54"/>
    <n v="0"/>
    <n v="0"/>
    <n v="0"/>
    <n v="0"/>
    <n v="0"/>
    <n v="0"/>
    <n v="0"/>
    <n v="0"/>
    <n v="0"/>
    <n v="0"/>
    <n v="0"/>
    <n v="0"/>
    <n v="0"/>
    <n v="0"/>
    <x v="5"/>
    <x v="0"/>
    <x v="0"/>
    <x v="0"/>
    <x v="0"/>
    <m/>
    <x v="0"/>
    <x v="0"/>
    <n v="20"/>
    <m/>
    <m/>
    <m/>
    <m/>
    <m/>
    <m/>
    <m/>
    <m/>
    <m/>
    <m/>
    <n v="4.5"/>
    <n v="4.5"/>
    <n v="4.5"/>
    <n v="4.5"/>
    <n v="4.5"/>
    <n v="4.5"/>
    <n v="4.5"/>
    <n v="4.5"/>
    <n v="4.5"/>
    <n v="4.5"/>
    <n v="4.5"/>
    <n v="0"/>
    <n v="4.5"/>
  </r>
  <r>
    <n v="6866"/>
    <x v="5"/>
    <s v="0000/0255"/>
    <s v="Sainsbury's Car Park, Bedford Hill"/>
    <m/>
    <n v="528627"/>
    <n v="173224"/>
    <x v="6"/>
    <m/>
    <m/>
    <n v="0"/>
    <n v="16"/>
    <n v="16"/>
    <n v="81"/>
    <n v="81"/>
    <x v="1"/>
    <s v="Redevelopment"/>
    <s v="NONE"/>
    <m/>
    <m/>
    <x v="0"/>
    <s v="Nil"/>
    <m/>
    <s v="BF"/>
    <s v="NB"/>
    <x v="1"/>
    <x v="7"/>
    <n v="0"/>
    <m/>
    <x v="0"/>
    <m/>
    <x v="2"/>
    <s v="AA"/>
    <s v="7.1"/>
    <n v="17320339"/>
    <n v="0"/>
    <n v="0"/>
    <n v="0"/>
    <n v="0"/>
    <n v="0"/>
    <n v="0"/>
    <n v="0"/>
    <n v="0"/>
    <n v="0"/>
    <n v="0"/>
    <n v="16"/>
    <n v="0"/>
    <n v="0"/>
    <n v="0"/>
    <n v="0"/>
    <n v="0"/>
    <n v="0"/>
    <n v="16"/>
    <n v="0"/>
    <n v="0"/>
    <n v="0"/>
    <n v="0"/>
    <n v="0"/>
    <n v="0"/>
    <n v="0"/>
    <n v="0"/>
    <n v="0"/>
    <n v="0"/>
    <n v="0"/>
    <n v="0"/>
    <n v="0"/>
    <n v="0"/>
    <x v="5"/>
    <x v="0"/>
    <x v="0"/>
    <x v="0"/>
    <x v="0"/>
    <m/>
    <x v="0"/>
    <x v="0"/>
    <n v="20"/>
    <m/>
    <m/>
    <m/>
    <m/>
    <m/>
    <m/>
    <m/>
    <m/>
    <m/>
    <m/>
    <n v="1.3333333333333333"/>
    <n v="1.3333333333333333"/>
    <n v="1.3333333333333333"/>
    <n v="1.3333333333333333"/>
    <n v="1.3333333333333333"/>
    <n v="1.3333333333333333"/>
    <n v="1.3333333333333333"/>
    <n v="1.3333333333333333"/>
    <n v="1.3333333333333333"/>
    <n v="1.3333333333333333"/>
    <n v="1.3333333333333333"/>
    <n v="0"/>
    <n v="1.3333333333333333"/>
  </r>
  <r>
    <n v="6866"/>
    <x v="5"/>
    <s v="0000/0255"/>
    <s v="Sainsbury's Car Park, Bedford Hill"/>
    <m/>
    <n v="528627"/>
    <n v="173224"/>
    <x v="6"/>
    <m/>
    <m/>
    <n v="0"/>
    <n v="11"/>
    <n v="11"/>
    <n v="81"/>
    <n v="81"/>
    <x v="1"/>
    <s v="Redevelopment"/>
    <s v="NONE"/>
    <m/>
    <m/>
    <x v="0"/>
    <s v="Nil"/>
    <m/>
    <s v="BF"/>
    <s v="NB"/>
    <x v="1"/>
    <x v="7"/>
    <n v="0"/>
    <m/>
    <x v="0"/>
    <m/>
    <x v="1"/>
    <s v="ISO"/>
    <s v="7.1"/>
    <n v="17320339"/>
    <n v="0"/>
    <n v="0"/>
    <n v="0"/>
    <n v="0"/>
    <n v="0"/>
    <n v="0"/>
    <n v="0"/>
    <n v="0"/>
    <n v="0"/>
    <n v="0"/>
    <n v="11"/>
    <n v="0"/>
    <n v="0"/>
    <n v="0"/>
    <n v="0"/>
    <n v="0"/>
    <n v="0"/>
    <n v="11"/>
    <n v="0"/>
    <n v="0"/>
    <n v="0"/>
    <n v="0"/>
    <n v="0"/>
    <n v="0"/>
    <n v="0"/>
    <n v="0"/>
    <n v="0"/>
    <n v="0"/>
    <n v="0"/>
    <n v="0"/>
    <n v="0"/>
    <n v="0"/>
    <x v="5"/>
    <x v="0"/>
    <x v="0"/>
    <x v="0"/>
    <x v="0"/>
    <m/>
    <x v="0"/>
    <x v="0"/>
    <n v="20"/>
    <m/>
    <m/>
    <m/>
    <m/>
    <m/>
    <m/>
    <m/>
    <m/>
    <m/>
    <m/>
    <n v="0.91666666666666663"/>
    <n v="0.91666666666666663"/>
    <n v="0.91666666666666663"/>
    <n v="0.91666666666666663"/>
    <n v="0.91666666666666663"/>
    <n v="0.91666666666666663"/>
    <n v="0.91666666666666663"/>
    <n v="0.91666666666666663"/>
    <n v="0.91666666666666663"/>
    <n v="0.91666666666666663"/>
    <n v="0.91666666666666663"/>
    <n v="0"/>
    <n v="0.91666666666666663"/>
  </r>
  <r>
    <n v="6867"/>
    <x v="5"/>
    <s v="0000/0257"/>
    <s v="259-311 Battersea Park road"/>
    <m/>
    <n v="528366"/>
    <n v="176677"/>
    <x v="12"/>
    <m/>
    <m/>
    <n v="0"/>
    <n v="8"/>
    <n v="8"/>
    <n v="8"/>
    <n v="8"/>
    <x v="0"/>
    <s v="Redevelopment"/>
    <s v="NONE"/>
    <m/>
    <m/>
    <x v="0"/>
    <s v="Nil"/>
    <m/>
    <s v="BF"/>
    <s v="NB"/>
    <x v="0"/>
    <x v="5"/>
    <n v="0"/>
    <m/>
    <x v="0"/>
    <m/>
    <x v="0"/>
    <s v="M"/>
    <s v="9.10"/>
    <n v="17320343"/>
    <n v="0"/>
    <n v="0"/>
    <n v="0"/>
    <n v="0"/>
    <n v="0"/>
    <n v="0"/>
    <n v="0"/>
    <n v="0"/>
    <n v="0"/>
    <n v="0"/>
    <n v="8"/>
    <n v="0"/>
    <n v="0"/>
    <n v="0"/>
    <n v="0"/>
    <n v="0"/>
    <n v="0"/>
    <n v="8"/>
    <n v="0"/>
    <n v="0"/>
    <n v="0"/>
    <n v="0"/>
    <n v="0"/>
    <n v="0"/>
    <n v="0"/>
    <n v="0"/>
    <n v="0"/>
    <n v="0"/>
    <n v="0"/>
    <n v="0"/>
    <n v="0"/>
    <n v="0"/>
    <x v="0"/>
    <x v="0"/>
    <x v="0"/>
    <x v="0"/>
    <x v="0"/>
    <m/>
    <x v="0"/>
    <x v="0"/>
    <n v="20"/>
    <m/>
    <m/>
    <m/>
    <m/>
    <m/>
    <m/>
    <m/>
    <m/>
    <m/>
    <m/>
    <n v="0.66666666666666663"/>
    <n v="0.66666666666666663"/>
    <n v="0.66666666666666663"/>
    <n v="0.66666666666666663"/>
    <n v="0.66666666666666663"/>
    <n v="0.66666666666666663"/>
    <n v="0.66666666666666663"/>
    <n v="0.66666666666666663"/>
    <n v="0.66666666666666663"/>
    <n v="0.66666666666666663"/>
    <n v="0.66666666666666663"/>
    <n v="0"/>
    <n v="0.66666666666666663"/>
  </r>
  <r>
    <n v="6869"/>
    <x v="5"/>
    <s v="0000/0259"/>
    <s v="36 Lombard Road"/>
    <m/>
    <n v="526639"/>
    <n v="176128"/>
    <x v="11"/>
    <m/>
    <m/>
    <n v="0"/>
    <n v="47"/>
    <n v="47"/>
    <n v="70"/>
    <n v="70"/>
    <x v="1"/>
    <s v="Redevelopment"/>
    <s v="NONE"/>
    <m/>
    <m/>
    <x v="0"/>
    <s v="Nil"/>
    <m/>
    <s v="BF"/>
    <s v="NB"/>
    <x v="1"/>
    <x v="7"/>
    <n v="0"/>
    <m/>
    <x v="0"/>
    <m/>
    <x v="0"/>
    <s v="M"/>
    <s v="10.11"/>
    <n v="17320212"/>
    <n v="0"/>
    <n v="0"/>
    <n v="0"/>
    <n v="0"/>
    <n v="0"/>
    <n v="0"/>
    <n v="0"/>
    <n v="0"/>
    <n v="0"/>
    <n v="0"/>
    <n v="47"/>
    <n v="0"/>
    <n v="0"/>
    <n v="0"/>
    <n v="0"/>
    <n v="0"/>
    <n v="0"/>
    <n v="47"/>
    <n v="0"/>
    <n v="0"/>
    <n v="0"/>
    <n v="0"/>
    <n v="0"/>
    <n v="0"/>
    <n v="0"/>
    <n v="0"/>
    <n v="0"/>
    <n v="0"/>
    <n v="0"/>
    <n v="0"/>
    <n v="0"/>
    <n v="0"/>
    <x v="0"/>
    <x v="0"/>
    <x v="0"/>
    <x v="0"/>
    <x v="0"/>
    <m/>
    <x v="1"/>
    <x v="0"/>
    <n v="20"/>
    <m/>
    <m/>
    <m/>
    <m/>
    <m/>
    <m/>
    <n v="2.9375"/>
    <n v="2.9375"/>
    <n v="2.9375"/>
    <n v="2.9375"/>
    <n v="2.9375"/>
    <n v="2.9375"/>
    <n v="2.9375"/>
    <n v="2.9375"/>
    <n v="2.9375"/>
    <n v="2.9375"/>
    <n v="2.9375"/>
    <n v="2.9375"/>
    <n v="2.9375"/>
    <n v="2.9375"/>
    <n v="2.9375"/>
    <n v="0"/>
    <n v="14.6875"/>
  </r>
  <r>
    <n v="6869"/>
    <x v="5"/>
    <s v="0000/0259"/>
    <s v="36 Lombard Road"/>
    <m/>
    <n v="526639"/>
    <n v="176128"/>
    <x v="11"/>
    <m/>
    <m/>
    <n v="0"/>
    <n v="14"/>
    <n v="14"/>
    <n v="70"/>
    <n v="70"/>
    <x v="1"/>
    <s v="Redevelopment"/>
    <s v="NONE"/>
    <m/>
    <m/>
    <x v="0"/>
    <s v="Nil"/>
    <m/>
    <s v="BF"/>
    <s v="NB"/>
    <x v="1"/>
    <x v="7"/>
    <n v="0"/>
    <m/>
    <x v="0"/>
    <m/>
    <x v="2"/>
    <s v="AA"/>
    <s v="10.11"/>
    <n v="17320212"/>
    <n v="0"/>
    <n v="0"/>
    <n v="0"/>
    <n v="0"/>
    <n v="0"/>
    <n v="0"/>
    <n v="0"/>
    <n v="0"/>
    <n v="0"/>
    <n v="0"/>
    <n v="14"/>
    <n v="0"/>
    <n v="0"/>
    <n v="0"/>
    <n v="0"/>
    <n v="0"/>
    <n v="0"/>
    <n v="14"/>
    <n v="0"/>
    <n v="0"/>
    <n v="0"/>
    <n v="0"/>
    <n v="0"/>
    <n v="0"/>
    <n v="0"/>
    <n v="0"/>
    <n v="0"/>
    <n v="0"/>
    <n v="0"/>
    <n v="0"/>
    <n v="0"/>
    <n v="0"/>
    <x v="0"/>
    <x v="0"/>
    <x v="0"/>
    <x v="0"/>
    <x v="0"/>
    <m/>
    <x v="1"/>
    <x v="0"/>
    <n v="20"/>
    <m/>
    <m/>
    <m/>
    <m/>
    <m/>
    <m/>
    <n v="0.875"/>
    <n v="0.875"/>
    <n v="0.875"/>
    <n v="0.875"/>
    <n v="0.875"/>
    <n v="0.875"/>
    <n v="0.875"/>
    <n v="0.875"/>
    <n v="0.875"/>
    <n v="0.875"/>
    <n v="0.875"/>
    <n v="0.875"/>
    <n v="0.875"/>
    <n v="0.875"/>
    <n v="0.875"/>
    <n v="0"/>
    <n v="4.375"/>
  </r>
  <r>
    <n v="6869"/>
    <x v="5"/>
    <s v="0000/0259"/>
    <s v="36 Lombard Road"/>
    <m/>
    <n v="526639"/>
    <n v="176128"/>
    <x v="11"/>
    <m/>
    <m/>
    <n v="0"/>
    <n v="9"/>
    <n v="9"/>
    <n v="70"/>
    <n v="70"/>
    <x v="1"/>
    <s v="Redevelopment"/>
    <s v="NONE"/>
    <m/>
    <m/>
    <x v="0"/>
    <s v="Nil"/>
    <m/>
    <s v="BF"/>
    <s v="NB"/>
    <x v="1"/>
    <x v="7"/>
    <n v="0"/>
    <m/>
    <x v="0"/>
    <m/>
    <x v="1"/>
    <s v="ISO"/>
    <s v="10.11"/>
    <n v="17320212"/>
    <n v="0"/>
    <n v="0"/>
    <n v="0"/>
    <n v="0"/>
    <n v="0"/>
    <n v="0"/>
    <n v="0"/>
    <n v="0"/>
    <n v="0"/>
    <n v="0"/>
    <n v="9"/>
    <n v="0"/>
    <n v="0"/>
    <n v="0"/>
    <n v="0"/>
    <n v="0"/>
    <n v="0"/>
    <n v="9"/>
    <n v="0"/>
    <n v="0"/>
    <n v="0"/>
    <n v="0"/>
    <n v="0"/>
    <n v="0"/>
    <n v="0"/>
    <n v="0"/>
    <n v="0"/>
    <n v="0"/>
    <n v="0"/>
    <n v="0"/>
    <n v="0"/>
    <n v="0"/>
    <x v="0"/>
    <x v="0"/>
    <x v="0"/>
    <x v="0"/>
    <x v="0"/>
    <m/>
    <x v="1"/>
    <x v="0"/>
    <n v="20"/>
    <m/>
    <m/>
    <m/>
    <m/>
    <m/>
    <m/>
    <n v="0.5625"/>
    <n v="0.5625"/>
    <n v="0.5625"/>
    <n v="0.5625"/>
    <n v="0.5625"/>
    <n v="0.5625"/>
    <n v="0.5625"/>
    <n v="0.5625"/>
    <n v="0.5625"/>
    <n v="0.5625"/>
    <n v="0.5625"/>
    <n v="0.5625"/>
    <n v="0.5625"/>
    <n v="0.5625"/>
    <n v="0.5625"/>
    <n v="0"/>
    <n v="2.8125"/>
  </r>
  <r>
    <n v="6870"/>
    <x v="5"/>
    <s v="0000/0260"/>
    <s v="Travis Perkins, 37 Lombard Road"/>
    <m/>
    <n v="526722"/>
    <n v="176263"/>
    <x v="11"/>
    <m/>
    <m/>
    <n v="0"/>
    <n v="70"/>
    <n v="70"/>
    <n v="105"/>
    <n v="105"/>
    <x v="1"/>
    <s v="Redevelopment"/>
    <s v="NONE"/>
    <m/>
    <m/>
    <x v="0"/>
    <s v="Nil"/>
    <m/>
    <s v="BF"/>
    <s v="NB"/>
    <x v="1"/>
    <x v="7"/>
    <n v="0"/>
    <m/>
    <x v="0"/>
    <m/>
    <x v="0"/>
    <s v="M"/>
    <s v="10.12"/>
    <n v="17320112"/>
    <n v="0"/>
    <n v="0"/>
    <n v="0"/>
    <n v="0"/>
    <n v="0"/>
    <n v="0"/>
    <n v="0"/>
    <n v="0"/>
    <n v="0"/>
    <n v="0"/>
    <n v="70"/>
    <n v="0"/>
    <n v="0"/>
    <n v="0"/>
    <n v="0"/>
    <n v="0"/>
    <n v="0"/>
    <n v="70"/>
    <n v="0"/>
    <n v="0"/>
    <n v="0"/>
    <n v="0"/>
    <n v="0"/>
    <n v="0"/>
    <n v="0"/>
    <n v="0"/>
    <n v="0"/>
    <n v="0"/>
    <n v="0"/>
    <n v="0"/>
    <n v="0"/>
    <n v="0"/>
    <x v="0"/>
    <x v="0"/>
    <x v="0"/>
    <x v="0"/>
    <x v="0"/>
    <m/>
    <x v="0"/>
    <x v="0"/>
    <n v="20"/>
    <m/>
    <m/>
    <m/>
    <m/>
    <m/>
    <m/>
    <n v="4.375"/>
    <n v="4.375"/>
    <n v="4.375"/>
    <n v="4.375"/>
    <n v="4.375"/>
    <n v="4.375"/>
    <n v="4.375"/>
    <n v="4.375"/>
    <n v="4.375"/>
    <n v="4.375"/>
    <n v="4.375"/>
    <n v="4.375"/>
    <n v="4.375"/>
    <n v="4.375"/>
    <n v="4.375"/>
    <n v="0"/>
    <n v="21.875"/>
  </r>
  <r>
    <n v="6870"/>
    <x v="5"/>
    <s v="0000/0260"/>
    <s v="Travis Perkins, 37 Lombard Road"/>
    <m/>
    <n v="526722"/>
    <n v="176263"/>
    <x v="11"/>
    <m/>
    <m/>
    <n v="0"/>
    <n v="21"/>
    <n v="21"/>
    <n v="105"/>
    <n v="105"/>
    <x v="1"/>
    <s v="Redevelopment"/>
    <s v="NONE"/>
    <m/>
    <m/>
    <x v="0"/>
    <s v="Nil"/>
    <m/>
    <s v="BF"/>
    <s v="NB"/>
    <x v="1"/>
    <x v="7"/>
    <n v="0"/>
    <m/>
    <x v="0"/>
    <m/>
    <x v="2"/>
    <s v="AA"/>
    <s v="10.12"/>
    <n v="17320112"/>
    <n v="0"/>
    <n v="0"/>
    <n v="0"/>
    <n v="0"/>
    <n v="0"/>
    <n v="0"/>
    <n v="0"/>
    <n v="0"/>
    <n v="0"/>
    <n v="0"/>
    <n v="21"/>
    <n v="0"/>
    <n v="0"/>
    <n v="0"/>
    <n v="0"/>
    <n v="0"/>
    <n v="0"/>
    <n v="21"/>
    <n v="0"/>
    <n v="0"/>
    <n v="0"/>
    <n v="0"/>
    <n v="0"/>
    <n v="0"/>
    <n v="0"/>
    <n v="0"/>
    <n v="0"/>
    <n v="0"/>
    <n v="0"/>
    <n v="0"/>
    <n v="0"/>
    <n v="0"/>
    <x v="0"/>
    <x v="0"/>
    <x v="0"/>
    <x v="0"/>
    <x v="0"/>
    <m/>
    <x v="0"/>
    <x v="0"/>
    <n v="20"/>
    <m/>
    <m/>
    <m/>
    <m/>
    <m/>
    <m/>
    <n v="1.3125"/>
    <n v="1.3125"/>
    <n v="1.3125"/>
    <n v="1.3125"/>
    <n v="1.3125"/>
    <n v="1.3125"/>
    <n v="1.3125"/>
    <n v="1.3125"/>
    <n v="1.3125"/>
    <n v="1.3125"/>
    <n v="1.3125"/>
    <n v="1.3125"/>
    <n v="1.3125"/>
    <n v="1.3125"/>
    <n v="1.3125"/>
    <n v="0"/>
    <n v="6.5625"/>
  </r>
  <r>
    <n v="6870"/>
    <x v="5"/>
    <s v="0000/0260"/>
    <s v="Travis Perkins, 37 Lombard Road"/>
    <m/>
    <n v="526722"/>
    <n v="176263"/>
    <x v="11"/>
    <m/>
    <m/>
    <n v="0"/>
    <n v="14"/>
    <n v="14"/>
    <n v="105"/>
    <n v="105"/>
    <x v="1"/>
    <s v="Redevelopment"/>
    <s v="NONE"/>
    <m/>
    <m/>
    <x v="0"/>
    <s v="Nil"/>
    <m/>
    <s v="BF"/>
    <s v="NB"/>
    <x v="1"/>
    <x v="7"/>
    <n v="0"/>
    <m/>
    <x v="0"/>
    <m/>
    <x v="1"/>
    <s v="IU"/>
    <s v="10.12"/>
    <n v="17320112"/>
    <n v="0"/>
    <n v="0"/>
    <n v="0"/>
    <n v="0"/>
    <n v="0"/>
    <n v="0"/>
    <n v="0"/>
    <n v="0"/>
    <n v="0"/>
    <n v="0"/>
    <n v="14"/>
    <n v="0"/>
    <n v="0"/>
    <n v="0"/>
    <n v="0"/>
    <n v="0"/>
    <n v="0"/>
    <n v="14"/>
    <n v="0"/>
    <n v="0"/>
    <n v="0"/>
    <n v="0"/>
    <n v="0"/>
    <n v="0"/>
    <n v="0"/>
    <n v="0"/>
    <n v="0"/>
    <n v="0"/>
    <n v="0"/>
    <n v="0"/>
    <n v="0"/>
    <n v="0"/>
    <x v="0"/>
    <x v="0"/>
    <x v="0"/>
    <x v="0"/>
    <x v="0"/>
    <m/>
    <x v="0"/>
    <x v="0"/>
    <n v="20"/>
    <m/>
    <m/>
    <m/>
    <m/>
    <m/>
    <m/>
    <n v="0.875"/>
    <n v="0.875"/>
    <n v="0.875"/>
    <n v="0.875"/>
    <n v="0.875"/>
    <n v="0.875"/>
    <n v="0.875"/>
    <n v="0.875"/>
    <n v="0.875"/>
    <n v="0.875"/>
    <n v="0.875"/>
    <n v="0.875"/>
    <n v="0.875"/>
    <n v="0.875"/>
    <n v="0.875"/>
    <n v="0"/>
    <n v="4.375"/>
  </r>
  <r>
    <n v="6871"/>
    <x v="5"/>
    <s v="0000/0261"/>
    <s v="80 Gwynne Road, 19 Lombard Road"/>
    <m/>
    <n v="526746"/>
    <n v="176345"/>
    <x v="11"/>
    <m/>
    <m/>
    <n v="0"/>
    <n v="101"/>
    <n v="101"/>
    <n v="151"/>
    <n v="151"/>
    <x v="1"/>
    <s v="Redevelopment"/>
    <s v="NONE"/>
    <m/>
    <m/>
    <x v="0"/>
    <s v="Nil"/>
    <m/>
    <s v="BF"/>
    <s v="NB"/>
    <x v="1"/>
    <x v="7"/>
    <n v="0"/>
    <m/>
    <x v="0"/>
    <m/>
    <x v="0"/>
    <s v="M"/>
    <s v="10.13"/>
    <n v="17320211"/>
    <n v="0"/>
    <n v="0"/>
    <n v="0"/>
    <n v="0"/>
    <n v="0"/>
    <n v="0"/>
    <n v="0"/>
    <n v="0"/>
    <n v="0"/>
    <n v="0"/>
    <n v="101"/>
    <n v="0"/>
    <n v="0"/>
    <n v="0"/>
    <n v="0"/>
    <n v="0"/>
    <n v="0"/>
    <n v="101"/>
    <n v="0"/>
    <n v="0"/>
    <n v="0"/>
    <n v="0"/>
    <n v="0"/>
    <n v="0"/>
    <n v="0"/>
    <n v="0"/>
    <n v="0"/>
    <n v="0"/>
    <n v="0"/>
    <n v="0"/>
    <n v="0"/>
    <n v="0"/>
    <x v="0"/>
    <x v="0"/>
    <x v="0"/>
    <x v="0"/>
    <x v="0"/>
    <m/>
    <x v="0"/>
    <x v="0"/>
    <n v="20"/>
    <m/>
    <m/>
    <m/>
    <m/>
    <m/>
    <m/>
    <n v="6.3125"/>
    <n v="6.3125"/>
    <n v="6.3125"/>
    <n v="6.3125"/>
    <n v="6.3125"/>
    <n v="6.3125"/>
    <n v="6.3125"/>
    <n v="6.3125"/>
    <n v="6.3125"/>
    <n v="6.3125"/>
    <n v="6.3125"/>
    <n v="6.3125"/>
    <n v="6.3125"/>
    <n v="6.3125"/>
    <n v="6.3125"/>
    <n v="0"/>
    <n v="31.5625"/>
  </r>
  <r>
    <n v="6871"/>
    <x v="5"/>
    <s v="0000/0261"/>
    <s v="80 Gwynne Road, 19 Lombard Road"/>
    <m/>
    <n v="526746"/>
    <n v="176345"/>
    <x v="11"/>
    <m/>
    <m/>
    <n v="0"/>
    <n v="30"/>
    <n v="30"/>
    <n v="151"/>
    <n v="151"/>
    <x v="1"/>
    <s v="Redevelopment"/>
    <s v="NONE"/>
    <m/>
    <m/>
    <x v="0"/>
    <s v="Nil"/>
    <m/>
    <s v="BF"/>
    <s v="NB"/>
    <x v="1"/>
    <x v="7"/>
    <n v="0"/>
    <m/>
    <x v="0"/>
    <m/>
    <x v="2"/>
    <s v="AA"/>
    <s v="10.13"/>
    <n v="17320211"/>
    <n v="0"/>
    <n v="0"/>
    <n v="0"/>
    <n v="0"/>
    <n v="0"/>
    <n v="0"/>
    <n v="0"/>
    <n v="0"/>
    <n v="0"/>
    <n v="0"/>
    <n v="30"/>
    <n v="0"/>
    <n v="0"/>
    <n v="0"/>
    <n v="0"/>
    <n v="0"/>
    <n v="0"/>
    <n v="30"/>
    <n v="0"/>
    <n v="0"/>
    <n v="0"/>
    <n v="0"/>
    <n v="0"/>
    <n v="0"/>
    <n v="0"/>
    <n v="0"/>
    <n v="0"/>
    <n v="0"/>
    <n v="0"/>
    <n v="0"/>
    <n v="0"/>
    <n v="0"/>
    <x v="0"/>
    <x v="0"/>
    <x v="0"/>
    <x v="0"/>
    <x v="0"/>
    <m/>
    <x v="0"/>
    <x v="0"/>
    <n v="20"/>
    <m/>
    <m/>
    <m/>
    <m/>
    <m/>
    <m/>
    <n v="1.875"/>
    <n v="1.875"/>
    <n v="1.875"/>
    <n v="1.875"/>
    <n v="1.875"/>
    <n v="1.875"/>
    <n v="1.875"/>
    <n v="1.875"/>
    <n v="1.875"/>
    <n v="1.875"/>
    <n v="1.875"/>
    <n v="1.875"/>
    <n v="1.875"/>
    <n v="1.875"/>
    <n v="1.875"/>
    <n v="0"/>
    <n v="9.375"/>
  </r>
  <r>
    <n v="6871"/>
    <x v="5"/>
    <s v="0000/0261"/>
    <s v="80 Gwynne Road, 19 Lombard Road"/>
    <m/>
    <n v="526746"/>
    <n v="176345"/>
    <x v="11"/>
    <m/>
    <m/>
    <n v="0"/>
    <n v="20"/>
    <n v="20"/>
    <n v="151"/>
    <n v="151"/>
    <x v="1"/>
    <s v="Redevelopment"/>
    <s v="NONE"/>
    <m/>
    <m/>
    <x v="0"/>
    <s v="Nil"/>
    <m/>
    <s v="BF"/>
    <s v="NB"/>
    <x v="1"/>
    <x v="7"/>
    <n v="0"/>
    <m/>
    <x v="0"/>
    <m/>
    <x v="1"/>
    <s v="ISO"/>
    <s v="10.13"/>
    <n v="17320211"/>
    <n v="0"/>
    <n v="0"/>
    <n v="0"/>
    <n v="0"/>
    <n v="0"/>
    <n v="0"/>
    <n v="0"/>
    <n v="0"/>
    <n v="0"/>
    <n v="0"/>
    <n v="20"/>
    <n v="0"/>
    <n v="0"/>
    <n v="0"/>
    <n v="0"/>
    <n v="0"/>
    <n v="0"/>
    <n v="20"/>
    <n v="0"/>
    <n v="0"/>
    <n v="0"/>
    <n v="0"/>
    <n v="0"/>
    <n v="0"/>
    <n v="0"/>
    <n v="0"/>
    <n v="0"/>
    <n v="0"/>
    <n v="0"/>
    <n v="0"/>
    <n v="0"/>
    <n v="0"/>
    <x v="0"/>
    <x v="0"/>
    <x v="0"/>
    <x v="0"/>
    <x v="0"/>
    <m/>
    <x v="0"/>
    <x v="0"/>
    <n v="20"/>
    <m/>
    <m/>
    <m/>
    <m/>
    <m/>
    <m/>
    <n v="1.25"/>
    <n v="1.25"/>
    <n v="1.25"/>
    <n v="1.25"/>
    <n v="1.25"/>
    <n v="1.25"/>
    <n v="1.25"/>
    <n v="1.25"/>
    <n v="1.25"/>
    <n v="1.25"/>
    <n v="1.25"/>
    <n v="1.25"/>
    <n v="1.25"/>
    <n v="1.25"/>
    <n v="1.25"/>
    <n v="0"/>
    <n v="6.25"/>
  </r>
  <r>
    <n v="6872"/>
    <x v="5"/>
    <s v="0000/0262"/>
    <s v="Tavelodge, 200 York Road"/>
    <m/>
    <n v="526497"/>
    <n v="175661"/>
    <x v="11"/>
    <m/>
    <m/>
    <n v="0"/>
    <n v="3"/>
    <n v="3"/>
    <n v="3"/>
    <n v="3"/>
    <x v="0"/>
    <s v="Redevelopment"/>
    <s v="NONE"/>
    <m/>
    <m/>
    <x v="0"/>
    <s v="Nil"/>
    <m/>
    <s v="BF"/>
    <s v="NB"/>
    <x v="0"/>
    <x v="5"/>
    <n v="0"/>
    <m/>
    <x v="0"/>
    <m/>
    <x v="0"/>
    <s v="M"/>
    <s v="10.16"/>
    <n v="17320342"/>
    <n v="0"/>
    <n v="0"/>
    <n v="0"/>
    <n v="0"/>
    <n v="0"/>
    <n v="0"/>
    <n v="0"/>
    <n v="0"/>
    <n v="0"/>
    <n v="0"/>
    <n v="3"/>
    <n v="0"/>
    <n v="0"/>
    <n v="0"/>
    <n v="0"/>
    <n v="0"/>
    <n v="0"/>
    <n v="3"/>
    <n v="0"/>
    <n v="0"/>
    <n v="0"/>
    <n v="0"/>
    <n v="0"/>
    <n v="0"/>
    <n v="0"/>
    <n v="0"/>
    <n v="0"/>
    <n v="0"/>
    <n v="0"/>
    <n v="0"/>
    <n v="0"/>
    <n v="0"/>
    <x v="0"/>
    <x v="0"/>
    <x v="0"/>
    <x v="0"/>
    <x v="0"/>
    <m/>
    <x v="1"/>
    <x v="0"/>
    <n v="20"/>
    <m/>
    <m/>
    <m/>
    <m/>
    <m/>
    <m/>
    <m/>
    <m/>
    <m/>
    <m/>
    <n v="0.25"/>
    <n v="0.25"/>
    <n v="0.25"/>
    <n v="0.25"/>
    <n v="0.25"/>
    <n v="0.25"/>
    <n v="0.25"/>
    <n v="0.25"/>
    <n v="0.25"/>
    <n v="0.25"/>
    <n v="0.25"/>
    <n v="0"/>
    <n v="0.25"/>
  </r>
  <r>
    <n v="6873"/>
    <x v="5"/>
    <s v="0000/0263"/>
    <s v="41-47 Chatfield Road"/>
    <m/>
    <n v="526409"/>
    <n v="175595"/>
    <x v="11"/>
    <m/>
    <m/>
    <n v="0"/>
    <n v="30"/>
    <n v="30"/>
    <n v="45"/>
    <n v="45"/>
    <x v="1"/>
    <s v="Redevelopment"/>
    <s v="NONE"/>
    <m/>
    <m/>
    <x v="0"/>
    <s v="Nil"/>
    <m/>
    <s v="BF"/>
    <s v="NB"/>
    <x v="1"/>
    <x v="7"/>
    <n v="0"/>
    <m/>
    <x v="0"/>
    <m/>
    <x v="0"/>
    <s v="M"/>
    <s v="10.6"/>
    <n v="17320215"/>
    <n v="0"/>
    <n v="0"/>
    <n v="0"/>
    <n v="0"/>
    <n v="0"/>
    <n v="0"/>
    <n v="0"/>
    <n v="0"/>
    <n v="0"/>
    <n v="0"/>
    <n v="30"/>
    <n v="0"/>
    <n v="0"/>
    <n v="0"/>
    <n v="0"/>
    <n v="0"/>
    <n v="0"/>
    <n v="30"/>
    <n v="0"/>
    <n v="0"/>
    <n v="0"/>
    <n v="0"/>
    <n v="0"/>
    <n v="0"/>
    <n v="0"/>
    <n v="0"/>
    <n v="0"/>
    <n v="0"/>
    <n v="0"/>
    <n v="0"/>
    <n v="0"/>
    <n v="0"/>
    <x v="0"/>
    <x v="0"/>
    <x v="0"/>
    <x v="0"/>
    <x v="0"/>
    <m/>
    <x v="1"/>
    <x v="0"/>
    <n v="20"/>
    <m/>
    <m/>
    <m/>
    <m/>
    <m/>
    <m/>
    <n v="1.875"/>
    <n v="1.875"/>
    <n v="1.875"/>
    <n v="1.875"/>
    <n v="1.875"/>
    <n v="1.875"/>
    <n v="1.875"/>
    <n v="1.875"/>
    <n v="1.875"/>
    <n v="1.875"/>
    <n v="1.875"/>
    <n v="1.875"/>
    <n v="1.875"/>
    <n v="1.875"/>
    <n v="1.875"/>
    <n v="0"/>
    <n v="9.375"/>
  </r>
  <r>
    <n v="6873"/>
    <x v="5"/>
    <s v="0000/0263"/>
    <s v="41-47 Chatfield Road"/>
    <m/>
    <n v="526409"/>
    <n v="175595"/>
    <x v="11"/>
    <m/>
    <m/>
    <n v="0"/>
    <n v="9"/>
    <n v="9"/>
    <n v="45"/>
    <n v="45"/>
    <x v="1"/>
    <s v="Redevelopment"/>
    <s v="NONE"/>
    <m/>
    <m/>
    <x v="0"/>
    <s v="Nil"/>
    <m/>
    <s v="BF"/>
    <s v="NB"/>
    <x v="0"/>
    <x v="5"/>
    <n v="0"/>
    <m/>
    <x v="0"/>
    <m/>
    <x v="2"/>
    <s v="AA"/>
    <s v="10.6"/>
    <n v="17320215"/>
    <n v="0"/>
    <n v="0"/>
    <n v="0"/>
    <n v="0"/>
    <n v="0"/>
    <n v="0"/>
    <n v="0"/>
    <n v="0"/>
    <n v="0"/>
    <n v="0"/>
    <n v="9"/>
    <n v="0"/>
    <n v="0"/>
    <n v="0"/>
    <n v="0"/>
    <n v="0"/>
    <n v="0"/>
    <n v="9"/>
    <n v="0"/>
    <n v="0"/>
    <n v="0"/>
    <n v="0"/>
    <n v="0"/>
    <n v="0"/>
    <n v="0"/>
    <n v="0"/>
    <n v="0"/>
    <n v="0"/>
    <n v="0"/>
    <n v="0"/>
    <n v="0"/>
    <n v="0"/>
    <x v="0"/>
    <x v="0"/>
    <x v="0"/>
    <x v="0"/>
    <x v="0"/>
    <m/>
    <x v="1"/>
    <x v="0"/>
    <n v="20"/>
    <m/>
    <m/>
    <m/>
    <m/>
    <m/>
    <m/>
    <n v="0.5625"/>
    <n v="0.5625"/>
    <n v="0.5625"/>
    <n v="0.5625"/>
    <n v="0.5625"/>
    <n v="0.5625"/>
    <n v="0.5625"/>
    <n v="0.5625"/>
    <n v="0.5625"/>
    <n v="0.5625"/>
    <n v="0.5625"/>
    <n v="0.5625"/>
    <n v="0.5625"/>
    <n v="0.5625"/>
    <n v="0.5625"/>
    <n v="0"/>
    <n v="2.8125"/>
  </r>
  <r>
    <n v="6873"/>
    <x v="5"/>
    <s v="0000/0263"/>
    <s v="41-47 Chatfield Road"/>
    <m/>
    <n v="526409"/>
    <n v="175595"/>
    <x v="11"/>
    <m/>
    <m/>
    <n v="0"/>
    <n v="6"/>
    <n v="6"/>
    <n v="45"/>
    <n v="45"/>
    <x v="1"/>
    <s v="Redevelopment"/>
    <s v="NONE"/>
    <m/>
    <m/>
    <x v="0"/>
    <s v="Nil"/>
    <m/>
    <s v="BF"/>
    <s v="NB"/>
    <x v="0"/>
    <x v="5"/>
    <n v="0"/>
    <m/>
    <x v="0"/>
    <m/>
    <x v="1"/>
    <s v="ISO"/>
    <s v="10.6"/>
    <n v="17320215"/>
    <n v="0"/>
    <n v="0"/>
    <n v="0"/>
    <n v="0"/>
    <n v="0"/>
    <n v="0"/>
    <n v="0"/>
    <n v="0"/>
    <n v="0"/>
    <n v="0"/>
    <n v="6"/>
    <n v="0"/>
    <n v="0"/>
    <n v="0"/>
    <n v="0"/>
    <n v="0"/>
    <n v="0"/>
    <n v="6"/>
    <n v="0"/>
    <n v="0"/>
    <n v="0"/>
    <n v="0"/>
    <n v="0"/>
    <n v="0"/>
    <n v="0"/>
    <n v="0"/>
    <n v="0"/>
    <n v="0"/>
    <n v="0"/>
    <n v="0"/>
    <n v="0"/>
    <n v="0"/>
    <x v="0"/>
    <x v="0"/>
    <x v="0"/>
    <x v="0"/>
    <x v="0"/>
    <m/>
    <x v="1"/>
    <x v="0"/>
    <n v="20"/>
    <m/>
    <m/>
    <m/>
    <m/>
    <m/>
    <m/>
    <n v="0.375"/>
    <n v="0.375"/>
    <n v="0.375"/>
    <n v="0.375"/>
    <n v="0.375"/>
    <n v="0.375"/>
    <n v="0.375"/>
    <n v="0.375"/>
    <n v="0.375"/>
    <n v="0.375"/>
    <n v="0.375"/>
    <n v="0.375"/>
    <n v="0.375"/>
    <n v="0.375"/>
    <n v="0.375"/>
    <n v="0"/>
    <n v="1.875"/>
  </r>
  <r>
    <n v="6874"/>
    <x v="5"/>
    <s v="0000/0264"/>
    <s v="Gartons Industrial Estate, Gartons Way"/>
    <m/>
    <n v="526442"/>
    <n v="175680"/>
    <x v="11"/>
    <m/>
    <m/>
    <n v="0"/>
    <n v="35"/>
    <n v="35"/>
    <n v="52"/>
    <n v="52"/>
    <x v="1"/>
    <s v="Redevelopment"/>
    <s v="NONE"/>
    <m/>
    <m/>
    <x v="0"/>
    <s v="Nil"/>
    <m/>
    <s v="BF"/>
    <s v="NB"/>
    <x v="1"/>
    <x v="7"/>
    <n v="0"/>
    <m/>
    <x v="0"/>
    <m/>
    <x v="0"/>
    <s v="M"/>
    <s v="10.8"/>
    <n v="17320341"/>
    <n v="0"/>
    <n v="0"/>
    <n v="0"/>
    <n v="0"/>
    <n v="0"/>
    <n v="0"/>
    <n v="0"/>
    <n v="0"/>
    <n v="0"/>
    <n v="0"/>
    <n v="35"/>
    <n v="0"/>
    <n v="0"/>
    <n v="0"/>
    <n v="0"/>
    <n v="0"/>
    <n v="0"/>
    <n v="35"/>
    <n v="0"/>
    <n v="0"/>
    <n v="0"/>
    <n v="0"/>
    <n v="0"/>
    <n v="0"/>
    <n v="0"/>
    <n v="0"/>
    <n v="0"/>
    <n v="0"/>
    <n v="0"/>
    <n v="0"/>
    <n v="0"/>
    <n v="0"/>
    <x v="0"/>
    <x v="0"/>
    <x v="0"/>
    <x v="0"/>
    <x v="0"/>
    <m/>
    <x v="1"/>
    <x v="0"/>
    <n v="20"/>
    <m/>
    <m/>
    <m/>
    <m/>
    <m/>
    <m/>
    <n v="2.1875"/>
    <n v="2.1875"/>
    <n v="2.1875"/>
    <n v="2.1875"/>
    <n v="2.1875"/>
    <n v="2.1875"/>
    <n v="2.1875"/>
    <n v="2.1875"/>
    <n v="2.1875"/>
    <n v="2.1875"/>
    <n v="2.1875"/>
    <n v="2.1875"/>
    <n v="2.1875"/>
    <n v="2.1875"/>
    <n v="2.1875"/>
    <n v="0"/>
    <n v="10.9375"/>
  </r>
  <r>
    <n v="6874"/>
    <x v="5"/>
    <s v="0000/0264"/>
    <s v="Gartons Industrial Estate, Gartons Way"/>
    <m/>
    <n v="526442"/>
    <n v="175680"/>
    <x v="11"/>
    <m/>
    <m/>
    <n v="0"/>
    <n v="10"/>
    <n v="10"/>
    <n v="52"/>
    <n v="52"/>
    <x v="1"/>
    <s v="Redevelopment"/>
    <s v="NONE"/>
    <m/>
    <m/>
    <x v="0"/>
    <s v="Nil"/>
    <m/>
    <s v="BF"/>
    <s v="NB"/>
    <x v="1"/>
    <x v="7"/>
    <n v="0"/>
    <m/>
    <x v="0"/>
    <m/>
    <x v="2"/>
    <s v="AA"/>
    <s v="10.8"/>
    <n v="17320341"/>
    <n v="0"/>
    <n v="0"/>
    <n v="0"/>
    <n v="0"/>
    <n v="0"/>
    <n v="0"/>
    <n v="0"/>
    <n v="0"/>
    <n v="0"/>
    <n v="0"/>
    <n v="10"/>
    <n v="0"/>
    <n v="0"/>
    <n v="0"/>
    <n v="0"/>
    <n v="0"/>
    <n v="0"/>
    <n v="10"/>
    <n v="0"/>
    <n v="0"/>
    <n v="0"/>
    <n v="0"/>
    <n v="0"/>
    <n v="0"/>
    <n v="0"/>
    <n v="0"/>
    <n v="0"/>
    <n v="0"/>
    <n v="0"/>
    <n v="0"/>
    <n v="0"/>
    <n v="0"/>
    <x v="0"/>
    <x v="0"/>
    <x v="0"/>
    <x v="0"/>
    <x v="0"/>
    <m/>
    <x v="1"/>
    <x v="0"/>
    <n v="20"/>
    <m/>
    <m/>
    <m/>
    <m/>
    <m/>
    <m/>
    <n v="0.625"/>
    <n v="0.625"/>
    <n v="0.625"/>
    <n v="0.625"/>
    <n v="0.625"/>
    <n v="0.625"/>
    <n v="0.625"/>
    <n v="0.625"/>
    <n v="0.625"/>
    <n v="0.625"/>
    <n v="0.625"/>
    <n v="0.625"/>
    <n v="0.625"/>
    <n v="0.625"/>
    <n v="0.625"/>
    <n v="0"/>
    <n v="3.125"/>
  </r>
  <r>
    <n v="6874"/>
    <x v="5"/>
    <s v="0000/0264"/>
    <s v="Gartons Industrial Estate, Gartons Way"/>
    <m/>
    <n v="526442"/>
    <n v="175680"/>
    <x v="11"/>
    <m/>
    <m/>
    <n v="0"/>
    <n v="7"/>
    <n v="7"/>
    <n v="52"/>
    <n v="52"/>
    <x v="1"/>
    <s v="Redevelopment"/>
    <s v="NONE"/>
    <m/>
    <m/>
    <x v="0"/>
    <s v="Nil"/>
    <m/>
    <s v="BF"/>
    <s v="NB"/>
    <x v="0"/>
    <x v="5"/>
    <n v="0"/>
    <m/>
    <x v="0"/>
    <m/>
    <x v="1"/>
    <s v="ISO"/>
    <s v="10.8"/>
    <n v="17320341"/>
    <n v="0"/>
    <n v="0"/>
    <n v="0"/>
    <n v="0"/>
    <n v="0"/>
    <n v="0"/>
    <n v="0"/>
    <n v="0"/>
    <n v="0"/>
    <n v="0"/>
    <n v="7"/>
    <n v="0"/>
    <n v="0"/>
    <n v="0"/>
    <n v="0"/>
    <n v="0"/>
    <n v="0"/>
    <n v="7"/>
    <n v="0"/>
    <n v="0"/>
    <n v="0"/>
    <n v="0"/>
    <n v="0"/>
    <n v="0"/>
    <n v="0"/>
    <n v="0"/>
    <n v="0"/>
    <n v="0"/>
    <n v="0"/>
    <n v="0"/>
    <n v="0"/>
    <n v="0"/>
    <x v="0"/>
    <x v="0"/>
    <x v="0"/>
    <x v="0"/>
    <x v="0"/>
    <m/>
    <x v="1"/>
    <x v="0"/>
    <n v="20"/>
    <m/>
    <m/>
    <m/>
    <m/>
    <m/>
    <m/>
    <n v="0.4375"/>
    <n v="0.4375"/>
    <n v="0.4375"/>
    <n v="0.4375"/>
    <n v="0.4375"/>
    <n v="0.4375"/>
    <n v="0.4375"/>
    <n v="0.4375"/>
    <n v="0.4375"/>
    <n v="0.4375"/>
    <n v="0.4375"/>
    <n v="0.4375"/>
    <n v="0.4375"/>
    <n v="0.4375"/>
    <n v="0.4375"/>
    <n v="0"/>
    <n v="2.1875"/>
  </r>
  <r>
    <n v="6876"/>
    <x v="5"/>
    <s v="0000/0266"/>
    <s v="Heliport Estate, Lombard Road"/>
    <m/>
    <n v="526665"/>
    <n v="176051"/>
    <x v="11"/>
    <m/>
    <m/>
    <n v="0"/>
    <n v="60"/>
    <n v="60"/>
    <n v="90"/>
    <n v="90"/>
    <x v="1"/>
    <s v="Redevelopment"/>
    <s v="NONE"/>
    <m/>
    <m/>
    <x v="0"/>
    <s v="Nil"/>
    <m/>
    <s v="BF"/>
    <s v="NB"/>
    <x v="1"/>
    <x v="7"/>
    <n v="0"/>
    <m/>
    <x v="0"/>
    <m/>
    <x v="0"/>
    <s v="M"/>
    <s v="10.3"/>
    <n v="17320216"/>
    <n v="0"/>
    <n v="0"/>
    <n v="0"/>
    <n v="0"/>
    <n v="0"/>
    <n v="0"/>
    <n v="0"/>
    <n v="0"/>
    <n v="0"/>
    <n v="0"/>
    <n v="60"/>
    <n v="0"/>
    <n v="0"/>
    <n v="0"/>
    <n v="0"/>
    <n v="0"/>
    <n v="0"/>
    <n v="60"/>
    <n v="0"/>
    <n v="0"/>
    <n v="0"/>
    <n v="0"/>
    <n v="0"/>
    <n v="0"/>
    <n v="0"/>
    <n v="0"/>
    <n v="0"/>
    <n v="0"/>
    <n v="0"/>
    <n v="0"/>
    <n v="0"/>
    <n v="0"/>
    <x v="0"/>
    <x v="0"/>
    <x v="0"/>
    <x v="0"/>
    <x v="0"/>
    <m/>
    <x v="1"/>
    <x v="0"/>
    <n v="20"/>
    <m/>
    <m/>
    <m/>
    <m/>
    <m/>
    <m/>
    <n v="3.75"/>
    <n v="3.75"/>
    <n v="3.75"/>
    <n v="3.75"/>
    <n v="3.75"/>
    <n v="3.75"/>
    <n v="3.75"/>
    <n v="3.75"/>
    <n v="3.75"/>
    <n v="3.75"/>
    <n v="3.75"/>
    <n v="3.75"/>
    <n v="3.75"/>
    <n v="3.75"/>
    <n v="3.75"/>
    <n v="0"/>
    <n v="18.75"/>
  </r>
  <r>
    <n v="6876"/>
    <x v="5"/>
    <s v="0000/0266"/>
    <s v="Heliport Estate, Lombard Road"/>
    <m/>
    <n v="526665"/>
    <n v="176051"/>
    <x v="11"/>
    <m/>
    <m/>
    <n v="0"/>
    <n v="18"/>
    <n v="18"/>
    <n v="90"/>
    <n v="90"/>
    <x v="1"/>
    <s v="Redevelopment"/>
    <s v="NONE"/>
    <m/>
    <m/>
    <x v="0"/>
    <s v="Nil"/>
    <m/>
    <s v="BF"/>
    <s v="NB"/>
    <x v="1"/>
    <x v="7"/>
    <n v="0"/>
    <m/>
    <x v="0"/>
    <m/>
    <x v="2"/>
    <s v="AA"/>
    <s v="10.3"/>
    <n v="17320216"/>
    <n v="0"/>
    <n v="0"/>
    <n v="0"/>
    <n v="0"/>
    <n v="0"/>
    <n v="0"/>
    <n v="0"/>
    <n v="0"/>
    <n v="0"/>
    <n v="0"/>
    <n v="18"/>
    <n v="0"/>
    <n v="0"/>
    <n v="0"/>
    <n v="0"/>
    <n v="0"/>
    <n v="0"/>
    <n v="18"/>
    <n v="0"/>
    <n v="0"/>
    <n v="0"/>
    <n v="0"/>
    <n v="0"/>
    <n v="0"/>
    <n v="0"/>
    <n v="0"/>
    <n v="0"/>
    <n v="0"/>
    <n v="0"/>
    <n v="0"/>
    <n v="0"/>
    <n v="0"/>
    <x v="0"/>
    <x v="0"/>
    <x v="0"/>
    <x v="0"/>
    <x v="0"/>
    <m/>
    <x v="1"/>
    <x v="0"/>
    <n v="20"/>
    <m/>
    <m/>
    <m/>
    <m/>
    <m/>
    <m/>
    <n v="1.125"/>
    <n v="1.125"/>
    <n v="1.125"/>
    <n v="1.125"/>
    <n v="1.125"/>
    <n v="1.125"/>
    <n v="1.125"/>
    <n v="1.125"/>
    <n v="1.125"/>
    <n v="1.125"/>
    <n v="1.125"/>
    <n v="1.125"/>
    <n v="1.125"/>
    <n v="1.125"/>
    <n v="1.125"/>
    <n v="0"/>
    <n v="5.625"/>
  </r>
  <r>
    <n v="6876"/>
    <x v="5"/>
    <s v="0000/0266"/>
    <s v="Heliport Estate, Lombard Road"/>
    <m/>
    <n v="526665"/>
    <n v="176051"/>
    <x v="11"/>
    <m/>
    <m/>
    <n v="0"/>
    <n v="12"/>
    <n v="12"/>
    <n v="90"/>
    <n v="90"/>
    <x v="1"/>
    <s v="Redevelopment"/>
    <s v="NONE"/>
    <m/>
    <m/>
    <x v="0"/>
    <s v="Nil"/>
    <m/>
    <s v="BF"/>
    <s v="NB"/>
    <x v="1"/>
    <x v="7"/>
    <n v="0"/>
    <m/>
    <x v="0"/>
    <m/>
    <x v="1"/>
    <s v="ISO"/>
    <s v="10.3"/>
    <n v="17320216"/>
    <n v="0"/>
    <n v="0"/>
    <n v="0"/>
    <n v="0"/>
    <n v="0"/>
    <n v="0"/>
    <n v="0"/>
    <n v="0"/>
    <n v="0"/>
    <n v="0"/>
    <n v="12"/>
    <n v="0"/>
    <n v="0"/>
    <n v="0"/>
    <n v="0"/>
    <n v="0"/>
    <n v="0"/>
    <n v="12"/>
    <n v="0"/>
    <n v="0"/>
    <n v="0"/>
    <n v="0"/>
    <n v="0"/>
    <n v="0"/>
    <n v="0"/>
    <n v="0"/>
    <n v="0"/>
    <n v="0"/>
    <n v="0"/>
    <n v="0"/>
    <n v="0"/>
    <n v="0"/>
    <x v="0"/>
    <x v="0"/>
    <x v="0"/>
    <x v="0"/>
    <x v="0"/>
    <m/>
    <x v="1"/>
    <x v="0"/>
    <n v="20"/>
    <m/>
    <m/>
    <m/>
    <m/>
    <m/>
    <m/>
    <n v="0.75"/>
    <n v="0.75"/>
    <n v="0.75"/>
    <n v="0.75"/>
    <n v="0.75"/>
    <n v="0.75"/>
    <n v="0.75"/>
    <n v="0.75"/>
    <n v="0.75"/>
    <n v="0.75"/>
    <n v="0.75"/>
    <n v="0.75"/>
    <n v="0.75"/>
    <n v="0.75"/>
    <n v="0.75"/>
    <n v="0"/>
    <n v="3.75"/>
  </r>
  <r>
    <n v="6877"/>
    <x v="5"/>
    <s v="0000/0267"/>
    <s v="Cable and Wireless Ballymore Site 6, 2a Battersea Park Road"/>
    <m/>
    <n v="529311"/>
    <n v="177427"/>
    <x v="12"/>
    <m/>
    <m/>
    <n v="0"/>
    <n v="59"/>
    <n v="59"/>
    <n v="69"/>
    <n v="69"/>
    <x v="1"/>
    <s v="Redevelopment"/>
    <s v="NONE"/>
    <m/>
    <m/>
    <x v="0"/>
    <s v="Nil"/>
    <m/>
    <s v="BF"/>
    <s v="NB"/>
    <x v="1"/>
    <x v="7"/>
    <n v="0"/>
    <m/>
    <x v="0"/>
    <m/>
    <x v="0"/>
    <s v="M"/>
    <s v="2.1.11"/>
    <n v="17320349"/>
    <n v="0"/>
    <n v="0"/>
    <n v="0"/>
    <n v="0"/>
    <n v="0"/>
    <n v="0"/>
    <n v="0"/>
    <n v="0"/>
    <n v="0"/>
    <n v="0"/>
    <n v="59"/>
    <n v="0"/>
    <n v="0"/>
    <n v="0"/>
    <n v="0"/>
    <n v="0"/>
    <n v="0"/>
    <n v="59"/>
    <n v="0"/>
    <n v="0"/>
    <n v="0"/>
    <n v="0"/>
    <n v="0"/>
    <n v="0"/>
    <n v="0"/>
    <n v="0"/>
    <n v="0"/>
    <n v="0"/>
    <n v="0"/>
    <n v="0"/>
    <n v="0"/>
    <n v="0"/>
    <x v="0"/>
    <x v="1"/>
    <x v="0"/>
    <x v="0"/>
    <x v="0"/>
    <m/>
    <x v="0"/>
    <x v="0"/>
    <n v="21"/>
    <m/>
    <m/>
    <m/>
    <m/>
    <m/>
    <m/>
    <n v="59"/>
    <m/>
    <m/>
    <m/>
    <m/>
    <m/>
    <m/>
    <m/>
    <m/>
    <m/>
    <m/>
    <m/>
    <m/>
    <m/>
    <m/>
    <n v="0"/>
    <n v="59"/>
  </r>
  <r>
    <n v="6877"/>
    <x v="5"/>
    <s v="0000/0267"/>
    <s v="Cable and Wireless Ballymore Site 6, 2a Battersea Park Road"/>
    <m/>
    <n v="529311"/>
    <n v="177427"/>
    <x v="12"/>
    <m/>
    <m/>
    <n v="0"/>
    <n v="6"/>
    <n v="6"/>
    <n v="69"/>
    <n v="69"/>
    <x v="1"/>
    <s v="Redevelopment"/>
    <s v="NONE"/>
    <m/>
    <m/>
    <x v="0"/>
    <s v="Nil"/>
    <m/>
    <s v="BF"/>
    <s v="NB"/>
    <x v="0"/>
    <x v="5"/>
    <n v="0"/>
    <m/>
    <x v="0"/>
    <m/>
    <x v="2"/>
    <s v="AA"/>
    <s v="2.1.11"/>
    <n v="17320349"/>
    <n v="0"/>
    <n v="0"/>
    <n v="0"/>
    <n v="0"/>
    <n v="0"/>
    <n v="0"/>
    <n v="0"/>
    <n v="0"/>
    <n v="0"/>
    <n v="0"/>
    <n v="6"/>
    <n v="0"/>
    <n v="0"/>
    <n v="0"/>
    <n v="0"/>
    <n v="0"/>
    <n v="0"/>
    <n v="6"/>
    <n v="0"/>
    <n v="0"/>
    <n v="0"/>
    <n v="0"/>
    <n v="0"/>
    <n v="0"/>
    <n v="0"/>
    <n v="0"/>
    <n v="0"/>
    <n v="0"/>
    <n v="0"/>
    <n v="0"/>
    <n v="0"/>
    <n v="0"/>
    <x v="0"/>
    <x v="1"/>
    <x v="0"/>
    <x v="0"/>
    <x v="0"/>
    <m/>
    <x v="0"/>
    <x v="0"/>
    <n v="21"/>
    <m/>
    <m/>
    <m/>
    <m/>
    <m/>
    <m/>
    <n v="6"/>
    <m/>
    <m/>
    <m/>
    <m/>
    <m/>
    <m/>
    <m/>
    <m/>
    <m/>
    <m/>
    <m/>
    <m/>
    <m/>
    <m/>
    <n v="0"/>
    <n v="6"/>
  </r>
  <r>
    <n v="6877"/>
    <x v="5"/>
    <s v="0000/0267"/>
    <s v="Cable and Wireless Ballymore Site 6, 2a Battersea Park Road"/>
    <m/>
    <n v="529311"/>
    <n v="177427"/>
    <x v="12"/>
    <m/>
    <m/>
    <n v="0"/>
    <n v="4"/>
    <n v="4"/>
    <n v="69"/>
    <n v="69"/>
    <x v="1"/>
    <s v="Redevelopment"/>
    <s v="NONE"/>
    <m/>
    <m/>
    <x v="0"/>
    <s v="Nil"/>
    <m/>
    <s v="BF"/>
    <s v="NB"/>
    <x v="0"/>
    <x v="5"/>
    <n v="0"/>
    <m/>
    <x v="0"/>
    <m/>
    <x v="1"/>
    <s v="IU"/>
    <s v="2.1.11"/>
    <n v="17320349"/>
    <n v="0"/>
    <n v="0"/>
    <n v="0"/>
    <n v="0"/>
    <n v="0"/>
    <n v="0"/>
    <n v="0"/>
    <n v="0"/>
    <n v="0"/>
    <n v="0"/>
    <n v="4"/>
    <n v="0"/>
    <n v="0"/>
    <n v="0"/>
    <n v="0"/>
    <n v="0"/>
    <n v="0"/>
    <n v="4"/>
    <n v="0"/>
    <n v="0"/>
    <n v="0"/>
    <n v="0"/>
    <n v="0"/>
    <n v="0"/>
    <n v="0"/>
    <n v="0"/>
    <n v="0"/>
    <n v="0"/>
    <n v="0"/>
    <n v="0"/>
    <n v="0"/>
    <n v="0"/>
    <x v="0"/>
    <x v="1"/>
    <x v="0"/>
    <x v="0"/>
    <x v="0"/>
    <m/>
    <x v="0"/>
    <x v="0"/>
    <n v="21"/>
    <m/>
    <m/>
    <m/>
    <m/>
    <m/>
    <m/>
    <n v="4"/>
    <m/>
    <m/>
    <m/>
    <m/>
    <m/>
    <m/>
    <m/>
    <m/>
    <m/>
    <m/>
    <m/>
    <m/>
    <m/>
    <m/>
    <n v="0"/>
    <n v="4"/>
  </r>
  <r>
    <n v="6889"/>
    <x v="5"/>
    <s v="0000/0268"/>
    <s v="Securicor Site, 80 Kirtling Street"/>
    <m/>
    <n v="529292"/>
    <n v="177503"/>
    <x v="12"/>
    <m/>
    <m/>
    <n v="0"/>
    <n v="79"/>
    <n v="79"/>
    <n v="93"/>
    <n v="93"/>
    <x v="1"/>
    <s v="Redevelopment"/>
    <s v="NONE"/>
    <m/>
    <m/>
    <x v="0"/>
    <s v="Nil"/>
    <m/>
    <s v="BF"/>
    <s v="NB"/>
    <x v="1"/>
    <x v="7"/>
    <n v="0"/>
    <m/>
    <x v="0"/>
    <m/>
    <x v="0"/>
    <s v="M"/>
    <s v="2.1.17"/>
    <n v="17320103"/>
    <n v="0"/>
    <n v="0"/>
    <n v="0"/>
    <n v="0"/>
    <n v="0"/>
    <n v="0"/>
    <n v="0"/>
    <n v="0"/>
    <n v="0"/>
    <n v="0"/>
    <n v="79"/>
    <n v="0"/>
    <n v="0"/>
    <n v="0"/>
    <n v="0"/>
    <n v="0"/>
    <n v="0"/>
    <n v="79"/>
    <n v="0"/>
    <n v="0"/>
    <n v="0"/>
    <n v="0"/>
    <n v="0"/>
    <n v="0"/>
    <n v="0"/>
    <n v="0"/>
    <n v="0"/>
    <n v="0"/>
    <n v="0"/>
    <n v="0"/>
    <n v="0"/>
    <n v="0"/>
    <x v="0"/>
    <x v="1"/>
    <x v="0"/>
    <x v="0"/>
    <x v="0"/>
    <m/>
    <x v="0"/>
    <x v="0"/>
    <n v="21"/>
    <m/>
    <m/>
    <m/>
    <m/>
    <m/>
    <m/>
    <n v="79"/>
    <m/>
    <m/>
    <m/>
    <m/>
    <m/>
    <m/>
    <m/>
    <m/>
    <m/>
    <m/>
    <m/>
    <m/>
    <m/>
    <m/>
    <n v="0"/>
    <n v="79"/>
  </r>
  <r>
    <n v="6889"/>
    <x v="5"/>
    <s v="0000/0268"/>
    <s v="Securicor Site, 80 Kirtling Street"/>
    <m/>
    <n v="529292"/>
    <n v="177503"/>
    <x v="12"/>
    <m/>
    <m/>
    <n v="0"/>
    <n v="8"/>
    <n v="8"/>
    <n v="93"/>
    <n v="93"/>
    <x v="1"/>
    <s v="Redevelopment"/>
    <s v="NONE"/>
    <m/>
    <m/>
    <x v="0"/>
    <s v="Nil"/>
    <m/>
    <s v="BF"/>
    <s v="NB"/>
    <x v="0"/>
    <x v="5"/>
    <n v="0"/>
    <m/>
    <x v="0"/>
    <m/>
    <x v="2"/>
    <s v="AA"/>
    <s v="2.1.17"/>
    <n v="17320103"/>
    <n v="0"/>
    <n v="0"/>
    <n v="0"/>
    <n v="0"/>
    <n v="0"/>
    <n v="0"/>
    <n v="0"/>
    <n v="0"/>
    <n v="0"/>
    <n v="0"/>
    <n v="8"/>
    <n v="0"/>
    <n v="0"/>
    <n v="0"/>
    <n v="0"/>
    <n v="0"/>
    <n v="0"/>
    <n v="8"/>
    <n v="0"/>
    <n v="0"/>
    <n v="0"/>
    <n v="0"/>
    <n v="0"/>
    <n v="0"/>
    <n v="0"/>
    <n v="0"/>
    <n v="0"/>
    <n v="0"/>
    <n v="0"/>
    <n v="0"/>
    <n v="0"/>
    <n v="0"/>
    <x v="0"/>
    <x v="1"/>
    <x v="0"/>
    <x v="0"/>
    <x v="0"/>
    <m/>
    <x v="0"/>
    <x v="0"/>
    <n v="21"/>
    <m/>
    <m/>
    <m/>
    <m/>
    <m/>
    <m/>
    <n v="8"/>
    <m/>
    <m/>
    <m/>
    <m/>
    <m/>
    <m/>
    <m/>
    <m/>
    <m/>
    <m/>
    <m/>
    <m/>
    <m/>
    <m/>
    <n v="0"/>
    <n v="8"/>
  </r>
  <r>
    <n v="6889"/>
    <x v="5"/>
    <s v="0000/0268"/>
    <s v="Securicor Site, 80 Kirtling Street"/>
    <m/>
    <n v="529292"/>
    <n v="177503"/>
    <x v="12"/>
    <m/>
    <m/>
    <n v="0"/>
    <n v="6"/>
    <n v="6"/>
    <n v="93"/>
    <n v="93"/>
    <x v="1"/>
    <s v="Redevelopment"/>
    <s v="NONE"/>
    <m/>
    <m/>
    <x v="0"/>
    <s v="Nil"/>
    <m/>
    <s v="BF"/>
    <s v="NB"/>
    <x v="0"/>
    <x v="5"/>
    <n v="0"/>
    <m/>
    <x v="0"/>
    <m/>
    <x v="1"/>
    <s v="IU"/>
    <s v="2.1.17"/>
    <n v="17320103"/>
    <n v="0"/>
    <n v="0"/>
    <n v="0"/>
    <n v="0"/>
    <n v="0"/>
    <n v="0"/>
    <n v="0"/>
    <n v="0"/>
    <n v="0"/>
    <n v="0"/>
    <n v="6"/>
    <n v="0"/>
    <n v="0"/>
    <n v="0"/>
    <n v="0"/>
    <n v="0"/>
    <n v="0"/>
    <n v="6"/>
    <n v="0"/>
    <n v="0"/>
    <n v="0"/>
    <n v="0"/>
    <n v="0"/>
    <n v="0"/>
    <n v="0"/>
    <n v="0"/>
    <n v="0"/>
    <n v="0"/>
    <n v="0"/>
    <n v="0"/>
    <n v="0"/>
    <n v="0"/>
    <x v="0"/>
    <x v="1"/>
    <x v="0"/>
    <x v="0"/>
    <x v="0"/>
    <m/>
    <x v="0"/>
    <x v="0"/>
    <n v="21"/>
    <m/>
    <m/>
    <m/>
    <m/>
    <m/>
    <m/>
    <n v="6"/>
    <m/>
    <m/>
    <m/>
    <m/>
    <m/>
    <m/>
    <m/>
    <m/>
    <m/>
    <m/>
    <m/>
    <m/>
    <m/>
    <m/>
    <n v="0"/>
    <n v="6"/>
  </r>
  <r>
    <n v="6890"/>
    <x v="5"/>
    <s v="0000/0269"/>
    <s v="Metropolitan Police Warehouse Garage, Ponton Road"/>
    <m/>
    <n v="529517"/>
    <n v="177263"/>
    <x v="12"/>
    <m/>
    <m/>
    <n v="0"/>
    <n v="43"/>
    <n v="43"/>
    <n v="51"/>
    <n v="51"/>
    <x v="1"/>
    <s v="Redevelopment"/>
    <s v="NONE"/>
    <m/>
    <m/>
    <x v="0"/>
    <s v="Nil"/>
    <m/>
    <s v="BF"/>
    <s v="NB"/>
    <x v="1"/>
    <x v="7"/>
    <n v="0"/>
    <m/>
    <x v="0"/>
    <m/>
    <x v="0"/>
    <s v="M"/>
    <s v="2.1.21"/>
    <n v="17320133"/>
    <n v="0"/>
    <n v="0"/>
    <n v="0"/>
    <n v="0"/>
    <n v="0"/>
    <n v="0"/>
    <n v="0"/>
    <n v="0"/>
    <n v="0"/>
    <n v="0"/>
    <n v="43"/>
    <n v="0"/>
    <n v="0"/>
    <n v="0"/>
    <n v="0"/>
    <n v="0"/>
    <n v="0"/>
    <n v="43"/>
    <n v="0"/>
    <n v="0"/>
    <n v="0"/>
    <n v="0"/>
    <n v="0"/>
    <n v="0"/>
    <n v="0"/>
    <n v="0"/>
    <n v="0"/>
    <n v="0"/>
    <n v="0"/>
    <n v="0"/>
    <n v="0"/>
    <n v="0"/>
    <x v="0"/>
    <x v="1"/>
    <x v="0"/>
    <x v="0"/>
    <x v="0"/>
    <m/>
    <x v="0"/>
    <x v="0"/>
    <n v="21"/>
    <m/>
    <m/>
    <m/>
    <m/>
    <m/>
    <m/>
    <n v="43"/>
    <m/>
    <m/>
    <m/>
    <m/>
    <m/>
    <m/>
    <m/>
    <m/>
    <m/>
    <m/>
    <m/>
    <m/>
    <m/>
    <m/>
    <n v="0"/>
    <n v="43"/>
  </r>
  <r>
    <n v="6890"/>
    <x v="5"/>
    <s v="0000/0269"/>
    <s v="Metropolitan Police Warehouse Garage, Ponton Road"/>
    <m/>
    <n v="529517"/>
    <n v="177263"/>
    <x v="12"/>
    <m/>
    <m/>
    <n v="0"/>
    <n v="5"/>
    <n v="5"/>
    <n v="51"/>
    <n v="51"/>
    <x v="1"/>
    <s v="Redevelopment"/>
    <s v="NONE"/>
    <m/>
    <m/>
    <x v="0"/>
    <s v="Nil"/>
    <m/>
    <s v="BF"/>
    <s v="NB"/>
    <x v="0"/>
    <x v="5"/>
    <n v="0"/>
    <m/>
    <x v="0"/>
    <m/>
    <x v="2"/>
    <s v="AA"/>
    <s v="2.1.21"/>
    <n v="17320133"/>
    <n v="0"/>
    <n v="0"/>
    <n v="0"/>
    <n v="0"/>
    <n v="0"/>
    <n v="0"/>
    <n v="0"/>
    <n v="0"/>
    <n v="0"/>
    <n v="0"/>
    <n v="5"/>
    <n v="0"/>
    <n v="0"/>
    <n v="0"/>
    <n v="0"/>
    <n v="0"/>
    <n v="0"/>
    <n v="5"/>
    <n v="0"/>
    <n v="0"/>
    <n v="0"/>
    <n v="0"/>
    <n v="0"/>
    <n v="0"/>
    <n v="0"/>
    <n v="0"/>
    <n v="0"/>
    <n v="0"/>
    <n v="0"/>
    <n v="0"/>
    <n v="0"/>
    <n v="0"/>
    <x v="0"/>
    <x v="1"/>
    <x v="0"/>
    <x v="0"/>
    <x v="0"/>
    <m/>
    <x v="0"/>
    <x v="0"/>
    <n v="21"/>
    <m/>
    <m/>
    <m/>
    <m/>
    <m/>
    <m/>
    <n v="5"/>
    <m/>
    <m/>
    <m/>
    <m/>
    <m/>
    <m/>
    <m/>
    <m/>
    <m/>
    <m/>
    <m/>
    <m/>
    <m/>
    <m/>
    <n v="0"/>
    <n v="5"/>
  </r>
  <r>
    <n v="6890"/>
    <x v="5"/>
    <s v="0000/0269"/>
    <s v="Metropolitan Police Warehouse Garage, Ponton Road"/>
    <m/>
    <n v="529517"/>
    <n v="177263"/>
    <x v="12"/>
    <m/>
    <m/>
    <n v="0"/>
    <n v="3"/>
    <n v="3"/>
    <n v="51"/>
    <n v="51"/>
    <x v="1"/>
    <s v="Redevelopment"/>
    <s v="NONE"/>
    <m/>
    <m/>
    <x v="0"/>
    <s v="Nil"/>
    <m/>
    <s v="BF"/>
    <s v="NB"/>
    <x v="0"/>
    <x v="5"/>
    <n v="0"/>
    <m/>
    <x v="0"/>
    <m/>
    <x v="1"/>
    <s v="IU"/>
    <s v="2.1.21"/>
    <n v="17320133"/>
    <n v="0"/>
    <n v="0"/>
    <n v="0"/>
    <n v="0"/>
    <n v="0"/>
    <n v="0"/>
    <n v="0"/>
    <n v="0"/>
    <n v="0"/>
    <n v="0"/>
    <n v="3"/>
    <n v="0"/>
    <n v="0"/>
    <n v="0"/>
    <n v="0"/>
    <n v="0"/>
    <n v="0"/>
    <n v="3"/>
    <n v="0"/>
    <n v="0"/>
    <n v="0"/>
    <n v="0"/>
    <n v="0"/>
    <n v="0"/>
    <n v="0"/>
    <n v="0"/>
    <n v="0"/>
    <n v="0"/>
    <n v="0"/>
    <n v="0"/>
    <n v="0"/>
    <n v="0"/>
    <x v="0"/>
    <x v="1"/>
    <x v="0"/>
    <x v="0"/>
    <x v="0"/>
    <m/>
    <x v="0"/>
    <x v="0"/>
    <n v="21"/>
    <m/>
    <m/>
    <m/>
    <m/>
    <m/>
    <m/>
    <n v="3"/>
    <m/>
    <m/>
    <m/>
    <m/>
    <m/>
    <m/>
    <m/>
    <m/>
    <m/>
    <m/>
    <m/>
    <m/>
    <m/>
    <m/>
    <n v="0"/>
    <n v="3"/>
  </r>
  <r>
    <n v="6891"/>
    <x v="5"/>
    <s v="0000/0270"/>
    <s v="Causeway Island including Land to the east, The Causeway"/>
    <m/>
    <n v="525542"/>
    <n v="175021"/>
    <x v="2"/>
    <m/>
    <m/>
    <n v="0"/>
    <n v="35"/>
    <n v="35"/>
    <n v="52"/>
    <n v="52"/>
    <x v="1"/>
    <s v="Redevelopment"/>
    <s v="NONE"/>
    <m/>
    <m/>
    <x v="0"/>
    <s v="Nil"/>
    <m/>
    <s v="BF"/>
    <s v="NB"/>
    <x v="1"/>
    <x v="7"/>
    <n v="0"/>
    <m/>
    <x v="0"/>
    <m/>
    <x v="0"/>
    <s v="M"/>
    <s v="3.2.1"/>
    <n v="17320319"/>
    <n v="0"/>
    <n v="0"/>
    <n v="0"/>
    <n v="0"/>
    <n v="0"/>
    <n v="0"/>
    <n v="0"/>
    <n v="0"/>
    <n v="0"/>
    <n v="0"/>
    <n v="35"/>
    <n v="0"/>
    <n v="0"/>
    <n v="0"/>
    <n v="0"/>
    <n v="0"/>
    <n v="0"/>
    <n v="35"/>
    <n v="0"/>
    <n v="0"/>
    <n v="0"/>
    <n v="0"/>
    <n v="0"/>
    <n v="0"/>
    <n v="0"/>
    <n v="0"/>
    <n v="0"/>
    <n v="0"/>
    <n v="0"/>
    <n v="0"/>
    <n v="0"/>
    <n v="0"/>
    <x v="0"/>
    <x v="0"/>
    <x v="1"/>
    <x v="0"/>
    <x v="0"/>
    <m/>
    <x v="0"/>
    <x v="0"/>
    <n v="20"/>
    <m/>
    <m/>
    <m/>
    <m/>
    <m/>
    <m/>
    <n v="2.1875"/>
    <n v="2.1875"/>
    <n v="2.1875"/>
    <n v="2.1875"/>
    <n v="2.1875"/>
    <n v="2.1875"/>
    <n v="2.1875"/>
    <n v="2.1875"/>
    <n v="2.1875"/>
    <n v="2.1875"/>
    <n v="2.1875"/>
    <n v="2.1875"/>
    <n v="2.1875"/>
    <n v="2.1875"/>
    <n v="2.1875"/>
    <n v="0"/>
    <n v="10.9375"/>
  </r>
  <r>
    <n v="6891"/>
    <x v="5"/>
    <s v="0000/0270"/>
    <s v="Causeway Island including Land to the east, The Causeway"/>
    <m/>
    <n v="525542"/>
    <n v="175021"/>
    <x v="2"/>
    <m/>
    <m/>
    <n v="0"/>
    <n v="10"/>
    <n v="10"/>
    <n v="52"/>
    <n v="52"/>
    <x v="1"/>
    <s v="Redevelopment"/>
    <s v="NONE"/>
    <m/>
    <m/>
    <x v="0"/>
    <s v="Nil"/>
    <m/>
    <s v="BF"/>
    <s v="NB"/>
    <x v="1"/>
    <x v="7"/>
    <n v="0"/>
    <m/>
    <x v="0"/>
    <m/>
    <x v="2"/>
    <s v="AA"/>
    <s v="3.2.1"/>
    <n v="17320319"/>
    <n v="0"/>
    <n v="0"/>
    <n v="0"/>
    <n v="0"/>
    <n v="0"/>
    <n v="0"/>
    <n v="0"/>
    <n v="0"/>
    <n v="0"/>
    <n v="0"/>
    <n v="10"/>
    <n v="0"/>
    <n v="0"/>
    <n v="0"/>
    <n v="0"/>
    <n v="0"/>
    <n v="0"/>
    <n v="10"/>
    <n v="0"/>
    <n v="0"/>
    <n v="0"/>
    <n v="0"/>
    <n v="0"/>
    <n v="0"/>
    <n v="0"/>
    <n v="0"/>
    <n v="0"/>
    <n v="0"/>
    <n v="0"/>
    <n v="0"/>
    <n v="0"/>
    <n v="0"/>
    <x v="0"/>
    <x v="0"/>
    <x v="1"/>
    <x v="0"/>
    <x v="0"/>
    <m/>
    <x v="0"/>
    <x v="0"/>
    <n v="20"/>
    <m/>
    <m/>
    <m/>
    <m/>
    <m/>
    <m/>
    <n v="0.625"/>
    <n v="0.625"/>
    <n v="0.625"/>
    <n v="0.625"/>
    <n v="0.625"/>
    <n v="0.625"/>
    <n v="0.625"/>
    <n v="0.625"/>
    <n v="0.625"/>
    <n v="0.625"/>
    <n v="0.625"/>
    <n v="0.625"/>
    <n v="0.625"/>
    <n v="0.625"/>
    <n v="0.625"/>
    <n v="0"/>
    <n v="3.125"/>
  </r>
  <r>
    <n v="6891"/>
    <x v="5"/>
    <s v="0000/0270"/>
    <s v="Causeway Island including Land to the east, The Causeway"/>
    <m/>
    <n v="525542"/>
    <n v="175021"/>
    <x v="2"/>
    <m/>
    <m/>
    <n v="0"/>
    <n v="7"/>
    <n v="7"/>
    <n v="52"/>
    <n v="52"/>
    <x v="1"/>
    <s v="Redevelopment"/>
    <s v="NONE"/>
    <m/>
    <m/>
    <x v="0"/>
    <s v="Nil"/>
    <m/>
    <s v="BF"/>
    <s v="NB"/>
    <x v="0"/>
    <x v="5"/>
    <n v="0"/>
    <m/>
    <x v="0"/>
    <m/>
    <x v="1"/>
    <s v="ISO"/>
    <s v="3.2.1"/>
    <n v="17320319"/>
    <n v="0"/>
    <n v="0"/>
    <n v="0"/>
    <n v="0"/>
    <n v="0"/>
    <n v="0"/>
    <n v="0"/>
    <n v="0"/>
    <n v="0"/>
    <n v="0"/>
    <n v="7"/>
    <n v="0"/>
    <n v="0"/>
    <n v="0"/>
    <n v="0"/>
    <n v="0"/>
    <n v="0"/>
    <n v="7"/>
    <n v="0"/>
    <n v="0"/>
    <n v="0"/>
    <n v="0"/>
    <n v="0"/>
    <n v="0"/>
    <n v="0"/>
    <n v="0"/>
    <n v="0"/>
    <n v="0"/>
    <n v="0"/>
    <n v="0"/>
    <n v="0"/>
    <n v="0"/>
    <x v="0"/>
    <x v="0"/>
    <x v="1"/>
    <x v="0"/>
    <x v="0"/>
    <m/>
    <x v="0"/>
    <x v="0"/>
    <n v="20"/>
    <m/>
    <m/>
    <m/>
    <m/>
    <m/>
    <m/>
    <n v="0.4375"/>
    <n v="0.4375"/>
    <n v="0.4375"/>
    <n v="0.4375"/>
    <n v="0.4375"/>
    <n v="0.4375"/>
    <n v="0.4375"/>
    <n v="0.4375"/>
    <n v="0.4375"/>
    <n v="0.4375"/>
    <n v="0.4375"/>
    <n v="0.4375"/>
    <n v="0.4375"/>
    <n v="0.4375"/>
    <n v="0.4375"/>
    <n v="0"/>
    <n v="2.1875"/>
  </r>
  <r>
    <n v="6892"/>
    <x v="5"/>
    <s v="0000/0271"/>
    <s v="Hunts Trucks and adjoining gasholder, Armoury Way"/>
    <m/>
    <n v="525690"/>
    <n v="174971"/>
    <x v="2"/>
    <m/>
    <m/>
    <n v="0"/>
    <n v="478"/>
    <n v="478"/>
    <n v="713"/>
    <n v="713"/>
    <x v="1"/>
    <s v="Redevelopment"/>
    <s v="NONE"/>
    <m/>
    <m/>
    <x v="0"/>
    <s v="Nil"/>
    <m/>
    <s v="BF"/>
    <s v="NB"/>
    <x v="1"/>
    <x v="7"/>
    <n v="0"/>
    <m/>
    <x v="0"/>
    <m/>
    <x v="0"/>
    <s v="M"/>
    <s v="3.2.2"/>
    <n v="17320108"/>
    <n v="0"/>
    <n v="0"/>
    <n v="0"/>
    <n v="0"/>
    <n v="0"/>
    <n v="0"/>
    <n v="0"/>
    <n v="0"/>
    <n v="0"/>
    <n v="0"/>
    <n v="478"/>
    <n v="0"/>
    <n v="0"/>
    <n v="0"/>
    <n v="0"/>
    <n v="0"/>
    <n v="0"/>
    <n v="478"/>
    <n v="0"/>
    <n v="0"/>
    <n v="0"/>
    <n v="0"/>
    <n v="0"/>
    <n v="0"/>
    <n v="0"/>
    <n v="0"/>
    <n v="0"/>
    <n v="0"/>
    <n v="0"/>
    <n v="0"/>
    <n v="0"/>
    <n v="0"/>
    <x v="0"/>
    <x v="0"/>
    <x v="1"/>
    <x v="0"/>
    <x v="0"/>
    <m/>
    <x v="0"/>
    <x v="0"/>
    <n v="20"/>
    <m/>
    <m/>
    <m/>
    <m/>
    <m/>
    <m/>
    <n v="95.6"/>
    <n v="95.6"/>
    <n v="95.6"/>
    <n v="95.6"/>
    <n v="95.6"/>
    <m/>
    <m/>
    <m/>
    <m/>
    <m/>
    <m/>
    <m/>
    <m/>
    <m/>
    <m/>
    <n v="0"/>
    <n v="478"/>
  </r>
  <r>
    <n v="6892"/>
    <x v="5"/>
    <s v="0000/0271"/>
    <s v="Hunts Trucks and adjoining gasholder, Armoury Way"/>
    <m/>
    <n v="525690"/>
    <n v="174971"/>
    <x v="2"/>
    <m/>
    <m/>
    <n v="0"/>
    <n v="141"/>
    <n v="141"/>
    <n v="713"/>
    <n v="713"/>
    <x v="1"/>
    <s v="Redevelopment"/>
    <s v="NONE"/>
    <m/>
    <m/>
    <x v="0"/>
    <s v="Nil"/>
    <m/>
    <s v="BF"/>
    <s v="NB"/>
    <x v="1"/>
    <x v="7"/>
    <n v="0"/>
    <m/>
    <x v="0"/>
    <m/>
    <x v="2"/>
    <s v="AA"/>
    <s v="3.2.2"/>
    <n v="17320108"/>
    <n v="0"/>
    <n v="0"/>
    <n v="0"/>
    <n v="0"/>
    <n v="0"/>
    <n v="0"/>
    <n v="0"/>
    <n v="0"/>
    <n v="0"/>
    <n v="0"/>
    <n v="141"/>
    <n v="0"/>
    <n v="0"/>
    <n v="0"/>
    <n v="0"/>
    <n v="0"/>
    <n v="0"/>
    <n v="141"/>
    <n v="0"/>
    <n v="0"/>
    <n v="0"/>
    <n v="0"/>
    <n v="0"/>
    <n v="0"/>
    <n v="0"/>
    <n v="0"/>
    <n v="0"/>
    <n v="0"/>
    <n v="0"/>
    <n v="0"/>
    <n v="0"/>
    <n v="0"/>
    <x v="0"/>
    <x v="0"/>
    <x v="1"/>
    <x v="0"/>
    <x v="0"/>
    <m/>
    <x v="0"/>
    <x v="0"/>
    <n v="20"/>
    <m/>
    <m/>
    <m/>
    <m/>
    <m/>
    <m/>
    <n v="28.2"/>
    <n v="28.2"/>
    <n v="28.2"/>
    <n v="28.2"/>
    <n v="28.2"/>
    <m/>
    <m/>
    <m/>
    <m/>
    <m/>
    <m/>
    <m/>
    <m/>
    <m/>
    <m/>
    <n v="0"/>
    <n v="141"/>
  </r>
  <r>
    <n v="6892"/>
    <x v="5"/>
    <s v="0000/0271"/>
    <s v="Hunts Trucks and adjoining gasholder, Armoury Way"/>
    <m/>
    <n v="525690"/>
    <n v="174971"/>
    <x v="2"/>
    <m/>
    <m/>
    <n v="0"/>
    <n v="94"/>
    <n v="94"/>
    <n v="713"/>
    <n v="713"/>
    <x v="1"/>
    <s v="Redevelopment"/>
    <s v="NONE"/>
    <m/>
    <m/>
    <x v="0"/>
    <s v="Nil"/>
    <m/>
    <s v="BF"/>
    <s v="NB"/>
    <x v="1"/>
    <x v="7"/>
    <n v="0"/>
    <m/>
    <x v="0"/>
    <m/>
    <x v="1"/>
    <s v="ISO"/>
    <s v="3.2.2"/>
    <n v="17320108"/>
    <n v="0"/>
    <n v="0"/>
    <n v="0"/>
    <n v="0"/>
    <n v="0"/>
    <n v="0"/>
    <n v="0"/>
    <n v="0"/>
    <n v="0"/>
    <n v="0"/>
    <n v="94"/>
    <n v="0"/>
    <n v="0"/>
    <n v="0"/>
    <n v="0"/>
    <n v="0"/>
    <n v="0"/>
    <n v="94"/>
    <n v="0"/>
    <n v="0"/>
    <n v="0"/>
    <n v="0"/>
    <n v="0"/>
    <n v="0"/>
    <n v="0"/>
    <n v="0"/>
    <n v="0"/>
    <n v="0"/>
    <n v="0"/>
    <n v="0"/>
    <n v="0"/>
    <n v="0"/>
    <x v="0"/>
    <x v="0"/>
    <x v="1"/>
    <x v="0"/>
    <x v="0"/>
    <m/>
    <x v="0"/>
    <x v="0"/>
    <n v="20"/>
    <m/>
    <m/>
    <m/>
    <m/>
    <m/>
    <m/>
    <n v="18.8"/>
    <n v="18.8"/>
    <n v="18.8"/>
    <n v="18.8"/>
    <n v="18.8"/>
    <m/>
    <m/>
    <m/>
    <m/>
    <m/>
    <m/>
    <m/>
    <m/>
    <m/>
    <m/>
    <n v="0"/>
    <n v="94"/>
  </r>
  <r>
    <n v="6893"/>
    <x v="5"/>
    <s v="0000/0272"/>
    <s v="Keltbray Site Wentworth House and adjacent land at, Dormay Street"/>
    <m/>
    <n v="525561"/>
    <n v="174936"/>
    <x v="2"/>
    <m/>
    <m/>
    <n v="0"/>
    <n v="49"/>
    <n v="49"/>
    <n v="73"/>
    <n v="73"/>
    <x v="1"/>
    <s v="Redevelopment"/>
    <s v="NONE"/>
    <m/>
    <m/>
    <x v="0"/>
    <s v="Nil"/>
    <m/>
    <s v="BF"/>
    <s v="NB"/>
    <x v="1"/>
    <x v="7"/>
    <n v="0"/>
    <m/>
    <x v="0"/>
    <m/>
    <x v="0"/>
    <s v="M"/>
    <s v="3.2.3"/>
    <n v="17320320"/>
    <n v="0"/>
    <n v="0"/>
    <n v="0"/>
    <n v="0"/>
    <n v="0"/>
    <n v="0"/>
    <n v="0"/>
    <n v="0"/>
    <n v="0"/>
    <n v="0"/>
    <n v="49"/>
    <n v="0"/>
    <n v="0"/>
    <n v="0"/>
    <n v="0"/>
    <n v="0"/>
    <n v="0"/>
    <n v="49"/>
    <n v="0"/>
    <n v="0"/>
    <n v="0"/>
    <n v="0"/>
    <n v="0"/>
    <n v="0"/>
    <n v="0"/>
    <n v="0"/>
    <n v="0"/>
    <n v="0"/>
    <n v="0"/>
    <n v="0"/>
    <n v="0"/>
    <n v="0"/>
    <x v="0"/>
    <x v="0"/>
    <x v="1"/>
    <x v="0"/>
    <x v="0"/>
    <m/>
    <x v="0"/>
    <x v="0"/>
    <n v="20"/>
    <m/>
    <m/>
    <m/>
    <m/>
    <m/>
    <m/>
    <n v="3.0625"/>
    <n v="3.0625"/>
    <n v="3.0625"/>
    <n v="3.0625"/>
    <n v="3.0625"/>
    <n v="3.0625"/>
    <n v="3.0625"/>
    <n v="3.0625"/>
    <n v="3.0625"/>
    <n v="3.0625"/>
    <n v="3.0625"/>
    <n v="3.0625"/>
    <n v="3.0625"/>
    <n v="3.0625"/>
    <n v="3.0625"/>
    <n v="0"/>
    <n v="15.3125"/>
  </r>
  <r>
    <n v="6893"/>
    <x v="5"/>
    <s v="0000/0272"/>
    <s v="Keltbray Site Wentworth House and adjacent land at, Dormay Street"/>
    <m/>
    <n v="525561"/>
    <n v="174936"/>
    <x v="2"/>
    <m/>
    <m/>
    <n v="0"/>
    <n v="14"/>
    <n v="14"/>
    <n v="73"/>
    <n v="73"/>
    <x v="1"/>
    <s v="Redevelopment"/>
    <s v="NONE"/>
    <m/>
    <m/>
    <x v="0"/>
    <s v="Nil"/>
    <m/>
    <s v="BF"/>
    <s v="NB"/>
    <x v="1"/>
    <x v="7"/>
    <n v="0"/>
    <m/>
    <x v="0"/>
    <m/>
    <x v="2"/>
    <s v="AA"/>
    <s v="3.2.3"/>
    <n v="17320320"/>
    <n v="0"/>
    <n v="0"/>
    <n v="0"/>
    <n v="0"/>
    <n v="0"/>
    <n v="0"/>
    <n v="0"/>
    <n v="0"/>
    <n v="0"/>
    <n v="0"/>
    <n v="14"/>
    <n v="0"/>
    <n v="0"/>
    <n v="0"/>
    <n v="0"/>
    <n v="0"/>
    <n v="0"/>
    <n v="14"/>
    <n v="0"/>
    <n v="0"/>
    <n v="0"/>
    <n v="0"/>
    <n v="0"/>
    <n v="0"/>
    <n v="0"/>
    <n v="0"/>
    <n v="0"/>
    <n v="0"/>
    <n v="0"/>
    <n v="0"/>
    <n v="0"/>
    <n v="0"/>
    <x v="0"/>
    <x v="0"/>
    <x v="1"/>
    <x v="0"/>
    <x v="0"/>
    <m/>
    <x v="0"/>
    <x v="0"/>
    <n v="20"/>
    <m/>
    <m/>
    <m/>
    <m/>
    <m/>
    <m/>
    <n v="0.875"/>
    <n v="0.875"/>
    <n v="0.875"/>
    <n v="0.875"/>
    <n v="0.875"/>
    <n v="0.875"/>
    <n v="0.875"/>
    <n v="0.875"/>
    <n v="0.875"/>
    <n v="0.875"/>
    <n v="0.875"/>
    <n v="0.875"/>
    <n v="0.875"/>
    <n v="0.875"/>
    <n v="0.875"/>
    <n v="0"/>
    <n v="4.375"/>
  </r>
  <r>
    <n v="6893"/>
    <x v="5"/>
    <s v="0000/0272"/>
    <s v="Keltbray Site Wentworth House and adjacent land at, Dormay Street"/>
    <m/>
    <n v="525561"/>
    <n v="174936"/>
    <x v="2"/>
    <m/>
    <m/>
    <n v="0"/>
    <n v="10"/>
    <n v="10"/>
    <n v="73"/>
    <n v="73"/>
    <x v="1"/>
    <s v="Redevelopment"/>
    <s v="NONE"/>
    <m/>
    <m/>
    <x v="0"/>
    <s v="Nil"/>
    <m/>
    <s v="BF"/>
    <s v="NB"/>
    <x v="1"/>
    <x v="7"/>
    <n v="0"/>
    <m/>
    <x v="0"/>
    <m/>
    <x v="1"/>
    <s v="ISO"/>
    <s v="3.2.3"/>
    <n v="17320320"/>
    <n v="0"/>
    <n v="0"/>
    <n v="0"/>
    <n v="0"/>
    <n v="0"/>
    <n v="0"/>
    <n v="0"/>
    <n v="0"/>
    <n v="0"/>
    <n v="0"/>
    <n v="10"/>
    <n v="0"/>
    <n v="0"/>
    <n v="0"/>
    <n v="0"/>
    <n v="0"/>
    <n v="0"/>
    <n v="10"/>
    <n v="0"/>
    <n v="0"/>
    <n v="0"/>
    <n v="0"/>
    <n v="0"/>
    <n v="0"/>
    <n v="0"/>
    <n v="0"/>
    <n v="0"/>
    <n v="0"/>
    <n v="0"/>
    <n v="0"/>
    <n v="0"/>
    <n v="0"/>
    <x v="0"/>
    <x v="0"/>
    <x v="1"/>
    <x v="0"/>
    <x v="0"/>
    <m/>
    <x v="0"/>
    <x v="0"/>
    <n v="20"/>
    <m/>
    <m/>
    <m/>
    <m/>
    <m/>
    <m/>
    <n v="0.625"/>
    <n v="0.625"/>
    <n v="0.625"/>
    <n v="0.625"/>
    <n v="0.625"/>
    <n v="0.625"/>
    <n v="0.625"/>
    <n v="0.625"/>
    <n v="0.625"/>
    <n v="0.625"/>
    <n v="0.625"/>
    <n v="0.625"/>
    <n v="0.625"/>
    <n v="0.625"/>
    <n v="0.625"/>
    <n v="0"/>
    <n v="3.125"/>
  </r>
  <r>
    <n v="6895"/>
    <x v="5"/>
    <s v="0000/0274"/>
    <s v="Feathers Wharf, The Causeway"/>
    <m/>
    <n v="525545"/>
    <n v="175231"/>
    <x v="2"/>
    <m/>
    <m/>
    <n v="0"/>
    <n v="11"/>
    <n v="11"/>
    <n v="16"/>
    <n v="16"/>
    <x v="1"/>
    <s v="Redevelopment"/>
    <s v="NONE"/>
    <m/>
    <m/>
    <x v="0"/>
    <s v="Nil"/>
    <m/>
    <s v="BF"/>
    <s v="NB"/>
    <x v="1"/>
    <x v="7"/>
    <n v="0"/>
    <m/>
    <x v="0"/>
    <m/>
    <x v="0"/>
    <s v="M"/>
    <s v="3.3.5"/>
    <n v="17320067"/>
    <n v="0"/>
    <n v="0"/>
    <n v="0"/>
    <n v="0"/>
    <n v="0"/>
    <n v="0"/>
    <n v="0"/>
    <n v="0"/>
    <n v="0"/>
    <n v="0"/>
    <n v="11"/>
    <n v="0"/>
    <n v="0"/>
    <n v="0"/>
    <n v="0"/>
    <n v="0"/>
    <n v="0"/>
    <n v="11"/>
    <n v="0"/>
    <n v="0"/>
    <n v="0"/>
    <n v="0"/>
    <n v="0"/>
    <n v="0"/>
    <n v="0"/>
    <n v="0"/>
    <n v="0"/>
    <n v="0"/>
    <n v="0"/>
    <n v="0"/>
    <n v="0"/>
    <n v="0"/>
    <x v="0"/>
    <x v="0"/>
    <x v="1"/>
    <x v="0"/>
    <x v="0"/>
    <m/>
    <x v="0"/>
    <x v="0"/>
    <n v="20"/>
    <m/>
    <m/>
    <m/>
    <m/>
    <m/>
    <m/>
    <m/>
    <m/>
    <m/>
    <m/>
    <n v="0.91666666666666663"/>
    <n v="0.91666666666666663"/>
    <n v="0.91666666666666663"/>
    <n v="0.91666666666666663"/>
    <n v="0.91666666666666663"/>
    <n v="0.91666666666666663"/>
    <n v="0.91666666666666663"/>
    <n v="0.91666666666666663"/>
    <n v="0.91666666666666663"/>
    <n v="0.91666666666666663"/>
    <n v="0.91666666666666663"/>
    <n v="0"/>
    <n v="0.91666666666666663"/>
  </r>
  <r>
    <n v="6895"/>
    <x v="5"/>
    <s v="0000/0274"/>
    <s v="Feathers Wharf, The Causeway"/>
    <m/>
    <n v="525545"/>
    <n v="175231"/>
    <x v="2"/>
    <m/>
    <m/>
    <n v="0"/>
    <n v="3"/>
    <n v="3"/>
    <n v="16"/>
    <n v="16"/>
    <x v="1"/>
    <s v="Redevelopment"/>
    <s v="NONE"/>
    <m/>
    <m/>
    <x v="0"/>
    <s v="Nil"/>
    <m/>
    <s v="BF"/>
    <s v="NB"/>
    <x v="0"/>
    <x v="5"/>
    <n v="0"/>
    <m/>
    <x v="0"/>
    <m/>
    <x v="2"/>
    <s v="AA"/>
    <s v="3.3.5"/>
    <n v="17320067"/>
    <n v="0"/>
    <n v="0"/>
    <n v="0"/>
    <n v="0"/>
    <n v="0"/>
    <n v="0"/>
    <n v="0"/>
    <n v="0"/>
    <n v="0"/>
    <n v="0"/>
    <n v="3"/>
    <n v="0"/>
    <n v="0"/>
    <n v="0"/>
    <n v="0"/>
    <n v="0"/>
    <n v="0"/>
    <n v="3"/>
    <n v="0"/>
    <n v="0"/>
    <n v="0"/>
    <n v="0"/>
    <n v="0"/>
    <n v="0"/>
    <n v="0"/>
    <n v="0"/>
    <n v="0"/>
    <n v="0"/>
    <n v="0"/>
    <n v="0"/>
    <n v="0"/>
    <n v="0"/>
    <x v="0"/>
    <x v="0"/>
    <x v="1"/>
    <x v="0"/>
    <x v="0"/>
    <m/>
    <x v="0"/>
    <x v="0"/>
    <n v="20"/>
    <m/>
    <m/>
    <m/>
    <m/>
    <m/>
    <m/>
    <m/>
    <m/>
    <m/>
    <m/>
    <n v="0.25"/>
    <n v="0.25"/>
    <n v="0.25"/>
    <n v="0.25"/>
    <n v="0.25"/>
    <n v="0.25"/>
    <n v="0.25"/>
    <n v="0.25"/>
    <n v="0.25"/>
    <n v="0.25"/>
    <n v="0.25"/>
    <n v="0"/>
    <n v="0.25"/>
  </r>
  <r>
    <n v="6895"/>
    <x v="5"/>
    <s v="0000/0274"/>
    <s v="Feathers Wharf, The Causeway"/>
    <m/>
    <n v="525545"/>
    <n v="175231"/>
    <x v="2"/>
    <m/>
    <m/>
    <n v="0"/>
    <n v="2"/>
    <n v="2"/>
    <n v="16"/>
    <n v="16"/>
    <x v="1"/>
    <s v="Redevelopment"/>
    <s v="NONE"/>
    <m/>
    <m/>
    <x v="0"/>
    <s v="Nil"/>
    <m/>
    <s v="BF"/>
    <s v="NB"/>
    <x v="0"/>
    <x v="5"/>
    <n v="0"/>
    <m/>
    <x v="0"/>
    <m/>
    <x v="1"/>
    <s v="ISO"/>
    <s v="3.3.5"/>
    <n v="17320067"/>
    <n v="0"/>
    <n v="0"/>
    <n v="0"/>
    <n v="0"/>
    <n v="0"/>
    <n v="0"/>
    <n v="0"/>
    <n v="0"/>
    <n v="0"/>
    <n v="0"/>
    <n v="2"/>
    <n v="0"/>
    <n v="0"/>
    <n v="0"/>
    <n v="0"/>
    <n v="0"/>
    <n v="0"/>
    <n v="2"/>
    <n v="0"/>
    <n v="0"/>
    <n v="0"/>
    <n v="0"/>
    <n v="0"/>
    <n v="0"/>
    <n v="0"/>
    <n v="0"/>
    <n v="0"/>
    <n v="0"/>
    <n v="0"/>
    <n v="0"/>
    <n v="0"/>
    <n v="0"/>
    <x v="0"/>
    <x v="0"/>
    <x v="1"/>
    <x v="0"/>
    <x v="0"/>
    <m/>
    <x v="0"/>
    <x v="0"/>
    <n v="20"/>
    <m/>
    <m/>
    <m/>
    <m/>
    <m/>
    <m/>
    <m/>
    <m/>
    <m/>
    <m/>
    <n v="0.16666666666666666"/>
    <n v="0.16666666666666666"/>
    <n v="0.16666666666666666"/>
    <n v="0.16666666666666666"/>
    <n v="0.16666666666666666"/>
    <n v="0.16666666666666666"/>
    <n v="0.16666666666666666"/>
    <n v="0.16666666666666666"/>
    <n v="0.16666666666666666"/>
    <n v="0.16666666666666666"/>
    <n v="0.16666666666666666"/>
    <n v="0"/>
    <n v="0.16666666666666666"/>
  </r>
  <r>
    <n v="6896"/>
    <x v="5"/>
    <s v="0000/0275"/>
    <s v="Land at the Causeway, The Causeway"/>
    <m/>
    <n v="525597"/>
    <n v="175113"/>
    <x v="2"/>
    <m/>
    <m/>
    <n v="0"/>
    <n v="4"/>
    <n v="4"/>
    <n v="4"/>
    <n v="4"/>
    <x v="0"/>
    <s v="Redevelopment"/>
    <s v="NONE"/>
    <m/>
    <m/>
    <x v="0"/>
    <s v="Nil"/>
    <m/>
    <s v="BF"/>
    <s v="NB"/>
    <x v="0"/>
    <x v="5"/>
    <n v="0"/>
    <m/>
    <x v="0"/>
    <m/>
    <x v="0"/>
    <s v="M"/>
    <s v="3.3.6"/>
    <n v="17320113"/>
    <n v="0"/>
    <n v="0"/>
    <n v="0"/>
    <n v="0"/>
    <n v="0"/>
    <n v="0"/>
    <n v="0"/>
    <n v="0"/>
    <n v="0"/>
    <n v="0"/>
    <n v="4"/>
    <n v="0"/>
    <n v="0"/>
    <n v="0"/>
    <n v="0"/>
    <n v="0"/>
    <n v="0"/>
    <n v="4"/>
    <n v="0"/>
    <n v="0"/>
    <n v="0"/>
    <n v="0"/>
    <n v="0"/>
    <n v="0"/>
    <n v="0"/>
    <n v="0"/>
    <n v="0"/>
    <n v="0"/>
    <n v="0"/>
    <n v="0"/>
    <n v="0"/>
    <n v="0"/>
    <x v="0"/>
    <x v="0"/>
    <x v="1"/>
    <x v="0"/>
    <x v="0"/>
    <m/>
    <x v="0"/>
    <x v="0"/>
    <n v="20"/>
    <m/>
    <m/>
    <m/>
    <m/>
    <m/>
    <m/>
    <m/>
    <m/>
    <m/>
    <m/>
    <m/>
    <m/>
    <m/>
    <m/>
    <m/>
    <n v="0.5714285714285714"/>
    <n v="0.5714285714285714"/>
    <n v="0.5714285714285714"/>
    <n v="0.5714285714285714"/>
    <n v="0.5714285714285714"/>
    <n v="0.5714285714285714"/>
    <n v="0"/>
    <n v="0"/>
  </r>
  <r>
    <n v="6897"/>
    <x v="5"/>
    <s v="0000/0276"/>
    <s v="Asda, Lidl and Boots Sites, Falcon Lane"/>
    <m/>
    <n v="527569"/>
    <n v="175602"/>
    <x v="9"/>
    <m/>
    <m/>
    <n v="0"/>
    <n v="13"/>
    <n v="13"/>
    <n v="20"/>
    <n v="20"/>
    <x v="1"/>
    <s v="Redevelopment"/>
    <s v="NONE"/>
    <m/>
    <m/>
    <x v="0"/>
    <s v="Nil"/>
    <m/>
    <s v="BF"/>
    <s v="NB"/>
    <x v="1"/>
    <x v="7"/>
    <n v="0"/>
    <m/>
    <x v="0"/>
    <m/>
    <x v="0"/>
    <s v="M"/>
    <s v="4.1.1"/>
    <n v="17320204"/>
    <n v="0"/>
    <n v="0"/>
    <n v="0"/>
    <n v="0"/>
    <n v="0"/>
    <n v="0"/>
    <n v="0"/>
    <n v="0"/>
    <n v="0"/>
    <n v="0"/>
    <n v="13"/>
    <n v="0"/>
    <n v="0"/>
    <n v="0"/>
    <n v="0"/>
    <n v="0"/>
    <n v="0"/>
    <n v="13"/>
    <n v="0"/>
    <n v="0"/>
    <n v="0"/>
    <n v="0"/>
    <n v="0"/>
    <n v="0"/>
    <n v="0"/>
    <n v="0"/>
    <n v="0"/>
    <n v="0"/>
    <n v="0"/>
    <n v="0"/>
    <n v="0"/>
    <n v="0"/>
    <x v="1"/>
    <x v="0"/>
    <x v="0"/>
    <x v="1"/>
    <x v="0"/>
    <m/>
    <x v="0"/>
    <x v="0"/>
    <n v="20"/>
    <m/>
    <m/>
    <m/>
    <m/>
    <m/>
    <m/>
    <m/>
    <m/>
    <m/>
    <m/>
    <n v="1.0833333333333333"/>
    <n v="1.0833333333333333"/>
    <n v="1.0833333333333333"/>
    <n v="1.0833333333333333"/>
    <n v="1.0833333333333333"/>
    <n v="1.0833333333333333"/>
    <n v="1.0833333333333333"/>
    <n v="1.0833333333333333"/>
    <n v="1.0833333333333333"/>
    <n v="1.0833333333333333"/>
    <n v="1.0833333333333333"/>
    <n v="0"/>
    <n v="1.0833333333333333"/>
  </r>
  <r>
    <n v="6897"/>
    <x v="5"/>
    <s v="0000/0276"/>
    <s v="Asda, Lidl and Boots Sites, Falcon Lane"/>
    <m/>
    <n v="527569"/>
    <n v="175602"/>
    <x v="9"/>
    <m/>
    <m/>
    <n v="0"/>
    <n v="4"/>
    <n v="4"/>
    <n v="20"/>
    <n v="20"/>
    <x v="1"/>
    <s v="Redevelopment"/>
    <s v="NONE"/>
    <m/>
    <m/>
    <x v="0"/>
    <s v="Nil"/>
    <m/>
    <s v="BF"/>
    <s v="NB"/>
    <x v="0"/>
    <x v="5"/>
    <n v="0"/>
    <m/>
    <x v="0"/>
    <m/>
    <x v="2"/>
    <s v="AA"/>
    <s v="4.1.1"/>
    <n v="17320204"/>
    <n v="0"/>
    <n v="0"/>
    <n v="0"/>
    <n v="0"/>
    <n v="0"/>
    <n v="0"/>
    <n v="0"/>
    <n v="0"/>
    <n v="0"/>
    <n v="0"/>
    <n v="4"/>
    <n v="0"/>
    <n v="0"/>
    <n v="0"/>
    <n v="0"/>
    <n v="0"/>
    <n v="0"/>
    <n v="4"/>
    <n v="0"/>
    <n v="0"/>
    <n v="0"/>
    <n v="0"/>
    <n v="0"/>
    <n v="0"/>
    <n v="0"/>
    <n v="0"/>
    <n v="0"/>
    <n v="0"/>
    <n v="0"/>
    <n v="0"/>
    <n v="0"/>
    <n v="0"/>
    <x v="1"/>
    <x v="0"/>
    <x v="0"/>
    <x v="1"/>
    <x v="0"/>
    <m/>
    <x v="0"/>
    <x v="0"/>
    <n v="20"/>
    <m/>
    <m/>
    <m/>
    <m/>
    <m/>
    <m/>
    <m/>
    <m/>
    <m/>
    <m/>
    <n v="0.33333333333333331"/>
    <n v="0.33333333333333331"/>
    <n v="0.33333333333333331"/>
    <n v="0.33333333333333331"/>
    <n v="0.33333333333333331"/>
    <n v="0.33333333333333331"/>
    <n v="0.33333333333333331"/>
    <n v="0.33333333333333331"/>
    <n v="0.33333333333333331"/>
    <n v="0.33333333333333331"/>
    <n v="0.33333333333333331"/>
    <n v="0"/>
    <n v="0.33333333333333331"/>
  </r>
  <r>
    <n v="6897"/>
    <x v="5"/>
    <s v="0000/0276"/>
    <s v="Asda, Lidl and Boots Sites, Falcon Lane"/>
    <m/>
    <n v="527569"/>
    <n v="175602"/>
    <x v="9"/>
    <m/>
    <m/>
    <n v="0"/>
    <n v="3"/>
    <n v="3"/>
    <n v="20"/>
    <n v="20"/>
    <x v="1"/>
    <s v="Redevelopment"/>
    <s v="NONE"/>
    <m/>
    <m/>
    <x v="0"/>
    <s v="Nil"/>
    <m/>
    <s v="BF"/>
    <s v="NB"/>
    <x v="0"/>
    <x v="5"/>
    <n v="0"/>
    <m/>
    <x v="0"/>
    <m/>
    <x v="1"/>
    <s v="ISO"/>
    <s v="4.1.1"/>
    <n v="17320204"/>
    <n v="0"/>
    <n v="0"/>
    <n v="0"/>
    <n v="0"/>
    <n v="0"/>
    <n v="0"/>
    <n v="0"/>
    <n v="0"/>
    <n v="0"/>
    <n v="0"/>
    <n v="3"/>
    <n v="0"/>
    <n v="0"/>
    <n v="0"/>
    <n v="0"/>
    <n v="0"/>
    <n v="0"/>
    <n v="3"/>
    <n v="0"/>
    <n v="0"/>
    <n v="0"/>
    <n v="0"/>
    <n v="0"/>
    <n v="0"/>
    <n v="0"/>
    <n v="0"/>
    <n v="0"/>
    <n v="0"/>
    <n v="0"/>
    <n v="0"/>
    <n v="0"/>
    <n v="0"/>
    <x v="1"/>
    <x v="0"/>
    <x v="0"/>
    <x v="1"/>
    <x v="0"/>
    <m/>
    <x v="0"/>
    <x v="0"/>
    <n v="20"/>
    <m/>
    <m/>
    <m/>
    <m/>
    <m/>
    <m/>
    <m/>
    <m/>
    <m/>
    <m/>
    <n v="0.25"/>
    <n v="0.25"/>
    <n v="0.25"/>
    <n v="0.25"/>
    <n v="0.25"/>
    <n v="0.25"/>
    <n v="0.25"/>
    <n v="0.25"/>
    <n v="0.25"/>
    <n v="0.25"/>
    <n v="0.25"/>
    <n v="0"/>
    <n v="0.25"/>
  </r>
  <r>
    <n v="6898"/>
    <x v="5"/>
    <s v="0000/0277"/>
    <s v="Clapham Junction Station, St Johns Hill"/>
    <m/>
    <n v="527216"/>
    <n v="175541"/>
    <x v="4"/>
    <m/>
    <m/>
    <n v="0"/>
    <n v="105"/>
    <n v="105"/>
    <n v="157"/>
    <n v="157"/>
    <x v="1"/>
    <s v="Redevelopment"/>
    <s v="NONE"/>
    <m/>
    <m/>
    <x v="0"/>
    <s v="Nil"/>
    <m/>
    <s v="BF"/>
    <s v="NB"/>
    <x v="1"/>
    <x v="7"/>
    <n v="0"/>
    <m/>
    <x v="0"/>
    <m/>
    <x v="0"/>
    <s v="M"/>
    <s v="4.1.4"/>
    <n v="17320350"/>
    <n v="0"/>
    <n v="0"/>
    <n v="0"/>
    <n v="0"/>
    <n v="0"/>
    <n v="0"/>
    <n v="0"/>
    <n v="0"/>
    <n v="0"/>
    <n v="0"/>
    <n v="105"/>
    <n v="0"/>
    <n v="0"/>
    <n v="0"/>
    <n v="0"/>
    <n v="0"/>
    <n v="0"/>
    <n v="105"/>
    <n v="0"/>
    <n v="0"/>
    <n v="0"/>
    <n v="0"/>
    <n v="0"/>
    <n v="0"/>
    <n v="0"/>
    <n v="0"/>
    <n v="0"/>
    <n v="0"/>
    <n v="0"/>
    <n v="0"/>
    <n v="0"/>
    <n v="0"/>
    <x v="1"/>
    <x v="0"/>
    <x v="0"/>
    <x v="1"/>
    <x v="0"/>
    <m/>
    <x v="0"/>
    <x v="0"/>
    <n v="20"/>
    <m/>
    <m/>
    <m/>
    <m/>
    <m/>
    <m/>
    <m/>
    <m/>
    <m/>
    <m/>
    <n v="8.75"/>
    <n v="8.75"/>
    <n v="8.75"/>
    <n v="8.75"/>
    <n v="8.75"/>
    <n v="8.75"/>
    <n v="8.75"/>
    <n v="8.75"/>
    <n v="8.75"/>
    <n v="8.75"/>
    <n v="8.75"/>
    <n v="0"/>
    <n v="8.75"/>
  </r>
  <r>
    <n v="6898"/>
    <x v="5"/>
    <s v="0000/0277"/>
    <s v="Clapham Junction Station, St Johns Hill"/>
    <m/>
    <n v="527216"/>
    <n v="175541"/>
    <x v="4"/>
    <m/>
    <m/>
    <n v="0"/>
    <n v="31"/>
    <n v="31"/>
    <n v="157"/>
    <n v="157"/>
    <x v="1"/>
    <s v="Redevelopment"/>
    <s v="NONE"/>
    <m/>
    <m/>
    <x v="0"/>
    <s v="Nil"/>
    <m/>
    <s v="BF"/>
    <s v="NB"/>
    <x v="1"/>
    <x v="7"/>
    <n v="0"/>
    <m/>
    <x v="0"/>
    <m/>
    <x v="2"/>
    <s v="AA"/>
    <s v="4.1.4"/>
    <n v="17320350"/>
    <n v="0"/>
    <n v="0"/>
    <n v="0"/>
    <n v="0"/>
    <n v="0"/>
    <n v="0"/>
    <n v="0"/>
    <n v="0"/>
    <n v="0"/>
    <n v="0"/>
    <n v="31"/>
    <n v="0"/>
    <n v="0"/>
    <n v="0"/>
    <n v="0"/>
    <n v="0"/>
    <n v="0"/>
    <n v="31"/>
    <n v="0"/>
    <n v="0"/>
    <n v="0"/>
    <n v="0"/>
    <n v="0"/>
    <n v="0"/>
    <n v="0"/>
    <n v="0"/>
    <n v="0"/>
    <n v="0"/>
    <n v="0"/>
    <n v="0"/>
    <n v="0"/>
    <n v="0"/>
    <x v="1"/>
    <x v="0"/>
    <x v="0"/>
    <x v="1"/>
    <x v="0"/>
    <m/>
    <x v="0"/>
    <x v="0"/>
    <n v="20"/>
    <m/>
    <m/>
    <m/>
    <m/>
    <m/>
    <m/>
    <m/>
    <m/>
    <m/>
    <m/>
    <n v="2.5833333333333335"/>
    <n v="2.5833333333333335"/>
    <n v="2.5833333333333335"/>
    <n v="2.5833333333333335"/>
    <n v="2.5833333333333335"/>
    <n v="2.5833333333333335"/>
    <n v="2.5833333333333335"/>
    <n v="2.5833333333333335"/>
    <n v="2.5833333333333335"/>
    <n v="2.5833333333333335"/>
    <n v="2.5833333333333335"/>
    <n v="0"/>
    <n v="2.5833333333333335"/>
  </r>
  <r>
    <n v="6898"/>
    <x v="5"/>
    <s v="0000/0277"/>
    <s v="Clapham Junction Station, St Johns Hill"/>
    <m/>
    <n v="527216"/>
    <n v="175541"/>
    <x v="4"/>
    <m/>
    <m/>
    <n v="0"/>
    <n v="21"/>
    <n v="21"/>
    <n v="157"/>
    <n v="157"/>
    <x v="1"/>
    <s v="Redevelopment"/>
    <s v="NONE"/>
    <m/>
    <m/>
    <x v="0"/>
    <s v="Nil"/>
    <m/>
    <s v="BF"/>
    <s v="NB"/>
    <x v="1"/>
    <x v="7"/>
    <n v="0"/>
    <m/>
    <x v="0"/>
    <m/>
    <x v="1"/>
    <s v="ISO"/>
    <s v="4.1.4"/>
    <n v="17320350"/>
    <n v="0"/>
    <n v="0"/>
    <n v="0"/>
    <n v="0"/>
    <n v="0"/>
    <n v="0"/>
    <n v="0"/>
    <n v="0"/>
    <n v="0"/>
    <n v="0"/>
    <n v="21"/>
    <n v="0"/>
    <n v="0"/>
    <n v="0"/>
    <n v="0"/>
    <n v="0"/>
    <n v="0"/>
    <n v="21"/>
    <n v="0"/>
    <n v="0"/>
    <n v="0"/>
    <n v="0"/>
    <n v="0"/>
    <n v="0"/>
    <n v="0"/>
    <n v="0"/>
    <n v="0"/>
    <n v="0"/>
    <n v="0"/>
    <n v="0"/>
    <n v="0"/>
    <n v="0"/>
    <x v="1"/>
    <x v="0"/>
    <x v="0"/>
    <x v="1"/>
    <x v="0"/>
    <m/>
    <x v="0"/>
    <x v="0"/>
    <n v="20"/>
    <m/>
    <m/>
    <m/>
    <m/>
    <m/>
    <m/>
    <m/>
    <m/>
    <m/>
    <m/>
    <n v="1.75"/>
    <n v="1.75"/>
    <n v="1.75"/>
    <n v="1.75"/>
    <n v="1.75"/>
    <n v="1.75"/>
    <n v="1.75"/>
    <n v="1.75"/>
    <n v="1.75"/>
    <n v="1.75"/>
    <n v="1.75"/>
    <n v="0"/>
    <n v="1.75"/>
  </r>
  <r>
    <n v="6899"/>
    <x v="5"/>
    <s v="0000/0278"/>
    <s v="Land on the corner of Grant Road and, Falcon Road"/>
    <m/>
    <n v="527207"/>
    <n v="175690"/>
    <x v="16"/>
    <m/>
    <m/>
    <n v="0"/>
    <n v="140"/>
    <n v="140"/>
    <n v="209"/>
    <n v="209"/>
    <x v="1"/>
    <s v="Redevelopment"/>
    <s v="NONE"/>
    <m/>
    <m/>
    <x v="0"/>
    <s v="Nil"/>
    <m/>
    <s v="BF"/>
    <s v="NB"/>
    <x v="1"/>
    <x v="7"/>
    <n v="0"/>
    <m/>
    <x v="0"/>
    <m/>
    <x v="0"/>
    <s v="M"/>
    <s v="4.1.3"/>
    <n v="17320338"/>
    <n v="0"/>
    <n v="0"/>
    <n v="0"/>
    <n v="0"/>
    <n v="0"/>
    <n v="0"/>
    <n v="0"/>
    <n v="0"/>
    <n v="0"/>
    <n v="0"/>
    <n v="140"/>
    <n v="0"/>
    <n v="0"/>
    <n v="0"/>
    <n v="0"/>
    <n v="0"/>
    <n v="0"/>
    <n v="140"/>
    <n v="0"/>
    <n v="0"/>
    <n v="0"/>
    <n v="0"/>
    <n v="0"/>
    <n v="0"/>
    <n v="0"/>
    <n v="0"/>
    <n v="0"/>
    <n v="0"/>
    <n v="0"/>
    <n v="0"/>
    <n v="0"/>
    <n v="0"/>
    <x v="0"/>
    <x v="0"/>
    <x v="0"/>
    <x v="1"/>
    <x v="0"/>
    <m/>
    <x v="0"/>
    <x v="0"/>
    <n v="20"/>
    <m/>
    <m/>
    <m/>
    <m/>
    <m/>
    <m/>
    <m/>
    <m/>
    <m/>
    <m/>
    <m/>
    <m/>
    <m/>
    <m/>
    <m/>
    <n v="20"/>
    <n v="20"/>
    <n v="20"/>
    <n v="20"/>
    <n v="20"/>
    <n v="20"/>
    <n v="0"/>
    <n v="0"/>
  </r>
  <r>
    <n v="6899"/>
    <x v="5"/>
    <s v="0000/0278"/>
    <s v="Land on the corner of Grant Road and, Falcon Road"/>
    <m/>
    <n v="527207"/>
    <n v="175690"/>
    <x v="16"/>
    <m/>
    <m/>
    <n v="0"/>
    <n v="41"/>
    <n v="41"/>
    <n v="209"/>
    <n v="209"/>
    <x v="1"/>
    <s v="Redevelopment"/>
    <s v="NONE"/>
    <m/>
    <m/>
    <x v="0"/>
    <s v="Nil"/>
    <m/>
    <s v="BF"/>
    <s v="NB"/>
    <x v="1"/>
    <x v="7"/>
    <n v="0"/>
    <m/>
    <x v="0"/>
    <m/>
    <x v="2"/>
    <s v="AA"/>
    <s v="4.1.3"/>
    <n v="17320338"/>
    <n v="0"/>
    <n v="0"/>
    <n v="0"/>
    <n v="0"/>
    <n v="0"/>
    <n v="0"/>
    <n v="0"/>
    <n v="0"/>
    <n v="0"/>
    <n v="0"/>
    <n v="41"/>
    <n v="0"/>
    <n v="0"/>
    <n v="0"/>
    <n v="0"/>
    <n v="0"/>
    <n v="0"/>
    <n v="41"/>
    <n v="0"/>
    <n v="0"/>
    <n v="0"/>
    <n v="0"/>
    <n v="0"/>
    <n v="0"/>
    <n v="0"/>
    <n v="0"/>
    <n v="0"/>
    <n v="0"/>
    <n v="0"/>
    <n v="0"/>
    <n v="0"/>
    <n v="0"/>
    <x v="0"/>
    <x v="0"/>
    <x v="0"/>
    <x v="1"/>
    <x v="0"/>
    <m/>
    <x v="0"/>
    <x v="0"/>
    <n v="20"/>
    <m/>
    <m/>
    <m/>
    <m/>
    <m/>
    <m/>
    <m/>
    <m/>
    <m/>
    <m/>
    <m/>
    <m/>
    <m/>
    <m/>
    <m/>
    <n v="5.8571428571428568"/>
    <n v="5.8571428571428568"/>
    <n v="5.8571428571428568"/>
    <n v="5.8571428571428568"/>
    <n v="5.8571428571428568"/>
    <n v="5.8571428571428568"/>
    <n v="0"/>
    <n v="0"/>
  </r>
  <r>
    <n v="6899"/>
    <x v="5"/>
    <s v="0000/0278"/>
    <s v="Land on the corner of Grant Road and, Falcon Road"/>
    <m/>
    <n v="527207"/>
    <n v="175690"/>
    <x v="16"/>
    <m/>
    <m/>
    <n v="0"/>
    <n v="28"/>
    <n v="28"/>
    <n v="209"/>
    <n v="209"/>
    <x v="1"/>
    <s v="Redevelopment"/>
    <s v="NONE"/>
    <m/>
    <m/>
    <x v="0"/>
    <s v="Nil"/>
    <m/>
    <s v="BF"/>
    <s v="NB"/>
    <x v="1"/>
    <x v="7"/>
    <n v="0"/>
    <m/>
    <x v="0"/>
    <m/>
    <x v="1"/>
    <s v="ISO"/>
    <s v="4.1.3"/>
    <n v="17320338"/>
    <n v="0"/>
    <n v="0"/>
    <n v="0"/>
    <n v="0"/>
    <n v="0"/>
    <n v="0"/>
    <n v="0"/>
    <n v="0"/>
    <n v="0"/>
    <n v="0"/>
    <n v="28"/>
    <n v="0"/>
    <n v="0"/>
    <n v="0"/>
    <n v="0"/>
    <n v="0"/>
    <n v="0"/>
    <n v="28"/>
    <n v="0"/>
    <n v="0"/>
    <n v="0"/>
    <n v="0"/>
    <n v="0"/>
    <n v="0"/>
    <n v="0"/>
    <n v="0"/>
    <n v="0"/>
    <n v="0"/>
    <n v="0"/>
    <n v="0"/>
    <n v="0"/>
    <n v="0"/>
    <x v="0"/>
    <x v="0"/>
    <x v="0"/>
    <x v="1"/>
    <x v="0"/>
    <m/>
    <x v="0"/>
    <x v="0"/>
    <n v="20"/>
    <m/>
    <m/>
    <m/>
    <m/>
    <m/>
    <m/>
    <m/>
    <m/>
    <m/>
    <m/>
    <m/>
    <m/>
    <m/>
    <m/>
    <m/>
    <n v="4"/>
    <n v="4"/>
    <n v="4"/>
    <n v="4"/>
    <n v="4"/>
    <n v="4"/>
    <n v="0"/>
    <n v="0"/>
  </r>
  <r>
    <n v="6901"/>
    <x v="5"/>
    <s v="0000/0280"/>
    <s v="Jubilee House and cinema, 230-232 Putney Bridge Road"/>
    <m/>
    <n v="524170"/>
    <n v="175517"/>
    <x v="0"/>
    <m/>
    <m/>
    <n v="0"/>
    <n v="8"/>
    <n v="8"/>
    <n v="8"/>
    <n v="8"/>
    <x v="0"/>
    <s v="Redevelopment"/>
    <s v="NONE"/>
    <m/>
    <m/>
    <x v="0"/>
    <s v="Nil"/>
    <m/>
    <s v="BF"/>
    <s v="NB"/>
    <x v="0"/>
    <x v="5"/>
    <n v="0"/>
    <m/>
    <x v="0"/>
    <m/>
    <x v="0"/>
    <s v="M"/>
    <s v="6.1.2"/>
    <n v="17320038"/>
    <n v="0"/>
    <n v="0"/>
    <n v="0"/>
    <n v="0"/>
    <n v="0"/>
    <n v="0"/>
    <n v="0"/>
    <n v="0"/>
    <n v="0"/>
    <n v="0"/>
    <n v="8"/>
    <n v="0"/>
    <n v="0"/>
    <n v="0"/>
    <n v="0"/>
    <n v="0"/>
    <n v="0"/>
    <n v="8"/>
    <n v="0"/>
    <n v="0"/>
    <n v="0"/>
    <n v="0"/>
    <n v="0"/>
    <n v="0"/>
    <n v="0"/>
    <n v="0"/>
    <n v="0"/>
    <n v="0"/>
    <n v="0"/>
    <n v="0"/>
    <n v="0"/>
    <n v="0"/>
    <x v="2"/>
    <x v="0"/>
    <x v="0"/>
    <x v="0"/>
    <x v="0"/>
    <m/>
    <x v="1"/>
    <x v="0"/>
    <n v="20"/>
    <m/>
    <m/>
    <m/>
    <m/>
    <m/>
    <m/>
    <m/>
    <m/>
    <m/>
    <m/>
    <n v="0.66666666666666663"/>
    <n v="0.66666666666666663"/>
    <n v="0.66666666666666663"/>
    <n v="0.66666666666666663"/>
    <n v="0.66666666666666663"/>
    <n v="0.66666666666666663"/>
    <n v="0.66666666666666663"/>
    <n v="0.66666666666666663"/>
    <n v="0.66666666666666663"/>
    <n v="0.66666666666666663"/>
    <n v="0.66666666666666663"/>
    <n v="0"/>
    <n v="0.66666666666666663"/>
  </r>
  <r>
    <n v="6902"/>
    <x v="5"/>
    <s v="0000/0281"/>
    <s v="Putney Telephone Exchange, Montserrat Road"/>
    <m/>
    <n v="524118"/>
    <n v="175366"/>
    <x v="0"/>
    <m/>
    <m/>
    <n v="0"/>
    <n v="5"/>
    <n v="5"/>
    <n v="5"/>
    <n v="5"/>
    <x v="0"/>
    <s v="Redevelopment"/>
    <s v="NONE"/>
    <m/>
    <m/>
    <x v="0"/>
    <s v="Nil"/>
    <m/>
    <s v="BF"/>
    <s v="NB"/>
    <x v="0"/>
    <x v="5"/>
    <n v="0"/>
    <m/>
    <x v="0"/>
    <m/>
    <x v="0"/>
    <s v="M"/>
    <s v="6.1.4"/>
    <n v="17320340"/>
    <n v="0"/>
    <n v="0"/>
    <n v="0"/>
    <n v="0"/>
    <n v="0"/>
    <n v="0"/>
    <n v="0"/>
    <n v="0"/>
    <n v="0"/>
    <n v="0"/>
    <n v="5"/>
    <n v="0"/>
    <n v="0"/>
    <n v="0"/>
    <n v="0"/>
    <n v="0"/>
    <n v="0"/>
    <n v="5"/>
    <n v="0"/>
    <n v="0"/>
    <n v="0"/>
    <n v="0"/>
    <n v="0"/>
    <n v="0"/>
    <n v="0"/>
    <n v="0"/>
    <n v="0"/>
    <n v="0"/>
    <n v="0"/>
    <n v="0"/>
    <n v="0"/>
    <n v="0"/>
    <x v="2"/>
    <x v="0"/>
    <x v="0"/>
    <x v="0"/>
    <x v="0"/>
    <m/>
    <x v="0"/>
    <x v="0"/>
    <n v="20"/>
    <m/>
    <m/>
    <m/>
    <m/>
    <m/>
    <m/>
    <n v="0.3125"/>
    <n v="0.3125"/>
    <n v="0.3125"/>
    <n v="0.3125"/>
    <n v="0.3125"/>
    <n v="0.3125"/>
    <n v="0.3125"/>
    <n v="0.3125"/>
    <n v="0.3125"/>
    <n v="0.3125"/>
    <n v="0.3125"/>
    <n v="0.3125"/>
    <n v="0.3125"/>
    <n v="0.3125"/>
    <n v="0.3125"/>
    <n v="0"/>
    <n v="1.5625"/>
  </r>
  <r>
    <n v="6904"/>
    <x v="5"/>
    <s v="0000/0283"/>
    <s v="Chelsea Cars and KwikFit, Armoury Way"/>
    <m/>
    <n v="525354"/>
    <n v="174734"/>
    <x v="2"/>
    <m/>
    <m/>
    <n v="0"/>
    <n v="43"/>
    <n v="43"/>
    <n v="64"/>
    <n v="64"/>
    <x v="1"/>
    <s v="Redevelopment"/>
    <s v="NONE"/>
    <m/>
    <m/>
    <x v="0"/>
    <s v="Nil"/>
    <m/>
    <s v="BF"/>
    <s v="NB"/>
    <x v="1"/>
    <x v="7"/>
    <n v="0"/>
    <m/>
    <x v="0"/>
    <m/>
    <x v="0"/>
    <s v="M"/>
    <m/>
    <n v="17320284"/>
    <n v="0"/>
    <n v="0"/>
    <n v="0"/>
    <n v="0"/>
    <n v="0"/>
    <n v="0"/>
    <n v="0"/>
    <n v="0"/>
    <n v="0"/>
    <n v="0"/>
    <n v="43"/>
    <n v="0"/>
    <n v="0"/>
    <n v="0"/>
    <n v="0"/>
    <n v="0"/>
    <n v="0"/>
    <n v="43"/>
    <n v="0"/>
    <n v="0"/>
    <n v="0"/>
    <n v="0"/>
    <n v="0"/>
    <n v="0"/>
    <n v="0"/>
    <n v="0"/>
    <n v="0"/>
    <n v="0"/>
    <n v="0"/>
    <n v="0"/>
    <n v="0"/>
    <n v="0"/>
    <x v="3"/>
    <x v="0"/>
    <x v="1"/>
    <x v="0"/>
    <x v="0"/>
    <m/>
    <x v="0"/>
    <x v="0"/>
    <n v="20"/>
    <m/>
    <m/>
    <m/>
    <m/>
    <m/>
    <m/>
    <n v="8.6"/>
    <n v="8.6"/>
    <n v="8.6"/>
    <n v="8.6"/>
    <n v="8.6"/>
    <m/>
    <m/>
    <m/>
    <m/>
    <m/>
    <m/>
    <m/>
    <m/>
    <m/>
    <m/>
    <n v="0"/>
    <n v="43"/>
  </r>
  <r>
    <n v="6904"/>
    <x v="5"/>
    <s v="0000/0283"/>
    <s v="Chelsea Cars and KwikFit, Armoury Way"/>
    <m/>
    <n v="525354"/>
    <n v="174734"/>
    <x v="2"/>
    <m/>
    <m/>
    <n v="0"/>
    <n v="13"/>
    <n v="13"/>
    <n v="64"/>
    <n v="64"/>
    <x v="1"/>
    <s v="Redevelopment"/>
    <s v="NONE"/>
    <m/>
    <m/>
    <x v="0"/>
    <s v="Nil"/>
    <m/>
    <s v="BF"/>
    <s v="NB"/>
    <x v="1"/>
    <x v="7"/>
    <n v="0"/>
    <m/>
    <x v="0"/>
    <m/>
    <x v="2"/>
    <s v="AA"/>
    <m/>
    <n v="17320284"/>
    <n v="0"/>
    <n v="0"/>
    <n v="0"/>
    <n v="0"/>
    <n v="0"/>
    <n v="0"/>
    <n v="0"/>
    <n v="0"/>
    <n v="0"/>
    <n v="0"/>
    <n v="13"/>
    <n v="0"/>
    <n v="0"/>
    <n v="0"/>
    <n v="0"/>
    <n v="0"/>
    <n v="0"/>
    <n v="13"/>
    <n v="0"/>
    <n v="0"/>
    <n v="0"/>
    <n v="0"/>
    <n v="0"/>
    <n v="0"/>
    <n v="0"/>
    <n v="0"/>
    <n v="0"/>
    <n v="0"/>
    <n v="0"/>
    <n v="0"/>
    <n v="0"/>
    <n v="0"/>
    <x v="3"/>
    <x v="0"/>
    <x v="1"/>
    <x v="0"/>
    <x v="0"/>
    <m/>
    <x v="0"/>
    <x v="0"/>
    <n v="20"/>
    <m/>
    <m/>
    <m/>
    <m/>
    <m/>
    <m/>
    <n v="2.6"/>
    <n v="2.6"/>
    <n v="2.6"/>
    <n v="2.6"/>
    <n v="2.6"/>
    <m/>
    <m/>
    <m/>
    <m/>
    <m/>
    <m/>
    <m/>
    <m/>
    <m/>
    <m/>
    <n v="0"/>
    <n v="13"/>
  </r>
  <r>
    <n v="6904"/>
    <x v="5"/>
    <s v="0000/0283"/>
    <s v="Chelsea Cars and KwikFit, Armoury Way"/>
    <m/>
    <n v="525354"/>
    <n v="174734"/>
    <x v="2"/>
    <m/>
    <m/>
    <n v="0"/>
    <n v="8"/>
    <n v="8"/>
    <n v="64"/>
    <n v="64"/>
    <x v="1"/>
    <s v="Redevelopment"/>
    <s v="NONE"/>
    <m/>
    <m/>
    <x v="0"/>
    <s v="Nil"/>
    <m/>
    <s v="BF"/>
    <s v="NB"/>
    <x v="0"/>
    <x v="5"/>
    <n v="0"/>
    <m/>
    <x v="0"/>
    <m/>
    <x v="1"/>
    <s v="ISO"/>
    <m/>
    <n v="17320284"/>
    <n v="0"/>
    <n v="0"/>
    <n v="0"/>
    <n v="0"/>
    <n v="0"/>
    <n v="0"/>
    <n v="0"/>
    <n v="0"/>
    <n v="0"/>
    <n v="0"/>
    <n v="8"/>
    <n v="0"/>
    <n v="0"/>
    <n v="0"/>
    <n v="0"/>
    <n v="0"/>
    <n v="0"/>
    <n v="8"/>
    <n v="0"/>
    <n v="0"/>
    <n v="0"/>
    <n v="0"/>
    <n v="0"/>
    <n v="0"/>
    <n v="0"/>
    <n v="0"/>
    <n v="0"/>
    <n v="0"/>
    <n v="0"/>
    <n v="0"/>
    <n v="0"/>
    <n v="0"/>
    <x v="3"/>
    <x v="0"/>
    <x v="1"/>
    <x v="0"/>
    <x v="0"/>
    <m/>
    <x v="0"/>
    <x v="0"/>
    <n v="20"/>
    <m/>
    <m/>
    <m/>
    <m/>
    <m/>
    <m/>
    <n v="1.6"/>
    <n v="1.6"/>
    <n v="1.6"/>
    <n v="1.6"/>
    <n v="1.6"/>
    <m/>
    <m/>
    <m/>
    <m/>
    <m/>
    <m/>
    <m/>
    <m/>
    <m/>
    <m/>
    <n v="0"/>
    <n v="8"/>
  </r>
  <r>
    <n v="6905"/>
    <x v="5"/>
    <s v="0000/0284"/>
    <s v="Frogmore Depot, Dormay Street"/>
    <m/>
    <n v="525428"/>
    <n v="174978"/>
    <x v="2"/>
    <m/>
    <m/>
    <n v="0"/>
    <n v="169"/>
    <n v="169"/>
    <n v="252"/>
    <n v="252"/>
    <x v="1"/>
    <s v="Redevelopment"/>
    <s v="NONE"/>
    <m/>
    <m/>
    <x v="0"/>
    <s v="Nil"/>
    <m/>
    <s v="BF"/>
    <s v="NB"/>
    <x v="1"/>
    <x v="7"/>
    <n v="0"/>
    <m/>
    <x v="0"/>
    <m/>
    <x v="0"/>
    <s v="M"/>
    <m/>
    <n v="17320057"/>
    <n v="0"/>
    <n v="0"/>
    <n v="0"/>
    <n v="0"/>
    <n v="0"/>
    <n v="0"/>
    <n v="0"/>
    <n v="0"/>
    <n v="0"/>
    <n v="0"/>
    <n v="169"/>
    <n v="0"/>
    <n v="0"/>
    <n v="0"/>
    <n v="0"/>
    <n v="0"/>
    <n v="0"/>
    <n v="169"/>
    <n v="0"/>
    <n v="0"/>
    <n v="0"/>
    <n v="0"/>
    <n v="0"/>
    <n v="0"/>
    <n v="0"/>
    <n v="0"/>
    <n v="0"/>
    <n v="0"/>
    <n v="0"/>
    <n v="0"/>
    <n v="0"/>
    <n v="0"/>
    <x v="0"/>
    <x v="0"/>
    <x v="1"/>
    <x v="0"/>
    <x v="0"/>
    <m/>
    <x v="0"/>
    <x v="0"/>
    <n v="20"/>
    <m/>
    <m/>
    <m/>
    <m/>
    <m/>
    <m/>
    <n v="16.899999999999999"/>
    <n v="16.899999999999999"/>
    <n v="16.899999999999999"/>
    <n v="16.899999999999999"/>
    <n v="16.899999999999999"/>
    <n v="16.899999999999999"/>
    <n v="16.899999999999999"/>
    <n v="16.899999999999999"/>
    <n v="16.899999999999999"/>
    <n v="16.899999999999999"/>
    <m/>
    <m/>
    <m/>
    <m/>
    <m/>
    <n v="0"/>
    <n v="84.5"/>
  </r>
  <r>
    <n v="6905"/>
    <x v="5"/>
    <s v="0000/0284"/>
    <s v="Frogmore Depot, Dormay Street"/>
    <m/>
    <n v="525428"/>
    <n v="174978"/>
    <x v="2"/>
    <m/>
    <m/>
    <n v="0"/>
    <n v="50"/>
    <n v="50"/>
    <n v="252"/>
    <n v="252"/>
    <x v="1"/>
    <s v="Redevelopment"/>
    <s v="NONE"/>
    <m/>
    <m/>
    <x v="0"/>
    <s v="Nil"/>
    <m/>
    <s v="BF"/>
    <s v="NB"/>
    <x v="1"/>
    <x v="7"/>
    <n v="0"/>
    <m/>
    <x v="0"/>
    <m/>
    <x v="2"/>
    <s v="AA"/>
    <m/>
    <n v="17320057"/>
    <n v="0"/>
    <n v="0"/>
    <n v="0"/>
    <n v="0"/>
    <n v="0"/>
    <n v="0"/>
    <n v="0"/>
    <n v="0"/>
    <n v="0"/>
    <n v="0"/>
    <n v="50"/>
    <n v="0"/>
    <n v="0"/>
    <n v="0"/>
    <n v="0"/>
    <n v="0"/>
    <n v="0"/>
    <n v="50"/>
    <n v="0"/>
    <n v="0"/>
    <n v="0"/>
    <n v="0"/>
    <n v="0"/>
    <n v="0"/>
    <n v="0"/>
    <n v="0"/>
    <n v="0"/>
    <n v="0"/>
    <n v="0"/>
    <n v="0"/>
    <n v="0"/>
    <n v="0"/>
    <x v="0"/>
    <x v="0"/>
    <x v="1"/>
    <x v="0"/>
    <x v="0"/>
    <m/>
    <x v="0"/>
    <x v="0"/>
    <n v="20"/>
    <m/>
    <m/>
    <m/>
    <m/>
    <m/>
    <m/>
    <n v="5"/>
    <n v="5"/>
    <n v="5"/>
    <n v="5"/>
    <n v="5"/>
    <n v="5"/>
    <n v="5"/>
    <n v="5"/>
    <n v="5"/>
    <n v="5"/>
    <m/>
    <m/>
    <m/>
    <m/>
    <m/>
    <n v="0"/>
    <n v="25"/>
  </r>
  <r>
    <n v="6905"/>
    <x v="5"/>
    <s v="0000/0284"/>
    <s v="Frogmore Depot, Dormay Street"/>
    <m/>
    <n v="525428"/>
    <n v="174978"/>
    <x v="2"/>
    <m/>
    <m/>
    <n v="0"/>
    <n v="33"/>
    <n v="33"/>
    <n v="252"/>
    <n v="252"/>
    <x v="1"/>
    <s v="Redevelopment"/>
    <s v="NONE"/>
    <m/>
    <m/>
    <x v="0"/>
    <s v="Nil"/>
    <m/>
    <s v="BF"/>
    <s v="NB"/>
    <x v="1"/>
    <x v="7"/>
    <n v="0"/>
    <m/>
    <x v="0"/>
    <m/>
    <x v="1"/>
    <s v="ISO"/>
    <m/>
    <n v="17320057"/>
    <n v="0"/>
    <n v="0"/>
    <n v="0"/>
    <n v="0"/>
    <n v="0"/>
    <n v="0"/>
    <n v="0"/>
    <n v="0"/>
    <n v="0"/>
    <n v="0"/>
    <n v="33"/>
    <n v="0"/>
    <n v="0"/>
    <n v="0"/>
    <n v="0"/>
    <n v="0"/>
    <n v="0"/>
    <n v="33"/>
    <n v="0"/>
    <n v="0"/>
    <n v="0"/>
    <n v="0"/>
    <n v="0"/>
    <n v="0"/>
    <n v="0"/>
    <n v="0"/>
    <n v="0"/>
    <n v="0"/>
    <n v="0"/>
    <n v="0"/>
    <n v="0"/>
    <n v="0"/>
    <x v="0"/>
    <x v="0"/>
    <x v="1"/>
    <x v="0"/>
    <x v="0"/>
    <m/>
    <x v="0"/>
    <x v="0"/>
    <n v="20"/>
    <m/>
    <m/>
    <m/>
    <m/>
    <m/>
    <m/>
    <n v="3.3"/>
    <n v="3.3"/>
    <n v="3.3"/>
    <n v="3.3"/>
    <n v="3.3"/>
    <n v="3.3"/>
    <n v="3.3"/>
    <n v="3.3"/>
    <n v="3.3"/>
    <n v="3.3"/>
    <m/>
    <m/>
    <m/>
    <m/>
    <m/>
    <n v="0"/>
    <n v="16.5"/>
  </r>
  <r>
    <n v="6906"/>
    <x v="5"/>
    <s v="0000/0285"/>
    <s v="Panorama Antennas, Dormay Street"/>
    <m/>
    <n v="525504"/>
    <n v="174901"/>
    <x v="2"/>
    <m/>
    <m/>
    <n v="0"/>
    <n v="7"/>
    <n v="7"/>
    <n v="10"/>
    <n v="10"/>
    <x v="1"/>
    <s v="Redevelopment"/>
    <s v="NONE"/>
    <m/>
    <m/>
    <x v="0"/>
    <s v="Nil"/>
    <m/>
    <s v="BF"/>
    <s v="NB"/>
    <x v="0"/>
    <x v="5"/>
    <n v="0"/>
    <m/>
    <x v="0"/>
    <m/>
    <x v="0"/>
    <s v="M"/>
    <m/>
    <n v="17320063"/>
    <n v="0"/>
    <n v="0"/>
    <n v="0"/>
    <n v="0"/>
    <n v="0"/>
    <n v="0"/>
    <n v="0"/>
    <n v="0"/>
    <n v="0"/>
    <n v="0"/>
    <n v="7"/>
    <n v="0"/>
    <n v="0"/>
    <n v="0"/>
    <n v="0"/>
    <n v="0"/>
    <n v="0"/>
    <n v="7"/>
    <n v="0"/>
    <n v="0"/>
    <n v="0"/>
    <n v="0"/>
    <n v="0"/>
    <n v="0"/>
    <n v="0"/>
    <n v="0"/>
    <n v="0"/>
    <n v="0"/>
    <n v="0"/>
    <n v="0"/>
    <n v="0"/>
    <n v="0"/>
    <x v="0"/>
    <x v="0"/>
    <x v="1"/>
    <x v="0"/>
    <x v="0"/>
    <m/>
    <x v="0"/>
    <x v="0"/>
    <n v="20"/>
    <m/>
    <m/>
    <m/>
    <m/>
    <m/>
    <m/>
    <n v="0.7"/>
    <n v="0.7"/>
    <n v="0.7"/>
    <n v="0.7"/>
    <n v="0.7"/>
    <n v="0.7"/>
    <n v="0.7"/>
    <n v="0.7"/>
    <n v="0.7"/>
    <n v="0.7"/>
    <m/>
    <m/>
    <m/>
    <m/>
    <m/>
    <n v="0"/>
    <n v="3.5"/>
  </r>
  <r>
    <n v="6906"/>
    <x v="5"/>
    <s v="0000/0285"/>
    <s v="Panorama Antennas, Dormay Street"/>
    <m/>
    <n v="525504"/>
    <n v="174901"/>
    <x v="2"/>
    <m/>
    <m/>
    <n v="0"/>
    <n v="2"/>
    <n v="2"/>
    <n v="10"/>
    <n v="10"/>
    <x v="1"/>
    <s v="Redevelopment"/>
    <s v="NONE"/>
    <m/>
    <m/>
    <x v="0"/>
    <s v="Nil"/>
    <m/>
    <s v="BF"/>
    <s v="NB"/>
    <x v="0"/>
    <x v="5"/>
    <n v="0"/>
    <m/>
    <x v="0"/>
    <m/>
    <x v="2"/>
    <s v="AA"/>
    <m/>
    <n v="17320063"/>
    <n v="0"/>
    <n v="0"/>
    <n v="0"/>
    <n v="0"/>
    <n v="0"/>
    <n v="0"/>
    <n v="0"/>
    <n v="0"/>
    <n v="0"/>
    <n v="0"/>
    <n v="2"/>
    <n v="0"/>
    <n v="0"/>
    <n v="0"/>
    <n v="0"/>
    <n v="0"/>
    <n v="0"/>
    <n v="2"/>
    <n v="0"/>
    <n v="0"/>
    <n v="0"/>
    <n v="0"/>
    <n v="0"/>
    <n v="0"/>
    <n v="0"/>
    <n v="0"/>
    <n v="0"/>
    <n v="0"/>
    <n v="0"/>
    <n v="0"/>
    <n v="0"/>
    <n v="0"/>
    <x v="0"/>
    <x v="0"/>
    <x v="1"/>
    <x v="0"/>
    <x v="0"/>
    <m/>
    <x v="0"/>
    <x v="0"/>
    <n v="20"/>
    <m/>
    <m/>
    <m/>
    <m/>
    <m/>
    <m/>
    <n v="0.2"/>
    <n v="0.2"/>
    <n v="0.2"/>
    <n v="0.2"/>
    <n v="0.2"/>
    <n v="0.2"/>
    <n v="0.2"/>
    <n v="0.2"/>
    <n v="0.2"/>
    <n v="0.2"/>
    <m/>
    <m/>
    <m/>
    <m/>
    <m/>
    <n v="0"/>
    <n v="1"/>
  </r>
  <r>
    <n v="6906"/>
    <x v="5"/>
    <s v="0000/0285"/>
    <s v="Panorama Antennas, Dormay Street"/>
    <m/>
    <n v="525504"/>
    <n v="174901"/>
    <x v="2"/>
    <m/>
    <m/>
    <n v="0"/>
    <n v="1"/>
    <n v="1"/>
    <n v="10"/>
    <n v="10"/>
    <x v="1"/>
    <s v="Redevelopment"/>
    <s v="NONE"/>
    <m/>
    <m/>
    <x v="0"/>
    <s v="Nil"/>
    <m/>
    <s v="BF"/>
    <s v="NB"/>
    <x v="0"/>
    <x v="5"/>
    <n v="0"/>
    <m/>
    <x v="0"/>
    <m/>
    <x v="1"/>
    <s v="ISO"/>
    <m/>
    <n v="17320063"/>
    <n v="0"/>
    <n v="0"/>
    <n v="0"/>
    <n v="0"/>
    <n v="0"/>
    <n v="0"/>
    <n v="0"/>
    <n v="0"/>
    <n v="0"/>
    <n v="0"/>
    <n v="1"/>
    <n v="0"/>
    <n v="0"/>
    <n v="0"/>
    <n v="0"/>
    <n v="0"/>
    <n v="0"/>
    <n v="1"/>
    <n v="0"/>
    <n v="0"/>
    <n v="0"/>
    <n v="0"/>
    <n v="0"/>
    <n v="0"/>
    <n v="0"/>
    <n v="0"/>
    <n v="0"/>
    <n v="0"/>
    <n v="0"/>
    <n v="0"/>
    <n v="0"/>
    <n v="0"/>
    <x v="0"/>
    <x v="0"/>
    <x v="1"/>
    <x v="0"/>
    <x v="0"/>
    <m/>
    <x v="0"/>
    <x v="0"/>
    <n v="20"/>
    <m/>
    <m/>
    <m/>
    <m/>
    <m/>
    <m/>
    <n v="0.1"/>
    <n v="0.1"/>
    <n v="0.1"/>
    <n v="0.1"/>
    <n v="0.1"/>
    <n v="0.1"/>
    <n v="0.1"/>
    <n v="0.1"/>
    <n v="0.1"/>
    <n v="0.1"/>
    <m/>
    <m/>
    <m/>
    <m/>
    <m/>
    <n v="0"/>
    <n v="0.5"/>
  </r>
  <r>
    <n v="6908"/>
    <x v="5"/>
    <s v="0000/0287"/>
    <s v="Riverside Business Centre and Former Bingo Hall, Bendon Valley"/>
    <m/>
    <n v="525716"/>
    <n v="173464"/>
    <x v="8"/>
    <m/>
    <m/>
    <n v="0"/>
    <n v="268"/>
    <n v="268"/>
    <n v="400"/>
    <n v="400"/>
    <x v="1"/>
    <s v="Redevelopment"/>
    <s v="NONE"/>
    <m/>
    <m/>
    <x v="0"/>
    <s v="Nil"/>
    <m/>
    <s v="BF"/>
    <s v="NB"/>
    <x v="1"/>
    <x v="7"/>
    <n v="0"/>
    <m/>
    <x v="0"/>
    <m/>
    <x v="0"/>
    <s v="M"/>
    <m/>
    <n v="17320085"/>
    <n v="0"/>
    <n v="0"/>
    <n v="0"/>
    <n v="0"/>
    <n v="0"/>
    <n v="0"/>
    <n v="0"/>
    <n v="0"/>
    <n v="0"/>
    <n v="0"/>
    <n v="268"/>
    <n v="0"/>
    <n v="0"/>
    <n v="0"/>
    <n v="0"/>
    <n v="0"/>
    <n v="0"/>
    <n v="268"/>
    <n v="0"/>
    <n v="0"/>
    <n v="0"/>
    <n v="0"/>
    <n v="0"/>
    <n v="0"/>
    <n v="0"/>
    <n v="0"/>
    <n v="0"/>
    <n v="0"/>
    <n v="0"/>
    <n v="0"/>
    <n v="0"/>
    <n v="0"/>
    <x v="0"/>
    <x v="0"/>
    <x v="0"/>
    <x v="0"/>
    <x v="0"/>
    <m/>
    <x v="0"/>
    <x v="1"/>
    <n v="20"/>
    <m/>
    <m/>
    <m/>
    <m/>
    <m/>
    <m/>
    <n v="26.8"/>
    <n v="26.8"/>
    <n v="26.8"/>
    <n v="26.8"/>
    <n v="26.8"/>
    <n v="26.8"/>
    <n v="26.8"/>
    <n v="26.8"/>
    <n v="26.8"/>
    <n v="26.8"/>
    <m/>
    <m/>
    <m/>
    <m/>
    <m/>
    <n v="0"/>
    <n v="134"/>
  </r>
  <r>
    <n v="6908"/>
    <x v="5"/>
    <s v="0000/0287"/>
    <s v="Riverside Business Centre and Former Bingo Hall, Bendon Valley"/>
    <m/>
    <n v="525716"/>
    <n v="173464"/>
    <x v="8"/>
    <m/>
    <m/>
    <n v="0"/>
    <n v="79"/>
    <n v="79"/>
    <n v="400"/>
    <n v="400"/>
    <x v="1"/>
    <s v="Redevelopment"/>
    <s v="NONE"/>
    <m/>
    <m/>
    <x v="0"/>
    <s v="Nil"/>
    <m/>
    <s v="BF"/>
    <s v="NB"/>
    <x v="1"/>
    <x v="7"/>
    <n v="0"/>
    <m/>
    <x v="0"/>
    <m/>
    <x v="2"/>
    <s v="AA"/>
    <m/>
    <n v="17320085"/>
    <n v="0"/>
    <n v="0"/>
    <n v="0"/>
    <n v="0"/>
    <n v="0"/>
    <n v="0"/>
    <n v="0"/>
    <n v="0"/>
    <n v="0"/>
    <n v="0"/>
    <n v="79"/>
    <n v="0"/>
    <n v="0"/>
    <n v="0"/>
    <n v="0"/>
    <n v="0"/>
    <n v="0"/>
    <n v="79"/>
    <n v="0"/>
    <n v="0"/>
    <n v="0"/>
    <n v="0"/>
    <n v="0"/>
    <n v="0"/>
    <n v="0"/>
    <n v="0"/>
    <n v="0"/>
    <n v="0"/>
    <n v="0"/>
    <n v="0"/>
    <n v="0"/>
    <n v="0"/>
    <x v="0"/>
    <x v="0"/>
    <x v="0"/>
    <x v="0"/>
    <x v="0"/>
    <m/>
    <x v="0"/>
    <x v="1"/>
    <n v="20"/>
    <m/>
    <m/>
    <m/>
    <m/>
    <m/>
    <m/>
    <n v="7.9"/>
    <n v="7.9"/>
    <n v="7.9"/>
    <n v="7.9"/>
    <n v="7.9"/>
    <n v="7.9"/>
    <n v="7.9"/>
    <n v="7.9"/>
    <n v="7.9"/>
    <n v="7.9"/>
    <m/>
    <m/>
    <m/>
    <m/>
    <m/>
    <n v="0"/>
    <n v="39.5"/>
  </r>
  <r>
    <n v="6908"/>
    <x v="5"/>
    <s v="0000/0287"/>
    <s v="Riverside Business Centre and Former Bingo Hall, Bendon Valley"/>
    <m/>
    <n v="525716"/>
    <n v="173464"/>
    <x v="8"/>
    <m/>
    <m/>
    <n v="0"/>
    <n v="53"/>
    <n v="53"/>
    <n v="400"/>
    <n v="400"/>
    <x v="1"/>
    <s v="Redevelopment"/>
    <s v="NONE"/>
    <m/>
    <m/>
    <x v="0"/>
    <s v="Nil"/>
    <m/>
    <s v="BF"/>
    <s v="NB"/>
    <x v="1"/>
    <x v="7"/>
    <n v="0"/>
    <m/>
    <x v="0"/>
    <m/>
    <x v="1"/>
    <s v="ISO"/>
    <m/>
    <n v="17320085"/>
    <n v="0"/>
    <n v="0"/>
    <n v="0"/>
    <n v="0"/>
    <n v="0"/>
    <n v="0"/>
    <n v="0"/>
    <n v="0"/>
    <n v="0"/>
    <n v="0"/>
    <n v="53"/>
    <n v="0"/>
    <n v="0"/>
    <n v="0"/>
    <n v="0"/>
    <n v="0"/>
    <n v="0"/>
    <n v="53"/>
    <n v="0"/>
    <n v="0"/>
    <n v="0"/>
    <n v="0"/>
    <n v="0"/>
    <n v="0"/>
    <n v="0"/>
    <n v="0"/>
    <n v="0"/>
    <n v="0"/>
    <n v="0"/>
    <n v="0"/>
    <n v="0"/>
    <n v="0"/>
    <x v="0"/>
    <x v="0"/>
    <x v="0"/>
    <x v="0"/>
    <x v="0"/>
    <m/>
    <x v="0"/>
    <x v="1"/>
    <n v="20"/>
    <m/>
    <m/>
    <m/>
    <m/>
    <m/>
    <m/>
    <n v="5.3"/>
    <n v="5.3"/>
    <n v="5.3"/>
    <n v="5.3"/>
    <n v="5.3"/>
    <n v="5.3"/>
    <n v="5.3"/>
    <n v="5.3"/>
    <n v="5.3"/>
    <n v="5.3"/>
    <m/>
    <m/>
    <m/>
    <m/>
    <m/>
    <n v="0"/>
    <n v="26.5"/>
  </r>
  <r>
    <n v="7385"/>
    <x v="5"/>
    <s v="0000/0324"/>
    <s v="Randall Close Day Centre and car park, 2 Randall Close (Surrey Lane Estate)"/>
    <m/>
    <n v="527211"/>
    <n v="176872"/>
    <x v="11"/>
    <m/>
    <m/>
    <n v="0"/>
    <n v="57"/>
    <n v="57"/>
    <n v="106"/>
    <n v="106"/>
    <x v="1"/>
    <s v="Redevelopment"/>
    <s v="NONE"/>
    <m/>
    <m/>
    <x v="0"/>
    <s v="Nil"/>
    <m/>
    <s v="BF"/>
    <s v="NB"/>
    <x v="1"/>
    <x v="7"/>
    <n v="0"/>
    <m/>
    <x v="0"/>
    <m/>
    <x v="0"/>
    <s v="M"/>
    <m/>
    <m/>
    <n v="0"/>
    <n v="0"/>
    <n v="0"/>
    <n v="0"/>
    <n v="0"/>
    <n v="16"/>
    <n v="40"/>
    <n v="1"/>
    <n v="0"/>
    <n v="0"/>
    <n v="0"/>
    <n v="0"/>
    <n v="16"/>
    <n v="40"/>
    <n v="1"/>
    <n v="0"/>
    <n v="0"/>
    <n v="0"/>
    <n v="0"/>
    <n v="0"/>
    <n v="0"/>
    <n v="0"/>
    <n v="0"/>
    <n v="0"/>
    <n v="0"/>
    <n v="0"/>
    <n v="0"/>
    <n v="0"/>
    <n v="0"/>
    <n v="0"/>
    <n v="0"/>
    <n v="0"/>
    <x v="0"/>
    <x v="0"/>
    <x v="0"/>
    <x v="0"/>
    <x v="0"/>
    <m/>
    <x v="0"/>
    <x v="0"/>
    <n v="20"/>
    <m/>
    <m/>
    <m/>
    <m/>
    <n v="57"/>
    <m/>
    <m/>
    <m/>
    <m/>
    <m/>
    <m/>
    <m/>
    <m/>
    <m/>
    <m/>
    <m/>
    <m/>
    <m/>
    <m/>
    <m/>
    <m/>
    <n v="57"/>
    <n v="57"/>
  </r>
  <r>
    <n v="7385"/>
    <x v="5"/>
    <s v="0000/0324"/>
    <s v="Randall Close Day Centre and car park, 2 Randall Close (Surrey Lane Estate)"/>
    <m/>
    <n v="527211"/>
    <n v="176872"/>
    <x v="11"/>
    <m/>
    <m/>
    <n v="0"/>
    <n v="27"/>
    <n v="27"/>
    <n v="106"/>
    <n v="106"/>
    <x v="1"/>
    <s v="Redevelopment"/>
    <s v="NONE"/>
    <m/>
    <m/>
    <x v="0"/>
    <s v="Nil"/>
    <m/>
    <s v="BF"/>
    <s v="NB"/>
    <x v="1"/>
    <x v="7"/>
    <n v="0"/>
    <m/>
    <x v="0"/>
    <m/>
    <x v="2"/>
    <s v="AL"/>
    <m/>
    <m/>
    <n v="0"/>
    <n v="0"/>
    <n v="0"/>
    <n v="0"/>
    <n v="0"/>
    <n v="4"/>
    <n v="17"/>
    <n v="4"/>
    <n v="2"/>
    <n v="0"/>
    <n v="0"/>
    <n v="0"/>
    <n v="4"/>
    <n v="17"/>
    <n v="4"/>
    <n v="2"/>
    <n v="0"/>
    <n v="0"/>
    <n v="0"/>
    <n v="0"/>
    <n v="0"/>
    <n v="0"/>
    <n v="0"/>
    <n v="0"/>
    <n v="0"/>
    <n v="0"/>
    <n v="0"/>
    <n v="0"/>
    <n v="0"/>
    <n v="0"/>
    <n v="0"/>
    <n v="0"/>
    <x v="0"/>
    <x v="0"/>
    <x v="0"/>
    <x v="0"/>
    <x v="0"/>
    <m/>
    <x v="0"/>
    <x v="0"/>
    <n v="20"/>
    <m/>
    <m/>
    <m/>
    <m/>
    <n v="27"/>
    <m/>
    <m/>
    <m/>
    <m/>
    <m/>
    <m/>
    <m/>
    <m/>
    <m/>
    <m/>
    <m/>
    <m/>
    <m/>
    <m/>
    <m/>
    <m/>
    <n v="27"/>
    <n v="27"/>
  </r>
  <r>
    <n v="7385"/>
    <x v="5"/>
    <s v="0000/0324"/>
    <s v="Randall Close Day Centre and car park, 2 Randall Close (Surrey Lane Estate)"/>
    <m/>
    <n v="527211"/>
    <n v="176872"/>
    <x v="11"/>
    <m/>
    <m/>
    <n v="0"/>
    <n v="22"/>
    <n v="22"/>
    <n v="106"/>
    <n v="106"/>
    <x v="1"/>
    <s v="Redevelopment"/>
    <s v="NONE"/>
    <m/>
    <m/>
    <x v="0"/>
    <s v="Nil"/>
    <m/>
    <s v="BF"/>
    <s v="NB"/>
    <x v="1"/>
    <x v="7"/>
    <n v="0"/>
    <m/>
    <x v="0"/>
    <m/>
    <x v="1"/>
    <s v="ISO"/>
    <m/>
    <m/>
    <n v="0"/>
    <n v="0"/>
    <n v="0"/>
    <n v="0"/>
    <n v="22"/>
    <n v="0"/>
    <n v="0"/>
    <n v="0"/>
    <n v="0"/>
    <n v="0"/>
    <n v="0"/>
    <n v="22"/>
    <n v="0"/>
    <n v="0"/>
    <n v="0"/>
    <n v="0"/>
    <n v="0"/>
    <n v="0"/>
    <n v="0"/>
    <n v="0"/>
    <n v="0"/>
    <n v="0"/>
    <n v="0"/>
    <n v="0"/>
    <n v="0"/>
    <n v="0"/>
    <n v="0"/>
    <n v="0"/>
    <n v="0"/>
    <n v="0"/>
    <n v="0"/>
    <n v="0"/>
    <x v="0"/>
    <x v="0"/>
    <x v="0"/>
    <x v="0"/>
    <x v="0"/>
    <m/>
    <x v="0"/>
    <x v="0"/>
    <n v="20"/>
    <m/>
    <m/>
    <m/>
    <m/>
    <n v="22"/>
    <m/>
    <m/>
    <m/>
    <m/>
    <m/>
    <m/>
    <m/>
    <m/>
    <m/>
    <m/>
    <m/>
    <m/>
    <m/>
    <m/>
    <m/>
    <m/>
    <n v="22"/>
    <n v="22"/>
  </r>
  <r>
    <n v="7386"/>
    <x v="5"/>
    <s v="0000/0325"/>
    <s v="Crewkerne Court Garages, Battersea Church Road (Somerset Estate)"/>
    <m/>
    <n v="526944"/>
    <n v="176965"/>
    <x v="11"/>
    <m/>
    <m/>
    <n v="0"/>
    <n v="50"/>
    <n v="50"/>
    <n v="106"/>
    <n v="106"/>
    <x v="1"/>
    <s v="Redevelopment"/>
    <s v="NONE"/>
    <m/>
    <m/>
    <x v="0"/>
    <s v="Nil"/>
    <m/>
    <s v="BF"/>
    <s v="NB"/>
    <x v="1"/>
    <x v="7"/>
    <n v="0"/>
    <m/>
    <x v="0"/>
    <m/>
    <x v="1"/>
    <s v="IRD"/>
    <m/>
    <m/>
    <n v="0"/>
    <m/>
    <n v="0"/>
    <m/>
    <n v="0"/>
    <n v="50"/>
    <n v="0"/>
    <n v="0"/>
    <n v="0"/>
    <n v="0"/>
    <n v="0"/>
    <n v="0"/>
    <n v="50"/>
    <n v="0"/>
    <n v="0"/>
    <n v="0"/>
    <n v="0"/>
    <n v="0"/>
    <n v="0"/>
    <n v="0"/>
    <n v="0"/>
    <n v="0"/>
    <n v="0"/>
    <n v="0"/>
    <n v="0"/>
    <n v="0"/>
    <n v="0"/>
    <n v="0"/>
    <n v="0"/>
    <n v="0"/>
    <n v="0"/>
    <n v="0"/>
    <x v="0"/>
    <x v="0"/>
    <x v="0"/>
    <x v="0"/>
    <x v="0"/>
    <m/>
    <x v="0"/>
    <x v="0"/>
    <n v="20"/>
    <m/>
    <m/>
    <m/>
    <m/>
    <n v="50"/>
    <m/>
    <m/>
    <m/>
    <m/>
    <m/>
    <m/>
    <m/>
    <m/>
    <m/>
    <m/>
    <m/>
    <m/>
    <m/>
    <m/>
    <m/>
    <m/>
    <n v="50"/>
    <n v="50"/>
  </r>
  <r>
    <n v="7386"/>
    <x v="5"/>
    <s v="0000/0325"/>
    <s v="Crewkerne Court Garages, Battersea Church Road (Somerset Estate)"/>
    <m/>
    <n v="526944"/>
    <n v="176965"/>
    <x v="11"/>
    <m/>
    <m/>
    <n v="0"/>
    <n v="44"/>
    <n v="44"/>
    <n v="106"/>
    <n v="106"/>
    <x v="1"/>
    <s v="Redevelopment"/>
    <s v="NONE"/>
    <m/>
    <m/>
    <x v="0"/>
    <s v="Nil"/>
    <m/>
    <s v="BF"/>
    <s v="NB"/>
    <x v="1"/>
    <x v="7"/>
    <n v="0"/>
    <m/>
    <x v="0"/>
    <m/>
    <x v="0"/>
    <s v="M"/>
    <m/>
    <m/>
    <n v="0"/>
    <m/>
    <n v="0"/>
    <n v="6"/>
    <n v="0"/>
    <n v="10"/>
    <n v="34"/>
    <n v="0"/>
    <n v="0"/>
    <n v="0"/>
    <n v="0"/>
    <n v="0"/>
    <n v="10"/>
    <n v="34"/>
    <n v="0"/>
    <n v="0"/>
    <n v="0"/>
    <n v="0"/>
    <n v="0"/>
    <n v="0"/>
    <n v="0"/>
    <n v="0"/>
    <n v="0"/>
    <n v="0"/>
    <n v="0"/>
    <n v="0"/>
    <n v="0"/>
    <n v="0"/>
    <n v="0"/>
    <n v="0"/>
    <n v="0"/>
    <n v="0"/>
    <x v="0"/>
    <x v="0"/>
    <x v="0"/>
    <x v="0"/>
    <x v="0"/>
    <m/>
    <x v="0"/>
    <x v="0"/>
    <n v="20"/>
    <m/>
    <m/>
    <m/>
    <m/>
    <n v="44"/>
    <m/>
    <m/>
    <m/>
    <m/>
    <m/>
    <m/>
    <m/>
    <m/>
    <m/>
    <m/>
    <m/>
    <m/>
    <m/>
    <m/>
    <m/>
    <m/>
    <n v="44"/>
    <n v="44"/>
  </r>
  <r>
    <n v="7386"/>
    <x v="5"/>
    <s v="0000/0325"/>
    <s v="Crewkerne Court Garages, Battersea Church Road (Somerset Estate)"/>
    <m/>
    <n v="526944"/>
    <n v="176965"/>
    <x v="11"/>
    <m/>
    <m/>
    <n v="0"/>
    <n v="12"/>
    <n v="12"/>
    <n v="106"/>
    <n v="106"/>
    <x v="1"/>
    <s v="Redevelopment"/>
    <s v="NONE"/>
    <m/>
    <m/>
    <x v="0"/>
    <s v="Nil"/>
    <m/>
    <s v="BF"/>
    <s v="NB"/>
    <x v="1"/>
    <x v="7"/>
    <n v="0"/>
    <m/>
    <x v="0"/>
    <m/>
    <x v="2"/>
    <s v="AC"/>
    <m/>
    <m/>
    <n v="0"/>
    <m/>
    <n v="0"/>
    <n v="6"/>
    <n v="0"/>
    <n v="0"/>
    <n v="12"/>
    <n v="0"/>
    <n v="0"/>
    <n v="0"/>
    <n v="0"/>
    <n v="0"/>
    <n v="0"/>
    <n v="12"/>
    <n v="0"/>
    <n v="0"/>
    <n v="0"/>
    <n v="0"/>
    <n v="0"/>
    <n v="0"/>
    <n v="0"/>
    <n v="0"/>
    <n v="0"/>
    <n v="0"/>
    <n v="0"/>
    <n v="0"/>
    <n v="0"/>
    <n v="0"/>
    <n v="0"/>
    <n v="0"/>
    <n v="0"/>
    <n v="0"/>
    <x v="0"/>
    <x v="0"/>
    <x v="0"/>
    <x v="0"/>
    <x v="0"/>
    <m/>
    <x v="0"/>
    <x v="0"/>
    <n v="20"/>
    <m/>
    <m/>
    <m/>
    <m/>
    <n v="12"/>
    <m/>
    <m/>
    <m/>
    <m/>
    <m/>
    <m/>
    <m/>
    <m/>
    <m/>
    <m/>
    <m/>
    <m/>
    <m/>
    <m/>
    <m/>
    <m/>
    <n v="12"/>
    <n v="12"/>
  </r>
  <r>
    <n v="7387"/>
    <x v="5"/>
    <s v="0000/0326"/>
    <s v="Ashburton Community Centre, Westleigh Avenue (Ashburton South Estate)"/>
    <m/>
    <n v="523041"/>
    <n v="174501"/>
    <x v="15"/>
    <m/>
    <m/>
    <n v="0"/>
    <n v="15"/>
    <n v="15"/>
    <n v="27"/>
    <n v="27"/>
    <x v="1"/>
    <s v="Redevelopment"/>
    <s v="NONE"/>
    <m/>
    <m/>
    <x v="0"/>
    <s v="Nil"/>
    <m/>
    <s v="BF"/>
    <s v="NB"/>
    <x v="1"/>
    <x v="7"/>
    <n v="0"/>
    <m/>
    <x v="0"/>
    <m/>
    <x v="0"/>
    <s v="M"/>
    <m/>
    <m/>
    <n v="0"/>
    <m/>
    <n v="0"/>
    <m/>
    <n v="0"/>
    <n v="0"/>
    <n v="0"/>
    <n v="0"/>
    <n v="0"/>
    <n v="0"/>
    <n v="15"/>
    <n v="0"/>
    <n v="0"/>
    <n v="0"/>
    <n v="0"/>
    <n v="0"/>
    <n v="0"/>
    <n v="15"/>
    <n v="0"/>
    <n v="0"/>
    <n v="0"/>
    <n v="0"/>
    <n v="0"/>
    <n v="0"/>
    <n v="0"/>
    <n v="0"/>
    <n v="0"/>
    <n v="0"/>
    <n v="0"/>
    <n v="0"/>
    <n v="0"/>
    <n v="0"/>
    <x v="0"/>
    <x v="0"/>
    <x v="0"/>
    <x v="0"/>
    <x v="0"/>
    <m/>
    <x v="0"/>
    <x v="0"/>
    <n v="20"/>
    <m/>
    <m/>
    <m/>
    <m/>
    <m/>
    <n v="15"/>
    <m/>
    <m/>
    <m/>
    <m/>
    <m/>
    <m/>
    <m/>
    <m/>
    <m/>
    <m/>
    <m/>
    <m/>
    <m/>
    <m/>
    <m/>
    <n v="15"/>
    <n v="15"/>
  </r>
  <r>
    <n v="7387"/>
    <x v="5"/>
    <s v="0000/0326"/>
    <s v="Ashburton Community Centre, Westleigh Avenue (Ashburton South Estate)"/>
    <m/>
    <n v="523041"/>
    <n v="174501"/>
    <x v="15"/>
    <m/>
    <m/>
    <n v="0"/>
    <n v="7"/>
    <n v="7"/>
    <n v="27"/>
    <n v="27"/>
    <x v="1"/>
    <s v="Redevelopment"/>
    <s v="NONE"/>
    <m/>
    <m/>
    <x v="0"/>
    <s v="Nil"/>
    <m/>
    <s v="BF"/>
    <s v="NB"/>
    <x v="1"/>
    <x v="7"/>
    <n v="0"/>
    <m/>
    <x v="0"/>
    <m/>
    <x v="1"/>
    <s v="ISO"/>
    <m/>
    <m/>
    <n v="0"/>
    <m/>
    <n v="0"/>
    <m/>
    <n v="0"/>
    <n v="0"/>
    <n v="0"/>
    <n v="0"/>
    <n v="0"/>
    <n v="0"/>
    <n v="7"/>
    <n v="0"/>
    <n v="0"/>
    <n v="0"/>
    <n v="0"/>
    <n v="0"/>
    <n v="0"/>
    <n v="7"/>
    <n v="0"/>
    <n v="0"/>
    <n v="0"/>
    <n v="0"/>
    <n v="0"/>
    <n v="0"/>
    <n v="0"/>
    <n v="0"/>
    <n v="0"/>
    <n v="0"/>
    <n v="0"/>
    <n v="0"/>
    <n v="0"/>
    <n v="0"/>
    <x v="0"/>
    <x v="0"/>
    <x v="0"/>
    <x v="0"/>
    <x v="0"/>
    <m/>
    <x v="0"/>
    <x v="0"/>
    <n v="20"/>
    <m/>
    <m/>
    <m/>
    <m/>
    <m/>
    <n v="7"/>
    <m/>
    <m/>
    <m/>
    <m/>
    <m/>
    <m/>
    <m/>
    <m/>
    <m/>
    <m/>
    <m/>
    <m/>
    <m/>
    <m/>
    <m/>
    <n v="7"/>
    <n v="7"/>
  </r>
  <r>
    <n v="7387"/>
    <x v="5"/>
    <s v="0000/0326"/>
    <s v="Ashburton Community Centre, Westleigh Avenue (Ashburton South Estate)"/>
    <m/>
    <n v="523041"/>
    <n v="174501"/>
    <x v="15"/>
    <m/>
    <m/>
    <n v="0"/>
    <n v="5"/>
    <n v="5"/>
    <n v="27"/>
    <n v="27"/>
    <x v="1"/>
    <s v="Redevelopment"/>
    <s v="NONE"/>
    <m/>
    <m/>
    <x v="0"/>
    <s v="Nil"/>
    <m/>
    <s v="BF"/>
    <s v="NB"/>
    <x v="1"/>
    <x v="7"/>
    <n v="0"/>
    <m/>
    <x v="0"/>
    <m/>
    <x v="2"/>
    <s v="AC"/>
    <m/>
    <m/>
    <n v="0"/>
    <m/>
    <n v="0"/>
    <m/>
    <n v="0"/>
    <n v="0"/>
    <n v="0"/>
    <n v="0"/>
    <n v="0"/>
    <n v="0"/>
    <n v="5"/>
    <n v="0"/>
    <n v="0"/>
    <n v="0"/>
    <n v="0"/>
    <n v="0"/>
    <n v="0"/>
    <n v="5"/>
    <n v="0"/>
    <n v="0"/>
    <n v="0"/>
    <n v="0"/>
    <n v="0"/>
    <n v="0"/>
    <n v="0"/>
    <n v="0"/>
    <n v="0"/>
    <n v="0"/>
    <n v="0"/>
    <n v="0"/>
    <n v="0"/>
    <n v="0"/>
    <x v="0"/>
    <x v="0"/>
    <x v="0"/>
    <x v="0"/>
    <x v="0"/>
    <m/>
    <x v="0"/>
    <x v="0"/>
    <n v="20"/>
    <m/>
    <m/>
    <m/>
    <m/>
    <m/>
    <n v="5"/>
    <m/>
    <m/>
    <m/>
    <m/>
    <m/>
    <m/>
    <m/>
    <m/>
    <m/>
    <m/>
    <m/>
    <m/>
    <m/>
    <m/>
    <m/>
    <n v="5"/>
    <n v="5"/>
  </r>
  <r>
    <m/>
    <x v="6"/>
    <m/>
    <m/>
    <m/>
    <m/>
    <m/>
    <x v="20"/>
    <m/>
    <m/>
    <n v="0"/>
    <n v="441"/>
    <n v="441"/>
    <n v="0"/>
    <n v="0"/>
    <x v="1"/>
    <s v="Redevelopment"/>
    <s v="NONE"/>
    <m/>
    <m/>
    <x v="0"/>
    <s v="Nil"/>
    <m/>
    <s v="BF"/>
    <s v="NB"/>
    <x v="1"/>
    <x v="7"/>
    <n v="0"/>
    <m/>
    <x v="0"/>
    <m/>
    <x v="0"/>
    <s v="M"/>
    <m/>
    <m/>
    <n v="0"/>
    <n v="0"/>
    <n v="0"/>
    <n v="0"/>
    <n v="0"/>
    <n v="0"/>
    <n v="0"/>
    <n v="0"/>
    <n v="0"/>
    <n v="0"/>
    <n v="441"/>
    <n v="0"/>
    <n v="0"/>
    <n v="0"/>
    <n v="0"/>
    <n v="0"/>
    <n v="0"/>
    <n v="441"/>
    <n v="0"/>
    <n v="0"/>
    <n v="0"/>
    <n v="0"/>
    <n v="0"/>
    <n v="0"/>
    <n v="0"/>
    <n v="0"/>
    <n v="0"/>
    <n v="0"/>
    <n v="0"/>
    <n v="0"/>
    <n v="0"/>
    <n v="0"/>
    <x v="0"/>
    <x v="0"/>
    <x v="0"/>
    <x v="0"/>
    <x v="0"/>
    <m/>
    <x v="0"/>
    <x v="0"/>
    <n v="22"/>
    <n v="0"/>
    <n v="0"/>
    <n v="0"/>
    <n v="0"/>
    <n v="0"/>
    <m/>
    <n v="10.375"/>
    <n v="10.375"/>
    <n v="10.375"/>
    <n v="10.375"/>
    <n v="33.19166666666667"/>
    <n v="33.19166666666667"/>
    <n v="33.19166666666667"/>
    <n v="33.19166666666667"/>
    <n v="33.19166666666667"/>
    <n v="38.93452380952381"/>
    <n v="38.93452380952381"/>
    <n v="38.93452380952381"/>
    <n v="38.93452380952381"/>
    <n v="38.93452380952381"/>
    <n v="38.93452380952381"/>
    <n v="0"/>
    <n v="74.691666666666663"/>
  </r>
  <r>
    <m/>
    <x v="6"/>
    <m/>
    <m/>
    <m/>
    <m/>
    <m/>
    <x v="20"/>
    <m/>
    <m/>
    <n v="0"/>
    <n v="129"/>
    <n v="129"/>
    <n v="0"/>
    <n v="0"/>
    <x v="1"/>
    <s v="Redevelopment"/>
    <s v="NONE"/>
    <m/>
    <m/>
    <x v="0"/>
    <s v="Nil"/>
    <m/>
    <s v="BF"/>
    <s v="NB"/>
    <x v="1"/>
    <x v="7"/>
    <n v="2"/>
    <m/>
    <x v="0"/>
    <m/>
    <x v="2"/>
    <s v="AA"/>
    <m/>
    <m/>
    <n v="0"/>
    <n v="0"/>
    <n v="0"/>
    <n v="0"/>
    <n v="0"/>
    <n v="0"/>
    <n v="0"/>
    <n v="0"/>
    <n v="0"/>
    <n v="0"/>
    <n v="129"/>
    <n v="0"/>
    <n v="0"/>
    <n v="0"/>
    <n v="0"/>
    <n v="0"/>
    <n v="0"/>
    <n v="129"/>
    <n v="0"/>
    <n v="0"/>
    <n v="0"/>
    <n v="0"/>
    <n v="0"/>
    <n v="0"/>
    <n v="0"/>
    <n v="0"/>
    <n v="0"/>
    <n v="0"/>
    <n v="0"/>
    <n v="0"/>
    <n v="0"/>
    <n v="0"/>
    <x v="0"/>
    <x v="0"/>
    <x v="0"/>
    <x v="0"/>
    <x v="0"/>
    <m/>
    <x v="0"/>
    <x v="0"/>
    <n v="22"/>
    <n v="0"/>
    <n v="0"/>
    <n v="0"/>
    <n v="0"/>
    <n v="0"/>
    <m/>
    <n v="3.0625"/>
    <n v="3.0625"/>
    <n v="3.0625"/>
    <n v="3.0625"/>
    <n v="9.6458333333333339"/>
    <n v="9.6458333333333339"/>
    <n v="9.6458333333333339"/>
    <n v="9.6458333333333339"/>
    <n v="9.6458333333333339"/>
    <n v="11.50297619047619"/>
    <n v="11.50297619047619"/>
    <n v="11.50297619047619"/>
    <n v="11.50297619047619"/>
    <n v="11.50297619047619"/>
    <n v="11.50297619047619"/>
    <n v="0"/>
    <n v="21.895833333333336"/>
  </r>
  <r>
    <m/>
    <x v="6"/>
    <m/>
    <m/>
    <m/>
    <m/>
    <m/>
    <x v="20"/>
    <m/>
    <m/>
    <n v="0"/>
    <n v="87"/>
    <n v="87"/>
    <n v="0"/>
    <n v="0"/>
    <x v="1"/>
    <s v="Redevelopment"/>
    <s v="NONE"/>
    <m/>
    <m/>
    <x v="0"/>
    <s v="Nil"/>
    <m/>
    <s v="BF"/>
    <s v="NB"/>
    <x v="1"/>
    <x v="7"/>
    <n v="1"/>
    <m/>
    <x v="0"/>
    <m/>
    <x v="1"/>
    <s v="IU"/>
    <m/>
    <m/>
    <n v="0"/>
    <n v="0"/>
    <n v="0"/>
    <n v="0"/>
    <n v="0"/>
    <n v="0"/>
    <n v="0"/>
    <n v="0"/>
    <n v="0"/>
    <n v="0"/>
    <n v="87"/>
    <n v="0"/>
    <n v="0"/>
    <n v="0"/>
    <n v="0"/>
    <n v="0"/>
    <n v="0"/>
    <n v="87"/>
    <n v="0"/>
    <n v="0"/>
    <n v="0"/>
    <n v="0"/>
    <n v="0"/>
    <n v="0"/>
    <n v="0"/>
    <n v="0"/>
    <n v="0"/>
    <n v="0"/>
    <n v="0"/>
    <n v="0"/>
    <n v="0"/>
    <n v="0"/>
    <x v="0"/>
    <x v="0"/>
    <x v="0"/>
    <x v="0"/>
    <x v="0"/>
    <m/>
    <x v="0"/>
    <x v="0"/>
    <n v="22"/>
    <n v="0"/>
    <n v="0"/>
    <n v="0"/>
    <n v="0"/>
    <n v="0"/>
    <m/>
    <n v="2.0625"/>
    <n v="2.0625"/>
    <n v="2.0625"/>
    <n v="2.0625"/>
    <n v="6.5458333333333334"/>
    <n v="6.5458333333333334"/>
    <n v="6.5458333333333334"/>
    <n v="6.5458333333333334"/>
    <n v="6.5458333333333334"/>
    <n v="7.7172619047619051"/>
    <n v="7.7172619047619051"/>
    <n v="7.7172619047619051"/>
    <n v="7.7172619047619051"/>
    <n v="7.7172619047619051"/>
    <n v="7.7172619047619051"/>
    <n v="0"/>
    <n v="14.795833333333334"/>
  </r>
  <r>
    <m/>
    <x v="7"/>
    <m/>
    <m/>
    <m/>
    <m/>
    <m/>
    <x v="20"/>
    <m/>
    <m/>
    <n v="0"/>
    <n v="7452"/>
    <n v="7452"/>
    <n v="0"/>
    <n v="0"/>
    <x v="0"/>
    <s v="Redevelopment"/>
    <s v="NONE"/>
    <m/>
    <m/>
    <x v="0"/>
    <s v="Nil"/>
    <m/>
    <s v="BF"/>
    <s v="CON"/>
    <x v="0"/>
    <x v="2"/>
    <n v="0"/>
    <m/>
    <x v="0"/>
    <m/>
    <x v="3"/>
    <s v="UK"/>
    <m/>
    <m/>
    <m/>
    <m/>
    <m/>
    <m/>
    <m/>
    <m/>
    <m/>
    <m/>
    <m/>
    <m/>
    <n v="7452"/>
    <m/>
    <m/>
    <m/>
    <m/>
    <m/>
    <m/>
    <n v="0"/>
    <m/>
    <m/>
    <m/>
    <m/>
    <m/>
    <m/>
    <m/>
    <m/>
    <m/>
    <m/>
    <m/>
    <m/>
    <m/>
    <m/>
    <x v="0"/>
    <x v="0"/>
    <x v="0"/>
    <x v="0"/>
    <x v="0"/>
    <m/>
    <x v="0"/>
    <x v="0"/>
    <n v="23"/>
    <n v="0"/>
    <n v="0"/>
    <n v="0"/>
    <n v="414"/>
    <n v="414"/>
    <n v="414"/>
    <n v="414"/>
    <n v="414"/>
    <n v="414"/>
    <n v="414"/>
    <n v="414"/>
    <n v="414"/>
    <n v="414"/>
    <n v="414"/>
    <n v="414"/>
    <n v="414"/>
    <n v="414"/>
    <n v="414"/>
    <n v="414"/>
    <n v="414"/>
    <n v="414"/>
    <n v="1242"/>
    <n v="3312"/>
  </r>
  <r>
    <m/>
    <x v="8"/>
    <m/>
    <m/>
    <m/>
    <m/>
    <m/>
    <x v="20"/>
    <m/>
    <m/>
    <m/>
    <m/>
    <m/>
    <m/>
    <m/>
    <x v="0"/>
    <m/>
    <m/>
    <m/>
    <m/>
    <x v="0"/>
    <m/>
    <m/>
    <m/>
    <m/>
    <x v="7"/>
    <x v="15"/>
    <m/>
    <m/>
    <x v="0"/>
    <m/>
    <x v="4"/>
    <m/>
    <m/>
    <m/>
    <m/>
    <m/>
    <m/>
    <m/>
    <m/>
    <m/>
    <m/>
    <m/>
    <m/>
    <m/>
    <m/>
    <m/>
    <m/>
    <m/>
    <m/>
    <m/>
    <m/>
    <m/>
    <m/>
    <m/>
    <m/>
    <m/>
    <m/>
    <m/>
    <m/>
    <m/>
    <m/>
    <m/>
    <m/>
    <m/>
    <m/>
    <m/>
    <x v="0"/>
    <x v="0"/>
    <x v="0"/>
    <x v="0"/>
    <x v="0"/>
    <m/>
    <x v="0"/>
    <x v="0"/>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n v="700"/>
    <x v="0"/>
    <s v="2018/1481"/>
    <s v="54 Balham Park Road"/>
    <n v="528024"/>
    <n v="173250"/>
    <s v="Nightingale"/>
    <d v="2019-03-31T00:00:00"/>
    <d v="2019-11-25T00:00:00"/>
    <n v="0"/>
    <n v="0"/>
    <n v="0"/>
    <n v="0"/>
    <n v="0"/>
    <n v="0"/>
    <n v="0"/>
    <n v="0"/>
    <n v="0"/>
    <n v="0"/>
    <n v="0"/>
    <n v="0"/>
    <n v="5"/>
    <n v="0"/>
    <n v="-5"/>
    <n v="5"/>
    <n v="0"/>
    <n v="-5"/>
    <s v="Alterations including erection of domer roof extension to main rear roof including raising the ridge by 300mm and roof extension above part three-storey back addition. Erection of part two/part single-storey rear extension and single-storey side extension and formation roof terrace at third floor level with 1.7m high screen surround.  Replacement windows at rear and rooflights to front roof slope. Conversion of the existing two bedroom flat and 5 bedroom HMO into 4 self-contained flats (2 x 3 bedroom, 1 x 2 bedroom flats and 1x studio flat.)  Erection of a garden room in rear garden."/>
    <s v="PF"/>
    <d v="2018-03-21T00:00:00"/>
    <d v="2018-05-15T00:00:00"/>
    <s v="Nil"/>
    <m/>
    <d v="2019-03-31T00:00:00"/>
    <d v="2019-11-25T00:00:00"/>
    <s v="Open Market"/>
    <s v="M"/>
    <m/>
    <m/>
    <m/>
    <m/>
    <n v="1"/>
    <n v="-5"/>
    <m/>
    <m/>
    <m/>
    <m/>
    <m/>
    <m/>
    <m/>
    <m/>
    <m/>
    <m/>
    <m/>
    <m/>
    <m/>
    <m/>
    <m/>
    <m/>
    <m/>
    <m/>
    <m/>
    <n v="0"/>
    <n v="0"/>
  </r>
  <r>
    <n v="1917"/>
    <x v="0"/>
    <s v="2016/2580"/>
    <s v="207 Arabella Drive"/>
    <n v="521657"/>
    <n v="175440"/>
    <s v="Roehampton and Putney Heath"/>
    <d v="2019-01-21T00:00:00"/>
    <d v="2019-11-12T00:00:00"/>
    <n v="0"/>
    <n v="0"/>
    <n v="0"/>
    <n v="0"/>
    <n v="25"/>
    <n v="25"/>
    <n v="0"/>
    <n v="0"/>
    <n v="0"/>
    <n v="0"/>
    <n v="0"/>
    <n v="0"/>
    <n v="0"/>
    <n v="0"/>
    <n v="0"/>
    <n v="0"/>
    <n v="25"/>
    <n v="25"/>
    <s v="Erection of an additional storey over the existing three storey building with external alterations and second floor extension to the south elevation, to create an additional 25 client rooms. Extension to refuse store and provision of covered cycle area."/>
    <s v="PF"/>
    <d v="2016-06-15T00:00:00"/>
    <d v="2016-08-10T00:00:00"/>
    <s v="Nil"/>
    <m/>
    <d v="2019-01-21T00:00:00"/>
    <d v="2019-11-12T00:00:00"/>
    <s v="Open Market"/>
    <s v="M"/>
    <m/>
    <m/>
    <s v="Y"/>
    <s v="EW"/>
    <n v="1"/>
    <n v="25"/>
    <m/>
    <m/>
    <m/>
    <m/>
    <m/>
    <m/>
    <m/>
    <m/>
    <m/>
    <m/>
    <m/>
    <m/>
    <m/>
    <m/>
    <m/>
    <m/>
    <m/>
    <m/>
    <m/>
    <n v="0"/>
    <n v="0"/>
  </r>
  <r>
    <n v="3588"/>
    <x v="0"/>
    <s v="2017/6631"/>
    <s v="83 Lavender Hill"/>
    <n v="528283"/>
    <n v="175682"/>
    <s v="Shaftesbury"/>
    <d v="2018-05-21T00:00:00"/>
    <d v="2019-11-26T00:00:00"/>
    <n v="0"/>
    <n v="0"/>
    <n v="0"/>
    <n v="0"/>
    <n v="0"/>
    <n v="0"/>
    <n v="0"/>
    <n v="0"/>
    <n v="0"/>
    <n v="0"/>
    <n v="0"/>
    <n v="0"/>
    <n v="0"/>
    <n v="8"/>
    <n v="8"/>
    <n v="0"/>
    <n v="8"/>
    <n v="8"/>
    <s v="Erection of a mansard roof extension to main rear roof and extensions at first, second and third floors and change of use of the property into 8-bedroom HMO (from Class C3 to Class Sui Genres)."/>
    <s v="PF"/>
    <d v="2017-12-01T00:00:00"/>
    <d v="2018-04-27T00:00:00"/>
    <s v="Nil"/>
    <m/>
    <d v="2018-05-21T00:00:00"/>
    <d v="2019-11-26T00:00:00"/>
    <s v="Open Market"/>
    <s v="M"/>
    <m/>
    <m/>
    <m/>
    <m/>
    <n v="1"/>
    <n v="8"/>
    <m/>
    <m/>
    <m/>
    <m/>
    <m/>
    <m/>
    <m/>
    <m/>
    <m/>
    <m/>
    <m/>
    <m/>
    <m/>
    <m/>
    <m/>
    <m/>
    <m/>
    <m/>
    <m/>
    <n v="0"/>
    <n v="0"/>
  </r>
  <r>
    <n v="3978"/>
    <x v="0"/>
    <s v="2016/6438"/>
    <s v="Former Garage, 39-41 East Hill"/>
    <n v="526357"/>
    <n v="174832"/>
    <s v="Fairfield"/>
    <d v="2017-07-20T00:00:00"/>
    <d v="2020-02-19T00:00:00"/>
    <n v="0"/>
    <n v="0"/>
    <n v="0"/>
    <n v="0"/>
    <n v="98"/>
    <n v="98"/>
    <n v="0"/>
    <n v="0"/>
    <n v="0"/>
    <n v="0"/>
    <n v="0"/>
    <n v="0"/>
    <n v="0"/>
    <n v="0"/>
    <n v="0"/>
    <n v="0"/>
    <n v="98"/>
    <n v="98"/>
    <s v="Demolition of existing buildings and erection of four to six storey (plus basement) care home (Class C2) to accommodate 100 residents; west facing roof terraces and associated landscaping, parking (cycle store, 17 spaces for cars and 2 minibus spaces in basement) accessed from Huguenot Place."/>
    <s v="PFLA"/>
    <d v="2016-11-07T00:00:00"/>
    <d v="2017-04-11T00:00:00"/>
    <s v="Nil"/>
    <m/>
    <d v="2017-07-20T00:00:00"/>
    <d v="2020-02-19T00:00:00"/>
    <s v="Open Market"/>
    <s v="M"/>
    <s v="9.5"/>
    <m/>
    <m/>
    <m/>
    <n v="1"/>
    <n v="98"/>
    <m/>
    <m/>
    <m/>
    <m/>
    <m/>
    <m/>
    <m/>
    <m/>
    <m/>
    <m/>
    <m/>
    <m/>
    <m/>
    <m/>
    <m/>
    <m/>
    <m/>
    <m/>
    <m/>
    <n v="0"/>
    <n v="0"/>
  </r>
  <r>
    <n v="6071"/>
    <x v="0"/>
    <s v="2018/5005"/>
    <s v="Palladino House &amp; Wood House 6 &amp; 7, Laurel Close"/>
    <n v="527421"/>
    <n v="171301"/>
    <s v="Graveney"/>
    <d v="2017-02-22T00:00:00"/>
    <d v="2019-04-01T00:00:00"/>
    <n v="0"/>
    <n v="0"/>
    <n v="0"/>
    <n v="87"/>
    <n v="0"/>
    <n v="-87"/>
    <n v="0"/>
    <n v="0"/>
    <n v="0"/>
    <n v="0"/>
    <n v="0"/>
    <n v="0"/>
    <n v="0"/>
    <n v="0"/>
    <n v="0"/>
    <n v="87"/>
    <n v="0"/>
    <n v="-87"/>
    <s v="Variation of condition 2 (in accordance with approved drawings) and removal of conditions 3 (arrangements for the storage of bicylces and refuse) and 4 (car parking management plan) pursuant to planning permission dated 17/12/2015 ref 2015/4036 (Change of use of existing three storey building from retirement housing, residential care home and general needs housing (Use Class C2) to 49 self contained flats (Use Class C3) as 18 x 1-bedroom, 14 x 2-bedroom, 6 x 3-bedroom, 10 x 4-bedroom units and 1 x 4-bedroom maisonette, to provide temporary emergency family accommodation prior to permanent housing allocation.) to allow external alterations to the walls/windows of flats GF13 &amp; GF14 and a new double glazed timber effect window to fit within existing opening within flat FF15A. Reconfigured layout to first floor to show 1 x one bed  flat (F15) and an additional 1 x studio flat (FF15a).  Reconfigured layout at second floor to show 1 x one bed (SF07) and  an addtional 1 x studio flat (SF05a) and reconfigured layouts to reduce 4 x four bed flats (SF01, SF08, TF91 and TF07) to 4 x three bed flats; sheffield bike rack to be relocated within/under the undercroft and will be monitored via CCTV cameras; and reduce the car parking to two parking bays for wheelchair uses and two spaces for staff only."/>
    <s v="S73"/>
    <d v="2018-10-24T00:00:00"/>
    <d v="2019-01-22T00:00:00"/>
    <s v="Nil"/>
    <m/>
    <d v="2017-02-22T00:00:00"/>
    <d v="2019-04-01T00:00:00"/>
    <s v="Social/Affordable Rent"/>
    <s v="AC"/>
    <s v="5.4"/>
    <m/>
    <m/>
    <s v="EN"/>
    <n v="1"/>
    <n v="-87"/>
    <m/>
    <m/>
    <m/>
    <m/>
    <m/>
    <m/>
    <m/>
    <m/>
    <m/>
    <m/>
    <m/>
    <m/>
    <m/>
    <m/>
    <m/>
    <m/>
    <m/>
    <m/>
    <m/>
    <n v="0"/>
    <n v="0"/>
  </r>
  <r>
    <n v="6531"/>
    <x v="0"/>
    <s v="2017/0258"/>
    <s v="9 Clavering Place"/>
    <n v="528465"/>
    <n v="174118"/>
    <s v="Balham"/>
    <d v="2017-07-03T00:00:00"/>
    <d v="2019-04-01T00:00:00"/>
    <n v="0"/>
    <n v="0"/>
    <n v="0"/>
    <n v="0"/>
    <n v="0"/>
    <n v="0"/>
    <n v="0"/>
    <n v="0"/>
    <n v="0"/>
    <n v="0"/>
    <n v="0"/>
    <n v="0"/>
    <n v="6"/>
    <n v="7"/>
    <n v="1"/>
    <n v="6"/>
    <n v="7"/>
    <n v="1"/>
    <s v="Change of use from a House of Multiple Occupation (Class C4) to a larger House of Multiple Occupation (Sui Generis) by allowing an additional bedroom to be used."/>
    <s v="PF"/>
    <d v="2017-03-13T00:00:00"/>
    <d v="2017-07-03T00:00:00"/>
    <s v="Nil"/>
    <m/>
    <d v="2017-07-03T00:00:00"/>
    <d v="2019-04-01T00:00:00"/>
    <s v="Open Market"/>
    <s v="M"/>
    <m/>
    <m/>
    <m/>
    <m/>
    <n v="1"/>
    <n v="1"/>
    <m/>
    <m/>
    <m/>
    <m/>
    <m/>
    <m/>
    <m/>
    <m/>
    <m/>
    <m/>
    <m/>
    <m/>
    <m/>
    <m/>
    <m/>
    <m/>
    <m/>
    <m/>
    <m/>
    <n v="0"/>
    <n v="0"/>
  </r>
  <r>
    <n v="6617"/>
    <x v="0"/>
    <s v="2017/5495"/>
    <s v="57 Louisville Road"/>
    <n v="528284"/>
    <n v="172328"/>
    <s v="Bedford"/>
    <d v="2018-11-05T00:00:00"/>
    <d v="2020-03-04T00:00:00"/>
    <n v="0"/>
    <n v="0"/>
    <n v="0"/>
    <n v="0"/>
    <n v="0"/>
    <n v="0"/>
    <n v="0"/>
    <n v="0"/>
    <n v="0"/>
    <n v="0"/>
    <n v="0"/>
    <n v="0"/>
    <n v="7"/>
    <n v="0"/>
    <n v="-7"/>
    <n v="7"/>
    <n v="0"/>
    <n v="-7"/>
    <s v="Alterations including erection of mansard roof extension (with French doors and safety railings) and erection of single-storey side/rear extension in connection with the change of use of the property from HMO (Class Sui Generis) into 1 x 1-bedroom, 1 x 2-bedroom and 1 x 3-bedroom flats (Class C3) with associated cycle and refuse storage.  Alterations and restoration of front elevation and front boundary treatment."/>
    <s v="PF"/>
    <d v="2017-10-03T00:00:00"/>
    <d v="2018-01-29T00:00:00"/>
    <s v="Nil"/>
    <m/>
    <d v="2018-11-05T00:00:00"/>
    <d v="2020-03-04T00:00:00"/>
    <s v="Open Market"/>
    <s v="M"/>
    <m/>
    <m/>
    <m/>
    <m/>
    <n v="1"/>
    <n v="-7"/>
    <m/>
    <m/>
    <m/>
    <m/>
    <m/>
    <m/>
    <m/>
    <m/>
    <m/>
    <m/>
    <m/>
    <m/>
    <m/>
    <m/>
    <m/>
    <m/>
    <m/>
    <m/>
    <m/>
    <n v="0"/>
    <n v="0"/>
  </r>
  <r>
    <n v="6751"/>
    <x v="0"/>
    <s v="2017/5993"/>
    <s v="30 Sisters Avenue"/>
    <n v="527935"/>
    <n v="175416"/>
    <s v="Shaftesbury"/>
    <d v="2018-04-01T00:00:00"/>
    <d v="2019-05-10T00:00:00"/>
    <n v="7"/>
    <n v="0"/>
    <n v="-7"/>
    <n v="0"/>
    <n v="0"/>
    <n v="0"/>
    <n v="0"/>
    <n v="0"/>
    <n v="0"/>
    <n v="0"/>
    <n v="0"/>
    <n v="0"/>
    <n v="0"/>
    <n v="0"/>
    <n v="0"/>
    <n v="7"/>
    <n v="0"/>
    <n v="-7"/>
    <s v="Alterations including the erection of mansard extension to main rear roof including raising the ridge; erection of extension above part of rear addition, and raising of the eaves of the rear addition; formation of roof terrace above rear addition; single-storey side and rear extension, excavation of basement with formation of front and rear lightwells (with stairs) in connection with change of use of the property into 5 x 1-bedroom and 2 x 2 bedroom flats with associated cycle parking and refuse store."/>
    <s v="PF"/>
    <d v="2017-11-21T00:00:00"/>
    <d v="2018-03-05T00:00:00"/>
    <s v="Nil"/>
    <m/>
    <d v="2018-04-01T00:00:00"/>
    <d v="2019-05-10T00:00:00"/>
    <s v="Unknown"/>
    <s v="U"/>
    <m/>
    <m/>
    <s v="Y"/>
    <s v="OT"/>
    <n v="1"/>
    <n v="-7"/>
    <m/>
    <m/>
    <m/>
    <m/>
    <m/>
    <m/>
    <m/>
    <m/>
    <m/>
    <m/>
    <m/>
    <m/>
    <m/>
    <m/>
    <m/>
    <m/>
    <m/>
    <m/>
    <m/>
    <n v="0"/>
    <n v="0"/>
  </r>
  <r>
    <n v="6792"/>
    <x v="0"/>
    <s v="2018/0263"/>
    <s v="The Bedford, 77 Bedford Hill"/>
    <n v="528718"/>
    <n v="173146"/>
    <s v="Balham"/>
    <d v="2018-03-15T00:00:00"/>
    <d v="2019-04-01T00:00:00"/>
    <n v="0"/>
    <n v="0"/>
    <n v="0"/>
    <n v="0"/>
    <n v="0"/>
    <n v="0"/>
    <n v="10"/>
    <n v="0"/>
    <n v="-10"/>
    <n v="0"/>
    <n v="0"/>
    <n v="0"/>
    <n v="0"/>
    <n v="0"/>
    <n v="0"/>
    <n v="10"/>
    <n v="0"/>
    <n v="-10"/>
    <s v="Alterations including change of second floor function room, kitchen and ancillary rooms to guest bedrooms (increase total from 10 to 15 bedrooms at second and third floor levels) (Class A4/C1 use - public house with guest rooms). Erection of a single-storey rear extension. (Accompanying listed building application ref.2018/0341)"/>
    <s v="PF"/>
    <d v="2018-01-18T00:00:00"/>
    <d v="2018-03-15T00:00:00"/>
    <s v="Nil"/>
    <m/>
    <d v="2018-03-15T00:00:00"/>
    <d v="2019-04-01T00:00:00"/>
    <s v="Open Market"/>
    <s v="M"/>
    <m/>
    <m/>
    <m/>
    <m/>
    <n v="1"/>
    <n v="-10"/>
    <m/>
    <m/>
    <m/>
    <m/>
    <m/>
    <m/>
    <m/>
    <m/>
    <m/>
    <m/>
    <m/>
    <m/>
    <m/>
    <m/>
    <m/>
    <m/>
    <m/>
    <m/>
    <m/>
    <n v="0"/>
    <n v="0"/>
  </r>
  <r>
    <n v="6997"/>
    <x v="0"/>
    <s v="2018/1821"/>
    <s v="977 Garratt Lane"/>
    <n v="527147"/>
    <n v="171668"/>
    <s v="Tooting"/>
    <d v="2019-02-22T00:00:00"/>
    <d v="2019-04-01T00:00:00"/>
    <n v="0"/>
    <n v="0"/>
    <n v="0"/>
    <n v="0"/>
    <n v="0"/>
    <n v="0"/>
    <n v="0"/>
    <n v="0"/>
    <n v="0"/>
    <n v="0"/>
    <n v="0"/>
    <n v="0"/>
    <n v="0"/>
    <n v="7"/>
    <n v="7"/>
    <n v="0"/>
    <n v="7"/>
    <n v="7"/>
    <s v="Change of use from residential (Class C3) to large HMO (Sui Generis) including internal alterations."/>
    <s v="PF"/>
    <d v="2018-05-17T00:00:00"/>
    <d v="2018-09-05T00:00:00"/>
    <s v="Nil"/>
    <m/>
    <d v="2019-02-22T00:00:00"/>
    <d v="2019-04-01T00:00:00"/>
    <s v="Open Market"/>
    <s v="M"/>
    <m/>
    <m/>
    <m/>
    <m/>
    <n v="1"/>
    <n v="7"/>
    <m/>
    <m/>
    <m/>
    <m/>
    <m/>
    <m/>
    <m/>
    <m/>
    <m/>
    <m/>
    <m/>
    <m/>
    <m/>
    <m/>
    <m/>
    <m/>
    <m/>
    <m/>
    <m/>
    <n v="0"/>
    <n v="0"/>
  </r>
  <r>
    <n v="7185"/>
    <x v="0"/>
    <s v="2019/2117"/>
    <s v="1b Stareathbourne Road"/>
    <n v="528265"/>
    <n v="172556"/>
    <s v="Bedford"/>
    <d v="2019-07-31T00:00:00"/>
    <d v="2019-08-15T00:00:00"/>
    <n v="0"/>
    <n v="0"/>
    <n v="0"/>
    <n v="0"/>
    <n v="0"/>
    <n v="0"/>
    <n v="0"/>
    <n v="0"/>
    <n v="0"/>
    <n v="0"/>
    <n v="0"/>
    <n v="0"/>
    <n v="0"/>
    <n v="6"/>
    <n v="6"/>
    <n v="0"/>
    <n v="6"/>
    <n v="6"/>
    <s v="Change of use from Single dwelling (Use C3) to a HMO (Class C4)."/>
    <s v="LDC Prop"/>
    <d v="2019-06-05T00:00:00"/>
    <d v="2019-07-31T00:00:00"/>
    <s v="Nil"/>
    <m/>
    <d v="2019-07-31T00:00:00"/>
    <d v="2019-08-15T00:00:00"/>
    <s v="Open Market"/>
    <s v="M"/>
    <m/>
    <m/>
    <m/>
    <m/>
    <n v="1"/>
    <n v="6"/>
    <m/>
    <m/>
    <m/>
    <m/>
    <m/>
    <m/>
    <m/>
    <m/>
    <m/>
    <m/>
    <m/>
    <m/>
    <m/>
    <m/>
    <m/>
    <m/>
    <m/>
    <m/>
    <m/>
    <n v="0"/>
    <n v="0"/>
  </r>
  <r>
    <n v="4817"/>
    <x v="1"/>
    <s v="2016/5617"/>
    <s v="Longhedge, 313 Battersea Park Road"/>
    <n v="528244"/>
    <n v="176622"/>
    <s v="Queenstown"/>
    <d v="2018-03-31T00:00:00"/>
    <m/>
    <n v="0"/>
    <n v="0"/>
    <n v="0"/>
    <n v="59"/>
    <n v="108"/>
    <n v="49"/>
    <n v="0"/>
    <n v="0"/>
    <n v="0"/>
    <n v="0"/>
    <n v="0"/>
    <n v="0"/>
    <n v="0"/>
    <n v="0"/>
    <n v="0"/>
    <n v="59"/>
    <n v="108"/>
    <n v="49"/>
    <s v="Alterations and extensions to existing (Class C2) care home, including the creation of two additional storeys at third and fourth floor, single-storey side extension and partial infill of existing courtyard to provide a 108 bed care home (78 care beds and 30 new assisted living suites). Alterations to main entrance, amendments to existing facades including installation of new windows, creation of glazed garden room, enhancements to landscaping, remodelling of car park and associated works."/>
    <s v="PFLA"/>
    <d v="2016-10-13T00:00:00"/>
    <d v="2017-08-18T00:00:00"/>
    <s v="Nil"/>
    <m/>
    <d v="2018-03-31T00:00:00"/>
    <m/>
    <s v="Open Market"/>
    <s v="M"/>
    <m/>
    <m/>
    <m/>
    <s v="EW"/>
    <n v="5"/>
    <m/>
    <m/>
    <n v="12.25"/>
    <n v="12.25"/>
    <n v="12.25"/>
    <n v="12.25"/>
    <m/>
    <m/>
    <m/>
    <m/>
    <m/>
    <m/>
    <m/>
    <m/>
    <m/>
    <m/>
    <m/>
    <m/>
    <m/>
    <m/>
    <n v="49"/>
    <n v="49"/>
  </r>
  <r>
    <n v="5348"/>
    <x v="1"/>
    <s v="2013/3041"/>
    <s v="5 Mayford Road"/>
    <n v="527772"/>
    <n v="173569"/>
    <s v="Nightingale"/>
    <d v="2018-03-31T00:00:00"/>
    <m/>
    <n v="0"/>
    <n v="0"/>
    <n v="0"/>
    <n v="26"/>
    <n v="0"/>
    <n v="-26"/>
    <n v="0"/>
    <n v="0"/>
    <n v="0"/>
    <n v="0"/>
    <n v="0"/>
    <n v="0"/>
    <n v="0"/>
    <n v="0"/>
    <n v="0"/>
    <n v="26"/>
    <n v="0"/>
    <n v="-26"/>
    <s v="Change of use from children's home (currently vacant) to 6 flats. Demolition of rear dormer, construction of two storey rear extension and dormer.  Removal of external stairs.  Demolition of garage and formation of 3 no parking bays.  Demolition of first floor bay to rear elevation."/>
    <s v="RP"/>
    <d v="2013-07-02T00:00:00"/>
    <d v="2014-10-24T00:00:00"/>
    <s v="APG"/>
    <d v="2015-09-22T00:00:00"/>
    <d v="2018-03-31T00:00:00"/>
    <m/>
    <s v="Open Market"/>
    <s v="M"/>
    <m/>
    <m/>
    <m/>
    <m/>
    <n v="2"/>
    <m/>
    <n v="-26"/>
    <m/>
    <m/>
    <m/>
    <m/>
    <m/>
    <m/>
    <m/>
    <m/>
    <m/>
    <m/>
    <m/>
    <m/>
    <m/>
    <m/>
    <m/>
    <m/>
    <m/>
    <m/>
    <n v="-26"/>
    <n v="-26"/>
  </r>
  <r>
    <n v="6165"/>
    <x v="1"/>
    <s v="2015/7536"/>
    <s v="St Anthonys Court, 49 Foxbourne Road"/>
    <n v="528364"/>
    <n v="172774"/>
    <s v="Bedford"/>
    <d v="2019-03-31T00:00:00"/>
    <m/>
    <n v="0"/>
    <n v="0"/>
    <n v="0"/>
    <n v="0"/>
    <n v="13"/>
    <n v="13"/>
    <n v="0"/>
    <n v="0"/>
    <n v="0"/>
    <n v="0"/>
    <n v="0"/>
    <n v="0"/>
    <n v="0"/>
    <n v="0"/>
    <n v="0"/>
    <n v="0"/>
    <n v="13"/>
    <n v="13"/>
    <s v="Erection of an additional storey (within a pitched roof and including raising the ridge height) to create 13 additional self contained units for sheltered housing (Use Class C2).  Alterations to the building including widening of the two existing fire escape staircases located on north-eastern and western elevations and provision of refuse and cycle storage."/>
    <s v="PF"/>
    <d v="2016-01-11T00:00:00"/>
    <d v="2016-10-20T00:00:00"/>
    <s v="Nil"/>
    <m/>
    <d v="2019-03-31T00:00:00"/>
    <m/>
    <s v="Unknown"/>
    <s v="U"/>
    <m/>
    <m/>
    <m/>
    <m/>
    <n v="2"/>
    <m/>
    <n v="13"/>
    <m/>
    <m/>
    <m/>
    <m/>
    <m/>
    <m/>
    <m/>
    <m/>
    <m/>
    <m/>
    <m/>
    <m/>
    <m/>
    <m/>
    <m/>
    <m/>
    <m/>
    <m/>
    <n v="13"/>
    <n v="13"/>
  </r>
  <r>
    <n v="6827"/>
    <x v="1"/>
    <s v="2018/0669"/>
    <s v="Cedars Hall, 141 Welham Road"/>
    <n v="528519"/>
    <n v="170963"/>
    <s v="Furzedown"/>
    <d v="2019-03-31T00:00:00"/>
    <m/>
    <n v="0"/>
    <n v="0"/>
    <n v="0"/>
    <n v="0"/>
    <n v="0"/>
    <n v="0"/>
    <n v="0"/>
    <n v="0"/>
    <n v="0"/>
    <n v="0"/>
    <n v="34"/>
    <n v="34"/>
    <n v="0"/>
    <n v="0"/>
    <n v="0"/>
    <n v="0"/>
    <n v="34"/>
    <n v="34"/>
    <s v="Erection of two-storey extension over the existing two-storey element of the existing student accommodation building at the Cedars Hall to provide 34 x 1 bed 1 person units."/>
    <s v="PF"/>
    <d v="2018-02-28T00:00:00"/>
    <d v="2018-04-16T00:00:00"/>
    <s v="Nil"/>
    <m/>
    <d v="2019-03-31T00:00:00"/>
    <m/>
    <s v="Open Market"/>
    <s v="M"/>
    <m/>
    <m/>
    <m/>
    <m/>
    <n v="2"/>
    <m/>
    <n v="34"/>
    <m/>
    <m/>
    <m/>
    <m/>
    <m/>
    <m/>
    <m/>
    <m/>
    <m/>
    <m/>
    <m/>
    <m/>
    <m/>
    <m/>
    <m/>
    <m/>
    <m/>
    <m/>
    <n v="34"/>
    <n v="34"/>
  </r>
  <r>
    <n v="7114"/>
    <x v="1"/>
    <s v="2019/0291"/>
    <s v="4 Ravenslea Road"/>
    <n v="527807"/>
    <n v="173671"/>
    <s v="Nightingale"/>
    <d v="2019-11-06T00:00:00"/>
    <m/>
    <n v="0"/>
    <n v="0"/>
    <n v="0"/>
    <n v="0"/>
    <n v="0"/>
    <n v="0"/>
    <n v="0"/>
    <n v="0"/>
    <n v="0"/>
    <n v="0"/>
    <n v="0"/>
    <n v="0"/>
    <n v="8"/>
    <n v="0"/>
    <n v="-8"/>
    <n v="8"/>
    <n v="0"/>
    <n v="-8"/>
    <s v="Change of use from a House of Multiple Occupation (HMO) to a single dwelling house."/>
    <s v="LDC Prop"/>
    <d v="2019-02-05T00:00:00"/>
    <d v="2019-04-01T00:00:00"/>
    <s v="Nil"/>
    <m/>
    <d v="2019-11-06T00:00:00"/>
    <m/>
    <s v="Open Market"/>
    <s v="M"/>
    <m/>
    <m/>
    <m/>
    <m/>
    <n v="3"/>
    <m/>
    <m/>
    <n v="17"/>
    <n v="17"/>
    <m/>
    <m/>
    <m/>
    <m/>
    <m/>
    <m/>
    <m/>
    <m/>
    <m/>
    <m/>
    <m/>
    <m/>
    <m/>
    <m/>
    <m/>
    <m/>
    <n v="34"/>
    <n v="34"/>
  </r>
  <r>
    <n v="7204"/>
    <x v="1"/>
    <s v="2019/2905"/>
    <s v="83 Huron Road"/>
    <n v="528657"/>
    <n v="172323"/>
    <s v="Bedford"/>
    <d v="2020-03-31T00:00:00"/>
    <m/>
    <n v="0"/>
    <n v="0"/>
    <n v="0"/>
    <n v="0"/>
    <n v="0"/>
    <n v="0"/>
    <n v="0"/>
    <n v="0"/>
    <n v="0"/>
    <n v="0"/>
    <n v="0"/>
    <n v="0"/>
    <n v="12"/>
    <n v="0"/>
    <n v="-12"/>
    <n v="12"/>
    <n v="0"/>
    <n v="-12"/>
    <s v="Alterations including erection of a single-storey rear extension and excavation to enlarge existing basement with formation of front and rear lightwells; demolition and erection of replacement front boundary wall and gate, in connection with change of use from HMO (Use Class Sui Generis) to 1 x 1 bed, 4 x 2 bed and 2 x 3 bed flats (Use Class C3), with associated refuse &amp; cycle storage."/>
    <s v="PF"/>
    <d v="2019-07-19T00:00:00"/>
    <d v="2019-09-18T00:00:00"/>
    <s v="Nil"/>
    <m/>
    <d v="2020-03-31T00:00:00"/>
    <m/>
    <s v="Open Market"/>
    <s v="M"/>
    <m/>
    <m/>
    <m/>
    <m/>
    <n v="3"/>
    <m/>
    <m/>
    <n v="-4"/>
    <n v="-4"/>
    <m/>
    <m/>
    <m/>
    <m/>
    <m/>
    <m/>
    <m/>
    <m/>
    <m/>
    <m/>
    <m/>
    <m/>
    <m/>
    <m/>
    <m/>
    <m/>
    <n v="-8"/>
    <n v="-8"/>
  </r>
  <r>
    <n v="13"/>
    <x v="2"/>
    <s v="2018/1058"/>
    <s v="Trinity Court Nursing Home, 165-167 Trinity Road"/>
    <n v="527592"/>
    <n v="172887"/>
    <s v="Nightingale"/>
    <m/>
    <m/>
    <n v="0"/>
    <n v="0"/>
    <n v="0"/>
    <n v="0"/>
    <n v="8"/>
    <n v="8"/>
    <n v="0"/>
    <n v="0"/>
    <n v="0"/>
    <n v="0"/>
    <n v="0"/>
    <n v="0"/>
    <n v="0"/>
    <n v="0"/>
    <n v="0"/>
    <n v="0"/>
    <n v="8"/>
    <n v="8"/>
    <s v="Erection of single storey (plus habitable roofspace) detached 8-bedroom residential building ancillary (Class C2) to Trinity Court Nursing Home."/>
    <s v="PF"/>
    <d v="2018-03-08T00:00:00"/>
    <d v="2018-09-05T00:00:00"/>
    <s v="Nil"/>
    <m/>
    <m/>
    <m/>
    <s v="Open Market"/>
    <s v="M"/>
    <m/>
    <m/>
    <m/>
    <s v="OT"/>
    <n v="6"/>
    <m/>
    <m/>
    <n v="2"/>
    <n v="2"/>
    <n v="2"/>
    <n v="2"/>
    <m/>
    <m/>
    <m/>
    <m/>
    <m/>
    <m/>
    <m/>
    <m/>
    <m/>
    <m/>
    <m/>
    <m/>
    <m/>
    <m/>
    <n v="8"/>
    <n v="8"/>
  </r>
  <r>
    <n v="2502"/>
    <x v="2"/>
    <s v="2010/3703"/>
    <s v="Springfield Hospital site, 61 Glenburnie Road"/>
    <n v="527221"/>
    <n v="172443"/>
    <s v="Wandsworth Common"/>
    <d v="2015-08-28T00:00:00"/>
    <m/>
    <n v="0"/>
    <n v="0"/>
    <n v="0"/>
    <n v="46"/>
    <n v="50"/>
    <n v="4"/>
    <n v="0"/>
    <n v="0"/>
    <n v="0"/>
    <n v="0"/>
    <n v="0"/>
    <n v="0"/>
    <n v="0"/>
    <n v="0"/>
    <n v="0"/>
    <n v="46"/>
    <n v="50"/>
    <n v="4"/>
    <s v="Redevelopment of Springfield Hospital site entailing the erection of 25,000 sq m replacement mental health facilities (Use Class C2/C2A); 839 residential dwellings (including up to 262 dwellings within the converted Main Building and Elizabeth Newton Wing and 56 extra care residential apartments) (Use Class C3); 9,200 sq m elderly persons' care home (including up to 50 close care units) (Use Class C2); 240 sqm of retail floorspace (Use Class A1); a school Use Class (D1); 3,500 sq m of flexible non-residential floor space (Use Class A1 (up to 250 sq m), A2 (up to 300 sq m), A3 (up to 500 sq m), A4 (up to 250 sq m), B1 (up to 1,000 sq m), D1 (up to 750 sq m), or D2 (up to 750 sq m)); 240 sqm of retail floorspace (Use Class A1); landscaped public park; other private and public open space; construction of a combined cooling, heat and power energy centre; associated landscaping, parking, roads, access and infrastructure and other associated works. (Outline application with appearance, landscaping and scale reserved)."/>
    <s v="RP"/>
    <d v="2010-09-10T00:00:00"/>
    <d v="2011-02-13T00:00:00"/>
    <s v="APG"/>
    <d v="2012-06-22T00:00:00"/>
    <m/>
    <m/>
    <s v="Unknown"/>
    <s v="U"/>
    <s v="9.1"/>
    <m/>
    <s v="Y"/>
    <s v="EW"/>
    <n v="7"/>
    <m/>
    <n v="4"/>
    <m/>
    <m/>
    <m/>
    <m/>
    <m/>
    <m/>
    <m/>
    <m/>
    <m/>
    <m/>
    <m/>
    <m/>
    <m/>
    <m/>
    <m/>
    <m/>
    <m/>
    <m/>
    <n v="4"/>
    <n v="4"/>
  </r>
  <r>
    <n v="2589"/>
    <x v="2"/>
    <s v="2018/0153"/>
    <s v="24 Southolm Street"/>
    <n v="528730"/>
    <n v="176714"/>
    <s v="Queenstown"/>
    <m/>
    <m/>
    <n v="0"/>
    <n v="0"/>
    <n v="0"/>
    <n v="0"/>
    <n v="0"/>
    <n v="0"/>
    <n v="0"/>
    <n v="0"/>
    <n v="0"/>
    <n v="0"/>
    <n v="0"/>
    <n v="0"/>
    <n v="6"/>
    <n v="0"/>
    <n v="-6"/>
    <n v="6"/>
    <n v="0"/>
    <n v="-6"/>
    <s v="Alterations including the erection of a part two, part three storey rear extension in connection with the conversion of the property from HMO (Use Class C4) to a single dwellinghouse (Use Class C3)."/>
    <s v="PF"/>
    <d v="2018-01-23T00:00:00"/>
    <d v="2018-05-16T00:00:00"/>
    <s v="Nil"/>
    <m/>
    <m/>
    <m/>
    <s v="Open Market"/>
    <s v="M"/>
    <m/>
    <m/>
    <m/>
    <m/>
    <n v="6"/>
    <m/>
    <m/>
    <n v="-1.5"/>
    <n v="-1.5"/>
    <n v="-1.5"/>
    <n v="-1.5"/>
    <m/>
    <m/>
    <m/>
    <m/>
    <m/>
    <m/>
    <m/>
    <m/>
    <m/>
    <m/>
    <m/>
    <m/>
    <m/>
    <m/>
    <n v="-6"/>
    <n v="-6"/>
  </r>
  <r>
    <n v="4486"/>
    <x v="2"/>
    <s v="2019/1083"/>
    <s v="Garratt Mills, Trewint Street"/>
    <n v="525900"/>
    <n v="172713"/>
    <s v="Earlsfield"/>
    <m/>
    <m/>
    <n v="0"/>
    <n v="292"/>
    <n v="292"/>
    <n v="0"/>
    <n v="0"/>
    <n v="0"/>
    <n v="0"/>
    <n v="0"/>
    <n v="0"/>
    <n v="0"/>
    <n v="0"/>
    <n v="0"/>
    <n v="0"/>
    <n v="0"/>
    <n v="0"/>
    <n v="0"/>
    <n v="292"/>
    <n v="292"/>
    <s v="Demolition of existing buildings and the erection of two blocks between 8 and 6 storeys (including double height ground floor with mezzanine) linked by a single-storey building with mezzanine level, comprising co-living rooms with internal and external amenity space (Sui Generis), cafe and restaurant use (Class A3), new pedestrian bridge, riverwalk, landscaping, plant, refuse and bicycle stores and associated works."/>
    <s v="PFLA"/>
    <d v="2019-03-14T00:00:00"/>
    <d v="2020-03-03T00:00:00"/>
    <s v="Nil"/>
    <m/>
    <m/>
    <m/>
    <s v="Open Market"/>
    <s v="M"/>
    <m/>
    <m/>
    <m/>
    <m/>
    <n v="9"/>
    <m/>
    <m/>
    <m/>
    <m/>
    <n v="97.333333333333329"/>
    <n v="97.333333333333329"/>
    <n v="97.333333333333329"/>
    <m/>
    <m/>
    <m/>
    <m/>
    <m/>
    <m/>
    <m/>
    <m/>
    <m/>
    <m/>
    <m/>
    <m/>
    <m/>
    <n v="194.66666666666666"/>
    <n v="292"/>
  </r>
  <r>
    <n v="6497"/>
    <x v="2"/>
    <s v="2017/0153"/>
    <s v="64-64c Battersea Rise"/>
    <n v="527487"/>
    <n v="175150"/>
    <s v="Northcote"/>
    <m/>
    <m/>
    <n v="0"/>
    <n v="0"/>
    <n v="0"/>
    <n v="0"/>
    <n v="0"/>
    <n v="0"/>
    <n v="0"/>
    <n v="0"/>
    <n v="0"/>
    <n v="0"/>
    <n v="0"/>
    <n v="0"/>
    <n v="0"/>
    <n v="13"/>
    <n v="13"/>
    <n v="0"/>
    <n v="13"/>
    <n v="13"/>
    <s v="Excavation to extend basement and alterations to ground floor level of restaurant (Class A3). Change of use of first, second and third floor from two flats (Class C3) to a House in Multiple Occupation (HMO - 13 tenancy units) with shared faciliites.  Extensions to rear at first floor and second floor (including french doors) and to roof level (including changes to front roof pitch, side roof extension and third floor extension), and creation of roof terraces at second and third floor levels.  Replacement extract flue."/>
    <s v="PF"/>
    <d v="2017-01-17T00:00:00"/>
    <d v="2017-05-02T00:00:00"/>
    <s v="Nil"/>
    <m/>
    <m/>
    <m/>
    <s v="Open Market"/>
    <s v="M"/>
    <m/>
    <m/>
    <m/>
    <m/>
    <n v="6"/>
    <m/>
    <m/>
    <n v="3.25"/>
    <n v="3.25"/>
    <n v="3.25"/>
    <n v="3.25"/>
    <m/>
    <m/>
    <m/>
    <m/>
    <m/>
    <m/>
    <m/>
    <m/>
    <m/>
    <m/>
    <m/>
    <m/>
    <m/>
    <m/>
    <n v="13"/>
    <n v="13"/>
  </r>
  <r>
    <n v="6535"/>
    <x v="2"/>
    <s v="2016/7186"/>
    <s v="The Platt Christian Centre, Felsham Road"/>
    <n v="523949"/>
    <n v="175565"/>
    <s v="Thamesfield"/>
    <m/>
    <m/>
    <n v="0"/>
    <n v="0"/>
    <n v="0"/>
    <n v="0"/>
    <n v="10"/>
    <n v="10"/>
    <n v="0"/>
    <n v="0"/>
    <n v="0"/>
    <n v="0"/>
    <n v="0"/>
    <n v="0"/>
    <n v="0"/>
    <n v="0"/>
    <n v="0"/>
    <n v="0"/>
    <n v="10"/>
    <n v="10"/>
    <s v="Alterations including erection of part single storey, part four storey extension to all elevations and on roof to create 10 additional bedrooms; removal and creation of new external openings; alteration of external cladding, appearance and design of the existing building. Erection of cycle shelter against west elevation. Loss of two flats used by staff."/>
    <s v="PF"/>
    <d v="2016-12-16T00:00:00"/>
    <d v="2017-06-23T00:00:00"/>
    <s v="Nil"/>
    <m/>
    <m/>
    <m/>
    <s v="Open Market"/>
    <s v="M"/>
    <m/>
    <m/>
    <m/>
    <s v="EW"/>
    <n v="6"/>
    <m/>
    <m/>
    <n v="2.5"/>
    <n v="2.5"/>
    <n v="2.5"/>
    <n v="2.5"/>
    <m/>
    <m/>
    <m/>
    <m/>
    <m/>
    <m/>
    <m/>
    <m/>
    <m/>
    <m/>
    <m/>
    <m/>
    <m/>
    <m/>
    <n v="10"/>
    <n v="10"/>
  </r>
  <r>
    <n v="6672"/>
    <x v="2"/>
    <s v="2017/4020"/>
    <s v="104 Streathbourne Road"/>
    <n v="528523"/>
    <n v="172269"/>
    <s v="Bedford"/>
    <m/>
    <m/>
    <n v="0"/>
    <n v="0"/>
    <n v="0"/>
    <n v="0"/>
    <n v="0"/>
    <n v="0"/>
    <n v="0"/>
    <n v="0"/>
    <n v="0"/>
    <n v="0"/>
    <n v="0"/>
    <n v="0"/>
    <n v="5"/>
    <n v="0"/>
    <n v="-5"/>
    <n v="5"/>
    <n v="0"/>
    <n v="-5"/>
    <s v="Erection of single-storey rear extension and conversion of property to 1 x 3-bedroom and 2 x 2-bedroom flats."/>
    <s v="PF"/>
    <d v="2017-08-07T00:00:00"/>
    <d v="2017-10-24T00:00:00"/>
    <s v="Nil"/>
    <m/>
    <m/>
    <m/>
    <s v="Open Market"/>
    <s v="M"/>
    <m/>
    <m/>
    <m/>
    <m/>
    <n v="6"/>
    <m/>
    <m/>
    <n v="-1.25"/>
    <n v="-1.25"/>
    <n v="-1.25"/>
    <n v="-1.25"/>
    <m/>
    <m/>
    <m/>
    <m/>
    <m/>
    <m/>
    <m/>
    <m/>
    <m/>
    <m/>
    <m/>
    <m/>
    <m/>
    <m/>
    <n v="-5"/>
    <n v="-5"/>
  </r>
  <r>
    <n v="6750"/>
    <x v="2"/>
    <s v="2018/6137"/>
    <s v="25 Mexfield Road"/>
    <n v="524932"/>
    <n v="174725"/>
    <s v="Fairfield"/>
    <m/>
    <m/>
    <n v="0"/>
    <n v="0"/>
    <n v="0"/>
    <n v="0"/>
    <n v="0"/>
    <n v="0"/>
    <n v="0"/>
    <n v="0"/>
    <n v="0"/>
    <n v="0"/>
    <n v="0"/>
    <n v="0"/>
    <n v="7"/>
    <n v="0"/>
    <n v="-7"/>
    <n v="7"/>
    <n v="0"/>
    <n v="-7"/>
    <s v="Alterations including erection of single storey rear/side extension in connection with change of use of property from House of Multiple Occupation (Sui Generis) to create 2 x 2-bedroom and 1 x 1-bedroom flats (Class C3)."/>
    <s v="PF"/>
    <d v="2018-12-28T00:00:00"/>
    <d v="2019-11-28T00:00:00"/>
    <s v="Nil"/>
    <m/>
    <m/>
    <m/>
    <s v="Open Market"/>
    <s v="M"/>
    <m/>
    <m/>
    <m/>
    <m/>
    <n v="6"/>
    <m/>
    <m/>
    <n v="-1.75"/>
    <n v="-1.75"/>
    <n v="-1.75"/>
    <n v="-1.75"/>
    <m/>
    <m/>
    <m/>
    <m/>
    <m/>
    <m/>
    <m/>
    <m/>
    <m/>
    <m/>
    <m/>
    <m/>
    <m/>
    <m/>
    <n v="-7"/>
    <n v="-7"/>
  </r>
  <r>
    <n v="6827"/>
    <x v="2"/>
    <s v="2019/2292"/>
    <s v="Cedars Hall, 141 Welham Road"/>
    <n v="528519"/>
    <n v="170963"/>
    <s v="Furzedown"/>
    <m/>
    <m/>
    <n v="0"/>
    <n v="0"/>
    <n v="0"/>
    <n v="0"/>
    <n v="0"/>
    <n v="0"/>
    <n v="0"/>
    <n v="0"/>
    <n v="0"/>
    <n v="0"/>
    <n v="40"/>
    <n v="40"/>
    <n v="0"/>
    <n v="0"/>
    <n v="0"/>
    <n v="0"/>
    <n v="40"/>
    <n v="40"/>
    <s v="Alterations including erection of single-storey dining hall (Class D1) on northern side of Furzedown Primary School playground, relocation of ball cage on southern side of school playground; erection of three-storey student accommodation block to Cedars Hall and change of use of existing Cedars Hall dining area for student"/>
    <s v="PF"/>
    <d v="2019-06-11T00:00:00"/>
    <d v="2019-10-28T00:00:00"/>
    <s v="Nil"/>
    <m/>
    <m/>
    <m/>
    <s v="Open Market"/>
    <s v="M"/>
    <m/>
    <m/>
    <m/>
    <m/>
    <n v="6"/>
    <m/>
    <m/>
    <n v="10"/>
    <n v="10"/>
    <n v="10"/>
    <n v="10"/>
    <m/>
    <m/>
    <m/>
    <m/>
    <m/>
    <m/>
    <m/>
    <m/>
    <m/>
    <m/>
    <m/>
    <m/>
    <m/>
    <m/>
    <n v="40"/>
    <n v="40"/>
  </r>
  <r>
    <n v="6884"/>
    <x v="2"/>
    <s v="2019/5030"/>
    <s v="34 Putney High Street"/>
    <n v="524096"/>
    <n v="175530"/>
    <s v="Thamesfield"/>
    <m/>
    <m/>
    <n v="0"/>
    <n v="0"/>
    <n v="0"/>
    <n v="0"/>
    <n v="0"/>
    <n v="0"/>
    <n v="0"/>
    <n v="0"/>
    <n v="0"/>
    <n v="0"/>
    <n v="0"/>
    <n v="0"/>
    <n v="0"/>
    <n v="6"/>
    <n v="6"/>
    <n v="0"/>
    <n v="6"/>
    <n v="6"/>
    <s v="Alterations in connection with change of use of 3-bedroom flat (Class C3) to 6-bedroom residence of multiple occupation (Sui Generis.)"/>
    <s v="PF"/>
    <d v="2019-12-10T00:00:00"/>
    <d v="2020-03-17T00:00:00"/>
    <s v="Nil"/>
    <m/>
    <m/>
    <m/>
    <s v="Open Market"/>
    <s v="M"/>
    <m/>
    <m/>
    <m/>
    <m/>
    <n v="6"/>
    <m/>
    <m/>
    <n v="1.5"/>
    <n v="1.5"/>
    <n v="1.5"/>
    <n v="1.5"/>
    <m/>
    <m/>
    <m/>
    <m/>
    <m/>
    <m/>
    <m/>
    <m/>
    <m/>
    <m/>
    <m/>
    <m/>
    <m/>
    <m/>
    <n v="6"/>
    <n v="6"/>
  </r>
  <r>
    <n v="7034"/>
    <x v="2"/>
    <s v="2018/5025"/>
    <s v="111 Elspeth Road"/>
    <n v="527877"/>
    <n v="175239"/>
    <s v="Shaftesbury"/>
    <m/>
    <m/>
    <n v="0"/>
    <n v="0"/>
    <n v="0"/>
    <n v="0"/>
    <n v="0"/>
    <n v="0"/>
    <n v="0"/>
    <n v="0"/>
    <n v="0"/>
    <n v="0"/>
    <n v="0"/>
    <n v="0"/>
    <n v="0"/>
    <n v="6"/>
    <n v="6"/>
    <n v="0"/>
    <n v="6"/>
    <n v="6"/>
    <s v="Change of use from dwelling house (Class C3) to 10 person House in Multiple Occupation (Sui Generis)."/>
    <s v="PF"/>
    <d v="2018-10-23T00:00:00"/>
    <d v="2018-12-18T00:00:00"/>
    <s v="Nil"/>
    <m/>
    <m/>
    <m/>
    <s v="Open Market"/>
    <s v="M"/>
    <m/>
    <m/>
    <m/>
    <m/>
    <n v="6"/>
    <m/>
    <m/>
    <n v="1.5"/>
    <n v="1.5"/>
    <n v="1.5"/>
    <n v="1.5"/>
    <m/>
    <m/>
    <m/>
    <m/>
    <m/>
    <m/>
    <m/>
    <m/>
    <m/>
    <m/>
    <m/>
    <m/>
    <m/>
    <m/>
    <n v="6"/>
    <n v="6"/>
  </r>
  <r>
    <n v="7177"/>
    <x v="2"/>
    <s v="2019/1811"/>
    <s v="Haydon House, Haydon Way"/>
    <n v="526531"/>
    <n v="175045"/>
    <s v="Fairfield"/>
    <m/>
    <m/>
    <n v="23"/>
    <n v="25"/>
    <n v="2"/>
    <n v="0"/>
    <n v="0"/>
    <n v="0"/>
    <n v="0"/>
    <n v="0"/>
    <n v="0"/>
    <n v="0"/>
    <n v="0"/>
    <n v="0"/>
    <n v="0"/>
    <n v="0"/>
    <n v="0"/>
    <n v="23"/>
    <n v="25"/>
    <n v="2"/>
    <s v="Erection of single storey rear extensions at ground and first floor levels to provide additional hostel accommodation."/>
    <s v="PF"/>
    <d v="2019-05-20T00:00:00"/>
    <d v="2019-08-28T00:00:00"/>
    <s v="Nil"/>
    <m/>
    <m/>
    <m/>
    <s v="Unknown"/>
    <s v="U"/>
    <m/>
    <m/>
    <s v="Y"/>
    <s v="OT"/>
    <n v="6"/>
    <m/>
    <m/>
    <n v="0.5"/>
    <n v="0.5"/>
    <n v="0.5"/>
    <n v="0.5"/>
    <m/>
    <m/>
    <m/>
    <m/>
    <m/>
    <m/>
    <m/>
    <m/>
    <m/>
    <m/>
    <m/>
    <m/>
    <m/>
    <m/>
    <n v="2"/>
    <n v="2"/>
  </r>
  <r>
    <n v="7235"/>
    <x v="2"/>
    <s v="2019/3539"/>
    <s v="95-97 Putney High Street"/>
    <n v="524049"/>
    <n v="175301"/>
    <s v="Thamesfield"/>
    <m/>
    <m/>
    <n v="0"/>
    <n v="0"/>
    <n v="0"/>
    <n v="0"/>
    <n v="0"/>
    <n v="0"/>
    <n v="0"/>
    <n v="0"/>
    <n v="0"/>
    <n v="0"/>
    <n v="0"/>
    <n v="0"/>
    <n v="0"/>
    <n v="16"/>
    <n v="16"/>
    <n v="0"/>
    <n v="16"/>
    <n v="16"/>
    <s v="Erection of single to three-storey rear and side extensions and formation of roof terraces at first and  third floor levels in connection with use of the upper floors as a 19 person HMO (Sui Generis) with refuse and cycle storage at the rear; restoration of the facade of No. 95."/>
    <s v="PF"/>
    <d v="2019-08-21T00:00:00"/>
    <d v="2019-10-16T00:00:00"/>
    <s v="Nil"/>
    <m/>
    <m/>
    <m/>
    <s v="Open Market"/>
    <s v="M"/>
    <m/>
    <m/>
    <m/>
    <m/>
    <n v="6"/>
    <m/>
    <m/>
    <n v="4"/>
    <n v="4"/>
    <n v="4"/>
    <n v="4"/>
    <m/>
    <m/>
    <m/>
    <m/>
    <m/>
    <m/>
    <m/>
    <m/>
    <m/>
    <m/>
    <m/>
    <m/>
    <m/>
    <m/>
    <n v="16"/>
    <n v="16"/>
  </r>
  <r>
    <n v="7317"/>
    <x v="2"/>
    <s v="2019/5000"/>
    <s v="252-254 Upper Tooting Road"/>
    <n v="527570"/>
    <n v="171707"/>
    <s v="Tooting"/>
    <m/>
    <m/>
    <n v="0"/>
    <n v="0"/>
    <n v="0"/>
    <n v="0"/>
    <n v="0"/>
    <n v="0"/>
    <n v="0"/>
    <n v="0"/>
    <n v="0"/>
    <n v="0"/>
    <n v="0"/>
    <n v="0"/>
    <n v="6"/>
    <n v="18"/>
    <n v="12"/>
    <n v="6"/>
    <n v="18"/>
    <n v="12"/>
    <s v="Erection a four-storey rear extension (approximately 12m in height). Change of use from a 1 x House of Multiple Occupation (HMO - 6 rooms) in to 1x HMO (18 rooms), while existing flats (1x studio, 1 x 1-bedroom flat and 2 x 2-bedroom flats) are to be retained."/>
    <s v="PF"/>
    <d v="2019-12-05T00:00:00"/>
    <d v="2020-02-18T00:00:00"/>
    <s v="Nil"/>
    <m/>
    <m/>
    <m/>
    <s v="Open Market"/>
    <s v="M"/>
    <m/>
    <m/>
    <m/>
    <m/>
    <n v="6"/>
    <m/>
    <m/>
    <n v="3"/>
    <n v="3"/>
    <n v="3"/>
    <n v="3"/>
    <m/>
    <m/>
    <m/>
    <m/>
    <m/>
    <m/>
    <m/>
    <m/>
    <m/>
    <m/>
    <m/>
    <m/>
    <m/>
    <m/>
    <n v="12"/>
    <n v="12"/>
  </r>
  <r>
    <n v="6657"/>
    <x v="3"/>
    <s v="2017/4141"/>
    <s v="Brocklebank Health Centre, 249 Garratt Lane (and others), 229-247 Garratt Lane (Garratt Lane and Atheldene Regeneration Site)"/>
    <n v="525999"/>
    <n v="173647"/>
    <s v="Earlsfield"/>
    <m/>
    <m/>
    <n v="0"/>
    <n v="0"/>
    <n v="0"/>
    <n v="37"/>
    <n v="0"/>
    <n v="-37"/>
    <n v="0"/>
    <n v="0"/>
    <n v="0"/>
    <n v="0"/>
    <n v="0"/>
    <n v="0"/>
    <n v="0"/>
    <n v="0"/>
    <n v="0"/>
    <n v="37"/>
    <n v="0"/>
    <n v="-37"/>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s v="Nil"/>
    <m/>
    <m/>
    <m/>
    <s v="Unknown"/>
    <s v="U"/>
    <m/>
    <m/>
    <m/>
    <m/>
    <n v="6"/>
    <m/>
    <m/>
    <n v="-9.25"/>
    <n v="-9.25"/>
    <n v="-9.25"/>
    <n v="-9.25"/>
    <m/>
    <m/>
    <m/>
    <m/>
    <m/>
    <m/>
    <m/>
    <m/>
    <m/>
    <m/>
    <m/>
    <m/>
    <m/>
    <m/>
    <n v="-37"/>
    <n v="-37"/>
  </r>
  <r>
    <n v="3123"/>
    <x v="4"/>
    <s v="2020/0723"/>
    <s v="102 Roehampton Vale"/>
    <n v="521692"/>
    <n v="172512"/>
    <s v="Roehampton and Putney Heath"/>
    <m/>
    <m/>
    <n v="0"/>
    <n v="0"/>
    <n v="0"/>
    <n v="0"/>
    <n v="0"/>
    <n v="0"/>
    <n v="0"/>
    <n v="0"/>
    <n v="0"/>
    <n v="0"/>
    <n v="0"/>
    <n v="0"/>
    <n v="0"/>
    <n v="7"/>
    <n v="7"/>
    <n v="0"/>
    <n v="7"/>
    <n v="7"/>
    <s v="Change of use from residential (Class C4) to 1 x 7-bedroom HMO (Class Sui Generis)."/>
    <s v="AF"/>
    <d v="2020-03-03T00:00:00"/>
    <m/>
    <s v="Nil"/>
    <m/>
    <m/>
    <m/>
    <s v="Open Market"/>
    <s v="M"/>
    <m/>
    <m/>
    <m/>
    <m/>
    <n v="10"/>
    <m/>
    <m/>
    <m/>
    <m/>
    <m/>
    <m/>
    <n v="1.75"/>
    <n v="1.75"/>
    <n v="1.75"/>
    <n v="1.75"/>
    <m/>
    <m/>
    <m/>
    <m/>
    <m/>
    <m/>
    <m/>
    <m/>
    <m/>
    <m/>
    <n v="0"/>
    <n v="7"/>
  </r>
  <r>
    <n v="6497"/>
    <x v="4"/>
    <s v="2019/5520"/>
    <s v="64-64c Battersea Rise"/>
    <n v="527487"/>
    <n v="175150"/>
    <s v="Northcote"/>
    <m/>
    <m/>
    <n v="0"/>
    <n v="0"/>
    <n v="0"/>
    <n v="0"/>
    <n v="0"/>
    <n v="0"/>
    <n v="0"/>
    <n v="0"/>
    <n v="0"/>
    <n v="0"/>
    <n v="0"/>
    <n v="0"/>
    <n v="0"/>
    <n v="14"/>
    <n v="14"/>
    <n v="0"/>
    <n v="14"/>
    <n v="14"/>
    <s v="Alterations including erection of roof extension (with french doors and safety railings), erection of rear extensions at first, second and third floor levels, formation of roof terraces at second and third floor and excavation to enlarge basement, in connection with retention of ground and basement floors as restaurant (Class A3) and change of use of upper floors from residential (Class C3) to 13 bedroom house of multiple occupation."/>
    <s v="AF"/>
    <d v="2020-01-23T00:00:00"/>
    <m/>
    <s v="Nil"/>
    <m/>
    <m/>
    <m/>
    <s v="Open Market"/>
    <s v="M"/>
    <m/>
    <m/>
    <m/>
    <m/>
    <n v="10"/>
    <m/>
    <m/>
    <m/>
    <m/>
    <m/>
    <m/>
    <n v="3.5"/>
    <n v="3.5"/>
    <n v="3.5"/>
    <n v="3.5"/>
    <m/>
    <m/>
    <m/>
    <m/>
    <m/>
    <m/>
    <m/>
    <m/>
    <m/>
    <m/>
    <n v="0"/>
    <n v="14"/>
  </r>
  <r>
    <n v="6657"/>
    <x v="4"/>
    <s v="2017/4141"/>
    <s v="Brocklebank Health Centre, 249 Garratt Lane (and others), 229-247 Garratt Lane (Garratt Lane and Atheldene Regeneration Site)"/>
    <n v="525999"/>
    <n v="173647"/>
    <s v="Earlsfield"/>
    <m/>
    <m/>
    <n v="0"/>
    <n v="0"/>
    <n v="0"/>
    <n v="37"/>
    <n v="0"/>
    <n v="-37"/>
    <n v="0"/>
    <n v="0"/>
    <n v="0"/>
    <n v="0"/>
    <n v="0"/>
    <n v="0"/>
    <n v="0"/>
    <n v="0"/>
    <n v="0"/>
    <n v="37"/>
    <n v="0"/>
    <n v="-37"/>
    <s v="Demolition of existing buildings and erection of a mixed use development providing a total of 190 residential units (of both private and affordable tenure) including houses and apartments, with associated amenity space including gardens, balconies and terraces; a new health centre (Class D1 use) (1,873sq.m), a pharmacy (Class A1 use) (94sq.m), two commercial units (flexible Class A1/A2/A3 or B1 use) (189sq.m), within buildings ranging between two and five-storeys high, together with the provision of hard and soft landscaping, enhanced pedestrian routes, and associated car parking and cycle parking, with the development proposed to be constructed in two phases."/>
    <s v="SLA"/>
    <d v="2017-07-27T00:00:00"/>
    <m/>
    <s v="Nil"/>
    <m/>
    <m/>
    <m/>
    <s v="Unknown"/>
    <s v="U"/>
    <m/>
    <m/>
    <m/>
    <m/>
    <n v="10"/>
    <m/>
    <m/>
    <m/>
    <m/>
    <m/>
    <m/>
    <n v="-9.25"/>
    <n v="-9.25"/>
    <n v="-9.25"/>
    <n v="-9.25"/>
    <m/>
    <m/>
    <m/>
    <m/>
    <m/>
    <m/>
    <m/>
    <m/>
    <m/>
    <m/>
    <n v="0"/>
    <n v="-37"/>
  </r>
  <r>
    <n v="6806"/>
    <x v="4"/>
    <s v="2020/0349"/>
    <s v="58 Rogers Road"/>
    <n v="527133"/>
    <n v="171843"/>
    <s v="Tooting"/>
    <m/>
    <m/>
    <n v="0"/>
    <n v="0"/>
    <n v="0"/>
    <n v="0"/>
    <n v="0"/>
    <n v="0"/>
    <n v="0"/>
    <n v="0"/>
    <n v="0"/>
    <n v="0"/>
    <n v="0"/>
    <n v="0"/>
    <n v="0"/>
    <n v="8"/>
    <n v="8"/>
    <n v="0"/>
    <n v="8"/>
    <n v="8"/>
    <s v="Erection of single-storey rear ans side extensions. Erection of rear dormer roof extension and hipped roof over two-storey side addition. Erection of single-storey outbuilding. Alterations and extensions in connection with change of use from residential dwellinghouse (Class C3) to 8 bedroom HMO (Class Sui Generis)."/>
    <s v="AF"/>
    <d v="2020-02-21T00:00:00"/>
    <m/>
    <s v="Nil"/>
    <m/>
    <m/>
    <m/>
    <s v="Open Market"/>
    <s v="M"/>
    <m/>
    <m/>
    <m/>
    <m/>
    <n v="10"/>
    <m/>
    <m/>
    <m/>
    <m/>
    <m/>
    <m/>
    <n v="2"/>
    <n v="2"/>
    <n v="2"/>
    <n v="2"/>
    <m/>
    <m/>
    <m/>
    <m/>
    <m/>
    <m/>
    <m/>
    <m/>
    <m/>
    <m/>
    <n v="0"/>
    <n v="8"/>
  </r>
  <r>
    <n v="7348"/>
    <x v="4"/>
    <s v="2020/0444"/>
    <s v="29 Honeywell Road"/>
    <n v="527583"/>
    <n v="174336"/>
    <s v="Northcote"/>
    <m/>
    <m/>
    <n v="0"/>
    <n v="0"/>
    <n v="0"/>
    <n v="0"/>
    <n v="0"/>
    <n v="0"/>
    <n v="0"/>
    <n v="0"/>
    <n v="0"/>
    <n v="0"/>
    <n v="0"/>
    <n v="0"/>
    <n v="7"/>
    <n v="8"/>
    <n v="1"/>
    <n v="7"/>
    <n v="8"/>
    <n v="1"/>
    <s v="Alterations to include erection of a single-storey rear/side extension to increase HMO from 7 to 8."/>
    <s v="AF"/>
    <d v="2020-02-18T00:00:00"/>
    <m/>
    <s v="Nil"/>
    <m/>
    <m/>
    <m/>
    <s v="Open Market"/>
    <s v="M"/>
    <m/>
    <m/>
    <m/>
    <m/>
    <n v="10"/>
    <m/>
    <m/>
    <m/>
    <m/>
    <m/>
    <m/>
    <n v="0.25"/>
    <n v="0.25"/>
    <n v="0.25"/>
    <n v="0.25"/>
    <m/>
    <m/>
    <m/>
    <m/>
    <m/>
    <m/>
    <m/>
    <m/>
    <m/>
    <m/>
    <n v="0"/>
    <n v="1"/>
  </r>
  <r>
    <m/>
    <x v="5"/>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CEC0E0F-0C05-4297-BC4D-561EC2181A01}" name="PivotTable2"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1:B3" firstHeaderRow="1" firstDataRow="1" firstDataCol="1"/>
  <pivotFields count="99">
    <pivotField showAll="0"/>
    <pivotField axis="axisRow"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Items count="1">
    <i/>
  </colItem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33E2CBD-0CA5-4F26-BC41-E72A8A696478}" name="PivotTable11"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5:C9" firstHeaderRow="0" firstDataRow="1" firstDataCol="1" rowPageCount="3"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axis="axisPage" multipleItemSelectionAllowed="1" showAll="0">
      <items count="9">
        <item h="1" x="4"/>
        <item h="1" x="5"/>
        <item x="0"/>
        <item x="1"/>
        <item h="1" x="2"/>
        <item h="1" x="3"/>
        <item x="7"/>
        <item h="1" x="6"/>
        <item t="default"/>
      </items>
    </pivotField>
    <pivotField axis="axisPage" multipleItemSelectionAllowed="1" showAll="0">
      <items count="17">
        <item h="1" x="2"/>
        <item h="1" x="8"/>
        <item h="1" x="10"/>
        <item h="1" x="0"/>
        <item h="1" x="9"/>
        <item h="1" x="4"/>
        <item h="1" x="6"/>
        <item h="1" x="1"/>
        <item h="1" x="11"/>
        <item h="1" x="14"/>
        <item h="1" x="13"/>
        <item h="1" x="3"/>
        <item x="5"/>
        <item x="7"/>
        <item x="12"/>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Fields count="1">
    <field x="-2"/>
  </colFields>
  <colItems count="2">
    <i>
      <x/>
    </i>
    <i i="1">
      <x v="1"/>
    </i>
  </colItems>
  <pageFields count="3">
    <pageField fld="20" item="1" hier="-1"/>
    <pageField fld="25" hier="-1"/>
    <pageField fld="26" hier="-1"/>
  </pageFields>
  <dataFields count="2">
    <dataField name="Sum of Phase Net Units" fld="12" baseField="1" baseItem="0"/>
    <dataField name="Sum of Phase Proposed Units"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808677B7-0152-43DA-89BD-1FFD676B9F12}" name="PivotTable12"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5:C9" firstHeaderRow="0" firstDataRow="1" firstDataCol="1" rowPageCount="3"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axis="axisPage" multipleItemSelectionAllowed="1" showAll="0">
      <items count="9">
        <item x="4"/>
        <item x="5"/>
        <item x="0"/>
        <item h="1" x="1"/>
        <item x="2"/>
        <item x="3"/>
        <item x="7"/>
        <item h="1" x="6"/>
        <item t="default"/>
      </items>
    </pivotField>
    <pivotField axis="axisPage" multipleItemSelectionAllowed="1" showAll="0">
      <items count="17">
        <item x="2"/>
        <item x="8"/>
        <item x="10"/>
        <item x="0"/>
        <item x="9"/>
        <item x="4"/>
        <item x="6"/>
        <item x="1"/>
        <item x="11"/>
        <item x="14"/>
        <item x="13"/>
        <item x="3"/>
        <item h="1" x="5"/>
        <item x="7"/>
        <item x="12"/>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Fields count="1">
    <field x="-2"/>
  </colFields>
  <colItems count="2">
    <i>
      <x/>
    </i>
    <i i="1">
      <x v="1"/>
    </i>
  </colItems>
  <pageFields count="3">
    <pageField fld="20" item="1" hier="-1"/>
    <pageField fld="25" hier="-1"/>
    <pageField fld="26" hier="-1"/>
  </pageFields>
  <dataFields count="2">
    <dataField name="Sum of Phase Net Units" fld="12" baseField="1" baseItem="0"/>
    <dataField name="Sum of Phase Proposed Units"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183245A8-0482-4DC1-A03F-1496687E5418}" name="PivotTable13"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5:B8" firstHeaderRow="1" firstDataRow="1" firstDataCol="1" rowPageCount="3"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h="1" x="4"/>
        <item h="1" x="5"/>
        <item x="0"/>
        <item x="1"/>
        <item h="1" x="2"/>
        <item h="1" x="3"/>
        <item x="7"/>
        <item h="1" x="6"/>
        <item t="default"/>
      </items>
    </pivotField>
    <pivotField axis="axisPage" multipleItemSelectionAllowed="1" showAll="0">
      <items count="17">
        <item h="1" x="2"/>
        <item h="1" x="8"/>
        <item h="1" x="10"/>
        <item h="1" x="0"/>
        <item h="1" x="9"/>
        <item h="1" x="4"/>
        <item h="1" x="6"/>
        <item h="1" x="1"/>
        <item h="1" x="11"/>
        <item h="1" x="14"/>
        <item h="1" x="13"/>
        <item h="1" x="3"/>
        <item x="5"/>
        <item x="7"/>
        <item x="12"/>
        <item x="15"/>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1"/>
    </i>
    <i t="grand">
      <x/>
    </i>
  </rowItems>
  <colItems count="1">
    <i/>
  </colItems>
  <pageFields count="3">
    <pageField fld="25" hier="-1"/>
    <pageField fld="26" hier="-1"/>
    <pageField fld="29" item="0"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A8CEA603-6454-4A91-90EF-C5A6B466292A}" name="PivotTable14"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5:B8" firstHeaderRow="1" firstDataRow="1" firstDataCol="1" rowPageCount="3"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x="4"/>
        <item x="5"/>
        <item x="0"/>
        <item h="1" x="1"/>
        <item x="2"/>
        <item x="3"/>
        <item x="7"/>
        <item h="1" x="6"/>
        <item t="default"/>
      </items>
    </pivotField>
    <pivotField axis="axisPage" multipleItemSelectionAllowed="1" showAll="0">
      <items count="17">
        <item x="2"/>
        <item x="8"/>
        <item x="10"/>
        <item x="0"/>
        <item x="9"/>
        <item x="4"/>
        <item x="6"/>
        <item x="1"/>
        <item x="11"/>
        <item x="14"/>
        <item x="13"/>
        <item x="3"/>
        <item h="1" x="5"/>
        <item x="7"/>
        <item x="12"/>
        <item x="15"/>
        <item t="default"/>
      </items>
    </pivotField>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1"/>
    </i>
    <i t="grand">
      <x/>
    </i>
  </rowItems>
  <colItems count="1">
    <i/>
  </colItems>
  <pageFields count="3">
    <pageField fld="25" hier="-1"/>
    <pageField fld="26" hier="-1"/>
    <pageField fld="29" item="0"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C51C3995-4CF6-4EDE-A63C-CD987341DB48}" name="PivotTable15"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E8" firstHeaderRow="1" firstDataRow="2" firstDataCol="1" rowPageCount="1"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multipleItemSelectionAllowed="1" showAll="0"/>
    <pivotField multipleItemSelectionAllowed="1" showAll="0"/>
    <pivotField showAll="0"/>
    <pivotField showAll="0"/>
    <pivotField showAll="0"/>
    <pivotField showAll="0"/>
    <pivotField axis="axisCol"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Fields count="1">
    <field x="31"/>
  </colFields>
  <colItems count="4">
    <i>
      <x/>
    </i>
    <i>
      <x v="1"/>
    </i>
    <i>
      <x v="2"/>
    </i>
    <i t="grand">
      <x/>
    </i>
  </colItems>
  <pageFields count="1">
    <pageField fld="20" item="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3AB7FE26-CB43-41E3-B9BA-B58DFDA5D2CB}" name="PivotTable16"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E7" firstHeaderRow="1" firstDataRow="2" firstDataCol="1" rowPageCount="1"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axis="axisPage" showAll="0">
      <items count="3">
        <item x="1"/>
        <item x="0"/>
        <item t="default"/>
      </items>
    </pivotField>
    <pivotField showAll="0"/>
    <pivotField axis="axisCol"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1"/>
    </i>
    <i t="grand">
      <x/>
    </i>
  </rowItems>
  <colFields count="1">
    <field x="31"/>
  </colFields>
  <colItems count="4">
    <i>
      <x/>
    </i>
    <i>
      <x v="1"/>
    </i>
    <i>
      <x v="2"/>
    </i>
    <i t="grand">
      <x/>
    </i>
  </colItems>
  <pageFields count="1">
    <pageField fld="29" item="0"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B6F66488-87D4-4F18-A9C5-D841E937F4F0}" name="PivotTable17"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J7" firstHeaderRow="1" firstDataRow="3" firstDataCol="1" rowPageCount="1" colPageCount="1"/>
  <pivotFields count="99">
    <pivotField showAll="0"/>
    <pivotField axis="axisRow"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axis="axisCol" showAll="0">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Fields count="2">
    <field x="68"/>
    <field x="31"/>
  </colFields>
  <colItems count="9">
    <i>
      <x/>
      <x/>
    </i>
    <i r="1">
      <x v="1"/>
    </i>
    <i r="1">
      <x v="2"/>
    </i>
    <i t="default">
      <x/>
    </i>
    <i>
      <x v="1"/>
      <x/>
    </i>
    <i r="1">
      <x v="1"/>
    </i>
    <i r="1">
      <x v="2"/>
    </i>
    <i t="default">
      <x v="1"/>
    </i>
    <i t="grand">
      <x/>
    </i>
  </colItems>
  <pageFields count="1">
    <pageField fld="15" item="0"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59CF6899-0F71-4E39-8C10-3ABA5D74CB38}" name="PivotTable1"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10" firstHeaderRow="1" firstDataRow="1" firstDataCol="1" rowPageCount="1"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m="1" x="6"/>
        <item x="0"/>
        <item x="1"/>
        <item x="2"/>
        <item x="4"/>
        <item x="3"/>
        <item x="5"/>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7"/>
  </rowFields>
  <rowItems count="7">
    <i>
      <x v="1"/>
    </i>
    <i>
      <x v="2"/>
    </i>
    <i>
      <x v="3"/>
    </i>
    <i>
      <x v="4"/>
    </i>
    <i>
      <x v="5"/>
    </i>
    <i>
      <x v="6"/>
    </i>
    <i t="grand">
      <x/>
    </i>
  </rowItems>
  <colItems count="1">
    <i/>
  </colItems>
  <pageFields count="1">
    <pageField fld="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0D12986-9C4F-4ECC-AF2D-C1479AA59D12}" name="PivotTable2"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24" firstHeaderRow="1" firstDataRow="1" firstDataCol="1" rowPageCount="1"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axis="axisRow" showAll="0">
      <items count="22">
        <item x="6"/>
        <item x="19"/>
        <item x="8"/>
        <item x="5"/>
        <item x="2"/>
        <item x="7"/>
        <item x="10"/>
        <item x="16"/>
        <item x="3"/>
        <item x="4"/>
        <item x="12"/>
        <item x="13"/>
        <item x="9"/>
        <item x="14"/>
        <item x="11"/>
        <item x="0"/>
        <item x="1"/>
        <item x="17"/>
        <item x="18"/>
        <item x="15"/>
        <item x="20"/>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21">
    <i>
      <x/>
    </i>
    <i>
      <x v="1"/>
    </i>
    <i>
      <x v="2"/>
    </i>
    <i>
      <x v="3"/>
    </i>
    <i>
      <x v="4"/>
    </i>
    <i>
      <x v="5"/>
    </i>
    <i>
      <x v="6"/>
    </i>
    <i>
      <x v="7"/>
    </i>
    <i>
      <x v="8"/>
    </i>
    <i>
      <x v="9"/>
    </i>
    <i>
      <x v="10"/>
    </i>
    <i>
      <x v="11"/>
    </i>
    <i>
      <x v="12"/>
    </i>
    <i>
      <x v="13"/>
    </i>
    <i>
      <x v="14"/>
    </i>
    <i>
      <x v="15"/>
    </i>
    <i>
      <x v="16"/>
    </i>
    <i>
      <x v="17"/>
    </i>
    <i>
      <x v="18"/>
    </i>
    <i>
      <x v="19"/>
    </i>
    <i t="grand">
      <x/>
    </i>
  </rowItems>
  <colItems count="1">
    <i/>
  </colItems>
  <pageFields count="1">
    <pageField fld="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471CA833-DF94-4F9C-B67E-F0E8BBFC382D}" name="PivotTable3"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4:A5" firstHeaderRow="1" firstDataRow="1" firstDataCol="0" rowPageCount="2"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hier="-1"/>
    <pageField fld="69" item="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C25ADC4-3CC0-480E-9D88-97221F9ABC79}" name="PivotTable3" cacheId="7553"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1:B3" firstHeaderRow="1" firstDataRow="1" firstDataCol="1"/>
  <pivotFields count="64">
    <pivotField showAll="0"/>
    <pivotField axis="axisRow" showAll="0">
      <items count="7">
        <item x="0"/>
        <item h="1" x="1"/>
        <item h="1" x="2"/>
        <item h="1" x="4"/>
        <item h="1" x="3"/>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s>
  <rowFields count="1">
    <field x="1"/>
  </rowFields>
  <rowItems count="2">
    <i>
      <x/>
    </i>
    <i t="grand">
      <x/>
    </i>
  </rowItems>
  <colItems count="1">
    <i/>
  </colItems>
  <dataFields count="1">
    <dataField name="Sum of Net Non-Self-Contained Rooms" fld="2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471C6C6-041D-4E61-96A5-6558725E88D9}" name="PivotTable4"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4:A5" firstHeaderRow="1" firstDataRow="1" firstDataCol="0" rowPageCount="2"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hier="-1"/>
    <pageField fld="70" item="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53C74B2D-B505-4239-9BC4-2591F9437763}" name="PivotTable5"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4:A5" firstHeaderRow="1" firstDataRow="1" firstDataCol="0" rowPageCount="2"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hier="-1"/>
    <pageField fld="68" item="0"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C84786AC-9B11-4D4A-BBE2-E39430D3CBDA}" name="PivotTable6"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4:A5" firstHeaderRow="1" firstDataRow="1" firstDataCol="0" rowPageCount="2"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defaultSubtotal="0">
      <items count="2">
        <item x="0"/>
        <item x="1"/>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hier="-1"/>
    <pageField fld="73" item="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955F53BE-DF94-4850-97D4-793AD1692443}" name="PivotTable7"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4:A5" firstHeaderRow="1" firstDataRow="1" firstDataCol="0" rowPageCount="2"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axis="axisPage"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hier="-1"/>
    <pageField fld="74" item="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CF7F7E91-6605-49C6-B355-E07CCD0EEF27}" name="PivotTable8"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4:A5" firstHeaderRow="1" firstDataRow="1" firstDataCol="0" rowPageCount="2" colPageCount="1"/>
  <pivotFields count="99">
    <pivotField showAll="0"/>
    <pivotField axis="axisPage" multipleItemSelectionAllowed="1"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hier="-1"/>
    <pageField fld="71" item="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158663C2-8169-45AB-A877-E3851911DD51}" name="PivotTable9"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1:E23" firstHeaderRow="1" firstDataRow="2" firstDataCol="1"/>
  <pivotFields count="99">
    <pivotField showAll="0"/>
    <pivotField axis="axisCol" multipleItemSelectionAllowed="1" showAll="0">
      <items count="10">
        <item x="0"/>
        <item x="1"/>
        <item x="2"/>
        <item h="1" x="3"/>
        <item h="1" x="4"/>
        <item h="1" x="5"/>
        <item h="1" x="6"/>
        <item h="1" x="7"/>
        <item h="1" x="8"/>
        <item t="default"/>
      </items>
    </pivotField>
    <pivotField showAll="0"/>
    <pivotField showAll="0"/>
    <pivotField showAll="0"/>
    <pivotField showAll="0"/>
    <pivotField showAll="0"/>
    <pivotField axis="axisRow" showAll="0">
      <items count="22">
        <item x="6"/>
        <item x="19"/>
        <item x="8"/>
        <item x="5"/>
        <item x="2"/>
        <item x="7"/>
        <item x="10"/>
        <item x="16"/>
        <item x="3"/>
        <item x="4"/>
        <item x="12"/>
        <item x="13"/>
        <item x="9"/>
        <item x="14"/>
        <item x="11"/>
        <item x="0"/>
        <item x="1"/>
        <item x="17"/>
        <item x="18"/>
        <item x="15"/>
        <item x="20"/>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21">
    <i>
      <x/>
    </i>
    <i>
      <x v="1"/>
    </i>
    <i>
      <x v="2"/>
    </i>
    <i>
      <x v="3"/>
    </i>
    <i>
      <x v="4"/>
    </i>
    <i>
      <x v="5"/>
    </i>
    <i>
      <x v="6"/>
    </i>
    <i>
      <x v="7"/>
    </i>
    <i>
      <x v="8"/>
    </i>
    <i>
      <x v="9"/>
    </i>
    <i>
      <x v="10"/>
    </i>
    <i>
      <x v="11"/>
    </i>
    <i>
      <x v="12"/>
    </i>
    <i>
      <x v="13"/>
    </i>
    <i>
      <x v="14"/>
    </i>
    <i>
      <x v="15"/>
    </i>
    <i>
      <x v="16"/>
    </i>
    <i>
      <x v="17"/>
    </i>
    <i>
      <x v="18"/>
    </i>
    <i>
      <x v="19"/>
    </i>
    <i t="grand">
      <x/>
    </i>
  </rowItems>
  <colFields count="1">
    <field x="1"/>
  </colFields>
  <colItems count="4">
    <i>
      <x/>
    </i>
    <i>
      <x v="1"/>
    </i>
    <i>
      <x v="2"/>
    </i>
    <i t="grand">
      <x/>
    </i>
  </colItem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F138E4B4-CC07-4AAF-A164-4A7FBCD0738A}" name="PivotTable10"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1:N6" firstHeaderRow="1" firstDataRow="3" firstDataCol="1"/>
  <pivotFields count="99">
    <pivotField showAll="0"/>
    <pivotField axis="axisCol" multipleItemSelectionAllowed="1" showAll="0">
      <items count="10">
        <item x="2"/>
        <item x="1"/>
        <item h="1" x="3"/>
        <item h="1" x="4"/>
        <item h="1" x="5"/>
        <item h="1" x="6"/>
        <item h="1" x="7"/>
        <item x="0"/>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axis="axisCol" showAll="0">
      <items count="6">
        <item x="1"/>
        <item x="0"/>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8"/>
  </rowFields>
  <rowItems count="3">
    <i>
      <x/>
    </i>
    <i>
      <x v="1"/>
    </i>
    <i t="grand">
      <x/>
    </i>
  </rowItems>
  <colFields count="2">
    <field x="1"/>
    <field x="31"/>
  </colFields>
  <colItems count="13">
    <i>
      <x/>
      <x/>
    </i>
    <i r="1">
      <x v="1"/>
    </i>
    <i r="1">
      <x v="2"/>
    </i>
    <i t="default">
      <x/>
    </i>
    <i>
      <x v="1"/>
      <x/>
    </i>
    <i r="1">
      <x v="1"/>
    </i>
    <i r="1">
      <x v="2"/>
    </i>
    <i t="default">
      <x v="1"/>
    </i>
    <i>
      <x v="7"/>
      <x/>
    </i>
    <i r="1">
      <x v="1"/>
    </i>
    <i r="1">
      <x v="2"/>
    </i>
    <i t="default">
      <x v="7"/>
    </i>
    <i t="grand">
      <x/>
    </i>
  </colItem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43EAB587-E3DF-45CB-9E70-56D21BD74A4A}" name="PivotTable11"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5:I9" firstHeaderRow="0" firstDataRow="1" firstDataCol="1" rowPageCount="3" colPageCount="1"/>
  <pivotFields count="99">
    <pivotField showAll="0"/>
    <pivotField axis="axisPage" multipleItemSelectionAllowed="1" showAll="0">
      <items count="10">
        <item h="1" x="2"/>
        <item h="1" x="1"/>
        <item h="1" x="3"/>
        <item h="1" x="4"/>
        <item h="1" x="5"/>
        <item h="1" x="6"/>
        <item h="1" x="7"/>
        <item x="0"/>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h="1" x="4"/>
        <item h="1" x="5"/>
        <item x="0"/>
        <item x="1"/>
        <item h="1" x="2"/>
        <item h="1" x="3"/>
        <item x="7"/>
        <item h="1" x="6"/>
        <item t="default"/>
      </items>
    </pivotField>
    <pivotField axis="axisPage" multipleItemSelectionAllowed="1" showAll="0">
      <items count="17">
        <item h="1" x="2"/>
        <item h="1" x="8"/>
        <item h="1" x="10"/>
        <item h="1" x="0"/>
        <item h="1" x="9"/>
        <item h="1" x="4"/>
        <item h="1" x="6"/>
        <item h="1" x="1"/>
        <item h="1" x="11"/>
        <item h="1" x="14"/>
        <item h="1" x="13"/>
        <item h="1" x="3"/>
        <item x="5"/>
        <item x="7"/>
        <item x="12"/>
        <item x="15"/>
        <item t="default"/>
      </items>
    </pivotField>
    <pivotField showAll="0"/>
    <pivotField showAll="0"/>
    <pivotField showAll="0"/>
    <pivotField showAll="0"/>
    <pivotField axis="axisRow" showAll="0">
      <items count="6">
        <item x="1"/>
        <item x="0"/>
        <item x="2"/>
        <item x="3"/>
        <item x="4"/>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4">
    <i>
      <x/>
    </i>
    <i>
      <x v="1"/>
    </i>
    <i>
      <x v="2"/>
    </i>
    <i t="grand">
      <x/>
    </i>
  </rowItems>
  <colFields count="1">
    <field x="-2"/>
  </colFields>
  <colItems count="8">
    <i>
      <x/>
    </i>
    <i i="1">
      <x v="1"/>
    </i>
    <i i="2">
      <x v="2"/>
    </i>
    <i i="3">
      <x v="3"/>
    </i>
    <i i="4">
      <x v="4"/>
    </i>
    <i i="5">
      <x v="5"/>
    </i>
    <i i="6">
      <x v="6"/>
    </i>
    <i i="7">
      <x v="7"/>
    </i>
  </colItems>
  <pageFields count="3">
    <pageField fld="1" hier="-1"/>
    <pageField fld="25" hier="-1"/>
    <pageField fld="26" hier="-1"/>
  </pageFields>
  <dataFields count="8">
    <dataField name="Sum of Phase Net Units" fld="12" baseField="1" baseItem="0"/>
    <dataField name="Sum of Net Studio Units" fld="39" baseField="0" baseItem="0"/>
    <dataField name="Sum of Net 1 Bed Units" fld="40" baseField="0" baseItem="0"/>
    <dataField name="Sum of Net 2 Bed Units" fld="41" baseField="0" baseItem="0"/>
    <dataField name="Sum of Net 3 Bed Units" fld="42" baseField="0" baseItem="0"/>
    <dataField name="Sum of Net 4 Bed Units" fld="43" baseField="0" baseItem="0"/>
    <dataField name="Sum of Net 5+ Bed Units" fld="44" baseField="0" baseItem="0"/>
    <dataField name="Sum of Net Not Known Bed Units" fld="4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10954F6C-CB2F-432D-A02E-C91FDD5CD0F0}" name="PivotTable12"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5:I9" firstHeaderRow="0" firstDataRow="1" firstDataCol="1" rowPageCount="3" colPageCount="1"/>
  <pivotFields count="99">
    <pivotField showAll="0"/>
    <pivotField axis="axisPage" multipleItemSelectionAllowed="1" showAll="0">
      <items count="10">
        <item x="2"/>
        <item x="1"/>
        <item h="1" x="3"/>
        <item h="1" x="4"/>
        <item h="1" x="5"/>
        <item h="1" x="6"/>
        <item h="1" x="7"/>
        <item h="1" x="0"/>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h="1" x="4"/>
        <item h="1" x="5"/>
        <item x="0"/>
        <item x="1"/>
        <item h="1" x="2"/>
        <item h="1" x="3"/>
        <item x="7"/>
        <item h="1" x="6"/>
        <item t="default"/>
      </items>
    </pivotField>
    <pivotField axis="axisPage" multipleItemSelectionAllowed="1" showAll="0">
      <items count="17">
        <item h="1" x="2"/>
        <item h="1" x="8"/>
        <item h="1" x="10"/>
        <item h="1" x="0"/>
        <item h="1" x="9"/>
        <item h="1" x="4"/>
        <item h="1" x="6"/>
        <item h="1" x="1"/>
        <item h="1" x="11"/>
        <item h="1" x="14"/>
        <item h="1" x="13"/>
        <item h="1" x="3"/>
        <item x="5"/>
        <item x="7"/>
        <item x="12"/>
        <item x="15"/>
        <item t="default"/>
      </items>
    </pivotField>
    <pivotField showAll="0"/>
    <pivotField showAll="0"/>
    <pivotField showAll="0"/>
    <pivotField showAll="0"/>
    <pivotField axis="axisRow" showAll="0">
      <items count="6">
        <item x="1"/>
        <item x="0"/>
        <item x="2"/>
        <item x="3"/>
        <item x="4"/>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4">
    <i>
      <x/>
    </i>
    <i>
      <x v="1"/>
    </i>
    <i>
      <x v="2"/>
    </i>
    <i t="grand">
      <x/>
    </i>
  </rowItems>
  <colFields count="1">
    <field x="-2"/>
  </colFields>
  <colItems count="8">
    <i>
      <x/>
    </i>
    <i i="1">
      <x v="1"/>
    </i>
    <i i="2">
      <x v="2"/>
    </i>
    <i i="3">
      <x v="3"/>
    </i>
    <i i="4">
      <x v="4"/>
    </i>
    <i i="5">
      <x v="5"/>
    </i>
    <i i="6">
      <x v="6"/>
    </i>
    <i i="7">
      <x v="7"/>
    </i>
  </colItems>
  <pageFields count="3">
    <pageField fld="1" hier="-1"/>
    <pageField fld="25" hier="-1"/>
    <pageField fld="26" hier="-1"/>
  </pageFields>
  <dataFields count="8">
    <dataField name="Sum of Phase Net Units" fld="12" baseField="1" baseItem="0"/>
    <dataField name="Sum of Net Studio Units" fld="39" baseField="0" baseItem="0"/>
    <dataField name="Sum of Net 1 Bed Units" fld="40" baseField="0" baseItem="0"/>
    <dataField name="Sum of Net 2 Bed Units" fld="41" baseField="0" baseItem="0"/>
    <dataField name="Sum of Net 3 Bed Units" fld="42" baseField="0" baseItem="0"/>
    <dataField name="Sum of Net 4 Bed Units" fld="43" baseField="0" baseItem="0"/>
    <dataField name="Sum of Net 5+ Bed Units" fld="44" baseField="0" baseItem="0"/>
    <dataField name="Sum of Net Not Known Bed Units" fld="4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4C6F709-D6F7-497D-A579-CBB55BC3B930}" name="PivotTable13"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3:M8" firstHeaderRow="1" firstDataRow="2" firstDataCol="1" rowPageCount="1" colPageCount="1"/>
  <pivotFields count="99">
    <pivotField showAll="0"/>
    <pivotField axis="axisPage" multipleItemSelectionAllowed="1" showAll="0">
      <items count="10">
        <item h="1" x="2"/>
        <item h="1" x="1"/>
        <item h="1" x="3"/>
        <item h="1" x="4"/>
        <item h="1" x="5"/>
        <item h="1" x="6"/>
        <item h="1" x="7"/>
        <item x="0"/>
        <item h="1" x="8"/>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multipleItemSelectionAllowed="1" showAll="0">
      <items count="9">
        <item x="4"/>
        <item x="5"/>
        <item x="0"/>
        <item h="1" x="1"/>
        <item x="2"/>
        <item x="3"/>
        <item x="7"/>
        <item x="6"/>
        <item t="default"/>
      </items>
    </pivotField>
    <pivotField axis="axisCol" multipleItemSelectionAllowed="1" showAll="0">
      <items count="17">
        <item x="2"/>
        <item x="8"/>
        <item x="10"/>
        <item x="0"/>
        <item x="9"/>
        <item x="4"/>
        <item x="6"/>
        <item x="1"/>
        <item x="11"/>
        <item x="14"/>
        <item x="13"/>
        <item x="3"/>
        <item h="1" x="5"/>
        <item x="7"/>
        <item x="12"/>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4">
    <i>
      <x v="2"/>
    </i>
    <i>
      <x v="4"/>
    </i>
    <i>
      <x v="5"/>
    </i>
    <i t="grand">
      <x/>
    </i>
  </rowItems>
  <colFields count="1">
    <field x="26"/>
  </colFields>
  <colItems count="12">
    <i>
      <x/>
    </i>
    <i>
      <x v="1"/>
    </i>
    <i>
      <x v="2"/>
    </i>
    <i>
      <x v="3"/>
    </i>
    <i>
      <x v="4"/>
    </i>
    <i>
      <x v="5"/>
    </i>
    <i>
      <x v="6"/>
    </i>
    <i>
      <x v="7"/>
    </i>
    <i>
      <x v="8"/>
    </i>
    <i>
      <x v="11"/>
    </i>
    <i>
      <x v="13"/>
    </i>
    <i t="grand">
      <x/>
    </i>
  </colItems>
  <pageFields count="1">
    <pageField fld="1" hier="-1"/>
  </pageFields>
  <dataFields count="1">
    <dataField name="Sum of Phase Proposed Units"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AD50DB7-B106-4BC6-A2BB-02552575797C}" name="PivotTable4"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1:E4" firstHeaderRow="1" firstDataRow="2" firstDataCol="1"/>
  <pivotFields count="99">
    <pivotField showAll="0"/>
    <pivotField axis="axisRow"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1"/>
        <item x="0"/>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Fields count="1">
    <field x="31"/>
  </colFields>
  <colItems count="4">
    <i>
      <x/>
    </i>
    <i>
      <x v="1"/>
    </i>
    <i>
      <x v="2"/>
    </i>
    <i t="grand">
      <x/>
    </i>
  </colItem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B228C1C0-66AC-4254-9BA4-BD07858A5B66}" name="PivotTable14" cacheId="7552" applyNumberFormats="0" applyBorderFormats="0" applyFontFormats="0" applyPatternFormats="0" applyAlignmentFormats="0" applyWidthHeightFormats="1" dataCaption="Values" missingCaption="0" updatedVersion="6" minRefreshableVersion="3" useAutoFormatting="1" itemPrintTitles="1" createdVersion="4" indent="0" outline="1" outlineData="1" multipleFieldFilters="0">
  <location ref="A3:O10" firstHeaderRow="1" firstDataRow="2" firstDataCol="1" rowPageCount="1" colPageCount="1"/>
  <pivotFields count="99">
    <pivotField showAll="0"/>
    <pivotField axis="axisPage" multipleItemSelectionAllowed="1" showAll="0">
      <items count="10">
        <item x="2"/>
        <item x="1"/>
        <item h="1" x="3"/>
        <item h="1" x="4"/>
        <item h="1" x="5"/>
        <item h="1" x="6"/>
        <item h="1" x="7"/>
        <item h="1" x="0"/>
        <item h="1" x="8"/>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multipleItemSelectionAllowed="1" showAll="0">
      <items count="9">
        <item x="4"/>
        <item x="5"/>
        <item x="0"/>
        <item h="1" x="1"/>
        <item x="2"/>
        <item x="3"/>
        <item x="7"/>
        <item h="1" x="6"/>
        <item t="default"/>
      </items>
    </pivotField>
    <pivotField axis="axisCol" multipleItemSelectionAllowed="1" showAll="0">
      <items count="17">
        <item x="2"/>
        <item x="8"/>
        <item x="10"/>
        <item x="0"/>
        <item x="9"/>
        <item x="4"/>
        <item x="6"/>
        <item x="1"/>
        <item x="11"/>
        <item x="14"/>
        <item x="13"/>
        <item x="3"/>
        <item h="1" x="5"/>
        <item x="7"/>
        <item x="12"/>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6">
    <i>
      <x/>
    </i>
    <i>
      <x v="1"/>
    </i>
    <i>
      <x v="2"/>
    </i>
    <i>
      <x v="4"/>
    </i>
    <i>
      <x v="5"/>
    </i>
    <i t="grand">
      <x/>
    </i>
  </rowItems>
  <colFields count="1">
    <field x="26"/>
  </colFields>
  <colItems count="14">
    <i>
      <x/>
    </i>
    <i>
      <x v="1"/>
    </i>
    <i>
      <x v="2"/>
    </i>
    <i>
      <x v="3"/>
    </i>
    <i>
      <x v="4"/>
    </i>
    <i>
      <x v="5"/>
    </i>
    <i>
      <x v="6"/>
    </i>
    <i>
      <x v="7"/>
    </i>
    <i>
      <x v="8"/>
    </i>
    <i>
      <x v="9"/>
    </i>
    <i>
      <x v="10"/>
    </i>
    <i>
      <x v="11"/>
    </i>
    <i>
      <x v="13"/>
    </i>
    <i t="grand">
      <x/>
    </i>
  </colItems>
  <pageFields count="1">
    <pageField fld="1" hier="-1"/>
  </pageFields>
  <dataFields count="1">
    <dataField name="Sum of Phase Proposed Units"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9B59519-796E-48E3-9E70-F09839F27753}" name="PivotTable1"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4:C13" firstHeaderRow="0" firstDataRow="1" firstDataCol="1" rowPageCount="2"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h="1" x="4"/>
        <item h="1" x="5"/>
        <item x="0"/>
        <item x="1"/>
        <item h="1" x="2"/>
        <item h="1" x="3"/>
        <item x="7"/>
        <item h="1" x="6"/>
        <item t="default"/>
      </items>
    </pivotField>
    <pivotField axis="axisPage" multipleItemSelectionAllowed="1" showAll="0">
      <items count="17">
        <item h="1" x="2"/>
        <item h="1" x="8"/>
        <item h="1" x="10"/>
        <item h="1" x="0"/>
        <item h="1" x="9"/>
        <item h="1" x="4"/>
        <item h="1" x="6"/>
        <item h="1" x="1"/>
        <item h="1" x="11"/>
        <item h="1" x="14"/>
        <item h="1" x="13"/>
        <item h="1" x="3"/>
        <item x="5"/>
        <item x="7"/>
        <item x="12"/>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9">
    <i>
      <x/>
    </i>
    <i>
      <x v="1"/>
    </i>
    <i>
      <x v="2"/>
    </i>
    <i>
      <x v="3"/>
    </i>
    <i>
      <x v="4"/>
    </i>
    <i>
      <x v="5"/>
    </i>
    <i>
      <x v="6"/>
    </i>
    <i>
      <x v="8"/>
    </i>
    <i t="grand">
      <x/>
    </i>
  </rowItems>
  <colFields count="1">
    <field x="-2"/>
  </colFields>
  <colItems count="2">
    <i>
      <x/>
    </i>
    <i i="1">
      <x v="1"/>
    </i>
  </colItems>
  <pageFields count="2">
    <pageField fld="25" hier="-1"/>
    <pageField fld="26" hier="-1"/>
  </pageFields>
  <dataFields count="2">
    <dataField name="Sum of Phase Net Units" fld="12" baseField="1" baseItem="0"/>
    <dataField name="Sum of Phase Proposed Units"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B32012B-E3F7-417E-A2D7-ED9BD8C3848E}" name="PivotTable2"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4:C11" firstHeaderRow="0" firstDataRow="1" firstDataCol="1" rowPageCount="2"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x="4"/>
        <item x="5"/>
        <item x="0"/>
        <item h="1" x="1"/>
        <item x="2"/>
        <item x="3"/>
        <item x="7"/>
        <item x="6"/>
        <item t="default"/>
      </items>
    </pivotField>
    <pivotField axis="axisPage" multipleItemSelectionAllowed="1" showAll="0">
      <items count="17">
        <item x="2"/>
        <item x="8"/>
        <item x="10"/>
        <item x="0"/>
        <item x="9"/>
        <item x="4"/>
        <item x="6"/>
        <item x="1"/>
        <item x="11"/>
        <item x="14"/>
        <item x="13"/>
        <item x="3"/>
        <item h="1" x="5"/>
        <item x="7"/>
        <item x="12"/>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7">
    <i>
      <x/>
    </i>
    <i>
      <x v="1"/>
    </i>
    <i>
      <x v="2"/>
    </i>
    <i>
      <x v="4"/>
    </i>
    <i>
      <x v="7"/>
    </i>
    <i>
      <x v="8"/>
    </i>
    <i t="grand">
      <x/>
    </i>
  </rowItems>
  <colFields count="1">
    <field x="-2"/>
  </colFields>
  <colItems count="2">
    <i>
      <x/>
    </i>
    <i i="1">
      <x v="1"/>
    </i>
  </colItems>
  <pageFields count="2">
    <pageField fld="25" hier="-1"/>
    <pageField fld="26" hier="-1"/>
  </pageFields>
  <dataFields count="2">
    <dataField name="Sum of Phase Net Units" fld="12" baseField="1" baseItem="0"/>
    <dataField name="Sum of Phase Proposed Units"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BCAD607-C998-41AC-8CBC-7F52824ECA32}" name="PivotTable7"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1:M13" firstHeaderRow="1" firstDataRow="3" firstDataCol="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showAll="0"/>
    <pivotField showAll="0"/>
    <pivotField axis="axisCol"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0">
    <i>
      <x/>
    </i>
    <i>
      <x v="1"/>
    </i>
    <i>
      <x v="2"/>
    </i>
    <i>
      <x v="3"/>
    </i>
    <i>
      <x v="4"/>
    </i>
    <i>
      <x v="5"/>
    </i>
    <i>
      <x v="6"/>
    </i>
    <i>
      <x v="7"/>
    </i>
    <i>
      <x v="8"/>
    </i>
    <i t="grand">
      <x/>
    </i>
  </rowItems>
  <colFields count="2">
    <field x="31"/>
    <field x="-2"/>
  </colFields>
  <colItems count="12">
    <i>
      <x/>
      <x/>
    </i>
    <i r="1" i="1">
      <x v="1"/>
    </i>
    <i>
      <x v="1"/>
      <x/>
    </i>
    <i r="1" i="1">
      <x v="1"/>
    </i>
    <i>
      <x v="2"/>
      <x/>
    </i>
    <i r="1" i="1">
      <x v="1"/>
    </i>
    <i>
      <x v="3"/>
      <x/>
    </i>
    <i r="1" i="1">
      <x v="1"/>
    </i>
    <i>
      <x v="4"/>
      <x/>
    </i>
    <i r="1" i="1">
      <x v="1"/>
    </i>
    <i t="grand">
      <x/>
    </i>
    <i t="grand" i="1">
      <x/>
    </i>
  </colItems>
  <dataFields count="2">
    <dataField name="Sum of Phase Proposed Units" fld="11" baseField="0" baseItem="0"/>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71151CC-5632-47E3-9D71-6E95A9B9A616}" name="PivotTable8"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4:K15" firstHeaderRow="1" firstDataRow="3" firstDataCol="1" rowPageCount="2"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h="1" x="4"/>
        <item h="1" x="5"/>
        <item x="0"/>
        <item x="1"/>
        <item h="1" x="2"/>
        <item h="1" x="3"/>
        <item x="7"/>
        <item h="1" x="6"/>
        <item t="default"/>
      </items>
    </pivotField>
    <pivotField axis="axisPage" multipleItemSelectionAllowed="1" showAll="0">
      <items count="17">
        <item h="1" x="2"/>
        <item h="1" x="8"/>
        <item h="1" x="10"/>
        <item h="1" x="0"/>
        <item h="1" x="9"/>
        <item h="1" x="4"/>
        <item h="1" x="6"/>
        <item h="1" x="1"/>
        <item h="1" x="11"/>
        <item h="1" x="14"/>
        <item h="1" x="13"/>
        <item h="1" x="3"/>
        <item x="5"/>
        <item x="7"/>
        <item x="12"/>
        <item x="15"/>
        <item t="default"/>
      </items>
    </pivotField>
    <pivotField showAll="0"/>
    <pivotField showAll="0"/>
    <pivotField showAll="0"/>
    <pivotField showAll="0"/>
    <pivotField axis="axisCol" showAll="0">
      <items count="6">
        <item x="0"/>
        <item x="1"/>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9">
    <i>
      <x/>
    </i>
    <i>
      <x v="1"/>
    </i>
    <i>
      <x v="2"/>
    </i>
    <i>
      <x v="3"/>
    </i>
    <i>
      <x v="4"/>
    </i>
    <i>
      <x v="5"/>
    </i>
    <i>
      <x v="6"/>
    </i>
    <i>
      <x v="8"/>
    </i>
    <i t="grand">
      <x/>
    </i>
  </rowItems>
  <colFields count="2">
    <field x="31"/>
    <field x="-2"/>
  </colFields>
  <colItems count="10">
    <i>
      <x/>
      <x/>
    </i>
    <i r="1" i="1">
      <x v="1"/>
    </i>
    <i>
      <x v="1"/>
      <x/>
    </i>
    <i r="1" i="1">
      <x v="1"/>
    </i>
    <i>
      <x v="3"/>
      <x/>
    </i>
    <i r="1" i="1">
      <x v="1"/>
    </i>
    <i>
      <x v="4"/>
      <x/>
    </i>
    <i r="1" i="1">
      <x v="1"/>
    </i>
    <i t="grand">
      <x/>
    </i>
    <i t="grand" i="1">
      <x/>
    </i>
  </colItems>
  <pageFields count="2">
    <pageField fld="25" hier="-1"/>
    <pageField fld="26" hier="-1"/>
  </pageFields>
  <dataFields count="2">
    <dataField name="Sum of Phase Proposed Units" fld="11" baseField="0" baseItem="0"/>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4437BEE-450B-4DB2-B2CD-6D789CAECD40}" name="PivotTable9"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7" firstHeaderRow="1" firstDataRow="1" firstDataCol="1" rowPageCount="1"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 showAll="0"/>
    <pivotField multipleItemSelectionAllowed="1"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pageFields count="1">
    <pageField fld="20" item="1"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5E897B7-0DB7-4C80-8FE7-FB2E0D71917A}" name="PivotTable10" cacheId="755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3:B6" firstHeaderRow="1" firstDataRow="1" firstDataCol="1" rowPageCount="1" colPageCount="1"/>
  <pivotFields count="99">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multipleItemSelectionAllowed="1" showAll="0"/>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3">
    <i>
      <x/>
    </i>
    <i>
      <x v="1"/>
    </i>
    <i t="grand">
      <x/>
    </i>
  </rowItems>
  <colItems count="1">
    <i/>
  </colItems>
  <pageFields count="1">
    <pageField fld="29" item="0" hier="-1"/>
  </pageFields>
  <dataFields count="1">
    <dataField name="Sum of Phase Net Units"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andsworth Counci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4.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6.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7.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8.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9.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10.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11.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ivotTable" Target="../pivotTables/pivotTable13.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ivotTable" Target="../pivotTables/pivotTable14.xm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ivotTable" Target="../pivotTables/pivotTable15.x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ivotTable" Target="../pivotTables/pivotTable16.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ivotTable" Target="../pivotTables/pivotTable17.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ivotTable" Target="../pivotTables/pivotTable18.xm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ivotTable" Target="../pivotTables/pivotTable19.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ivotTable" Target="../pivotTables/pivotTable20.xm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ivotTable" Target="../pivotTables/pivotTable21.xm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ivotTable" Target="../pivotTables/pivotTable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ivotTable" Target="../pivotTables/pivotTable23.xm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ivotTable" Target="../pivotTables/pivotTable24.xm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ivotTable" Target="../pivotTables/pivotTable25.xm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ivotTable" Target="../pivotTables/pivotTable26.xm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ivotTable" Target="../pivotTables/pivotTable27.xm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ivotTable" Target="../pivotTables/pivotTable28.xm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ivotTable" Target="../pivotTables/pivotTable29.xm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ivotTable" Target="../pivotTables/pivotTable3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Q351"/>
  <sheetViews>
    <sheetView tabSelected="1" workbookViewId="0">
      <selection activeCell="F6" sqref="F6:F8"/>
    </sheetView>
  </sheetViews>
  <sheetFormatPr defaultColWidth="9.140625" defaultRowHeight="12.75"/>
  <sheetData>
    <row r="1" spans="1:17" ht="31.5" customHeight="1">
      <c r="A1" s="201" t="s">
        <v>0</v>
      </c>
      <c r="B1" s="201"/>
      <c r="C1" s="201"/>
      <c r="D1" s="201"/>
      <c r="E1" s="201"/>
      <c r="F1" s="201"/>
      <c r="G1" s="201"/>
      <c r="H1" s="201"/>
      <c r="I1" s="201"/>
      <c r="J1" s="201"/>
      <c r="K1" s="201"/>
      <c r="L1" s="201"/>
      <c r="M1" s="201"/>
      <c r="N1" s="201"/>
      <c r="O1" s="201"/>
      <c r="P1" s="201"/>
      <c r="Q1" s="201"/>
    </row>
    <row r="3" spans="1:17" s="53" customFormat="1" ht="18">
      <c r="A3" s="127" t="s">
        <v>1</v>
      </c>
      <c r="B3" s="128"/>
      <c r="C3" s="128"/>
      <c r="D3" s="128"/>
      <c r="E3" s="128"/>
      <c r="F3" s="128"/>
      <c r="G3" s="128"/>
      <c r="H3" s="128"/>
      <c r="I3" s="128"/>
      <c r="J3" s="128"/>
      <c r="K3" s="128"/>
      <c r="L3" s="128"/>
      <c r="M3" s="128"/>
      <c r="N3" s="128"/>
      <c r="O3" s="128"/>
      <c r="P3" s="128"/>
      <c r="Q3" s="128"/>
    </row>
    <row r="4" spans="1:17">
      <c r="A4" s="29"/>
      <c r="B4" s="29"/>
      <c r="C4" s="29"/>
      <c r="D4" s="29"/>
      <c r="E4" s="29"/>
      <c r="F4" s="29"/>
      <c r="G4" s="29"/>
      <c r="H4" s="29"/>
      <c r="I4" s="29"/>
      <c r="J4" s="29"/>
      <c r="K4" s="29"/>
      <c r="L4" s="29"/>
      <c r="M4" s="29"/>
      <c r="N4" s="29"/>
      <c r="O4" s="29"/>
      <c r="P4" s="29"/>
      <c r="Q4" s="29"/>
    </row>
    <row r="5" spans="1:17">
      <c r="A5" s="7" t="s">
        <v>2</v>
      </c>
      <c r="B5" s="7" t="s">
        <v>3</v>
      </c>
      <c r="C5" s="3"/>
      <c r="D5" s="3"/>
      <c r="E5" s="3"/>
      <c r="F5" s="3"/>
      <c r="G5" s="3"/>
      <c r="H5" s="3"/>
      <c r="I5" s="3"/>
      <c r="J5" s="3"/>
      <c r="K5" s="3"/>
      <c r="L5" s="3"/>
      <c r="M5" s="3"/>
      <c r="N5" s="3"/>
      <c r="O5" s="3"/>
      <c r="P5" s="3"/>
      <c r="Q5" s="3"/>
    </row>
    <row r="6" spans="1:17" ht="12.75" customHeight="1">
      <c r="A6" s="170" t="s">
        <v>4</v>
      </c>
      <c r="B6" s="171"/>
      <c r="C6" s="171"/>
      <c r="D6" s="172"/>
      <c r="E6" s="206" t="s">
        <v>5</v>
      </c>
      <c r="F6" s="206" t="s">
        <v>6</v>
      </c>
      <c r="G6" s="178" t="s">
        <v>7</v>
      </c>
      <c r="H6" s="183"/>
      <c r="I6" s="183"/>
      <c r="J6" s="183"/>
      <c r="K6" s="179"/>
      <c r="L6" s="206" t="s">
        <v>8</v>
      </c>
      <c r="M6" s="206" t="s">
        <v>9</v>
      </c>
      <c r="N6" s="3"/>
      <c r="O6" s="3"/>
      <c r="P6" s="3"/>
      <c r="Q6" s="3"/>
    </row>
    <row r="7" spans="1:17">
      <c r="A7" s="170"/>
      <c r="B7" s="171"/>
      <c r="C7" s="171"/>
      <c r="D7" s="172"/>
      <c r="E7" s="207"/>
      <c r="F7" s="207"/>
      <c r="G7" s="184"/>
      <c r="H7" s="185"/>
      <c r="I7" s="185"/>
      <c r="J7" s="185"/>
      <c r="K7" s="186"/>
      <c r="L7" s="207"/>
      <c r="M7" s="207"/>
      <c r="N7" s="3"/>
      <c r="O7" s="3"/>
      <c r="P7" s="3"/>
      <c r="Q7" s="3"/>
    </row>
    <row r="8" spans="1:17">
      <c r="A8" s="170"/>
      <c r="B8" s="171"/>
      <c r="C8" s="171"/>
      <c r="D8" s="172"/>
      <c r="E8" s="208"/>
      <c r="F8" s="208"/>
      <c r="G8" s="169" t="s">
        <v>10</v>
      </c>
      <c r="H8" s="169" t="s">
        <v>11</v>
      </c>
      <c r="I8" s="169" t="s">
        <v>12</v>
      </c>
      <c r="J8" s="169" t="s">
        <v>13</v>
      </c>
      <c r="K8" s="169" t="s">
        <v>14</v>
      </c>
      <c r="L8" s="208"/>
      <c r="M8" s="208"/>
      <c r="N8" s="3"/>
      <c r="O8" s="3"/>
      <c r="P8" s="3"/>
      <c r="Q8" s="3"/>
    </row>
    <row r="9" spans="1:17">
      <c r="A9" s="263" t="s">
        <v>15</v>
      </c>
      <c r="B9" s="264"/>
      <c r="C9" s="264"/>
      <c r="D9" s="265"/>
      <c r="E9" s="266">
        <v>17240</v>
      </c>
      <c r="F9" s="266">
        <f>E9/10</f>
        <v>1724</v>
      </c>
      <c r="G9" s="267">
        <v>2776</v>
      </c>
      <c r="H9" s="267">
        <v>2345</v>
      </c>
      <c r="I9" s="267">
        <v>2036</v>
      </c>
      <c r="J9" s="267">
        <v>1851</v>
      </c>
      <c r="K9" s="267">
        <f>GETPIVOTDATA("Phase Net Units",'1a Conv'!$A$1)</f>
        <v>1330</v>
      </c>
      <c r="L9" s="266">
        <f>SUM(G9:K9)</f>
        <v>10338</v>
      </c>
      <c r="M9" s="268">
        <f>L9/E9</f>
        <v>0.59965197215777266</v>
      </c>
      <c r="N9" s="3"/>
      <c r="O9" s="3"/>
      <c r="P9" s="3"/>
      <c r="Q9" s="3"/>
    </row>
    <row r="10" spans="1:17">
      <c r="A10" s="269" t="s">
        <v>16</v>
      </c>
      <c r="B10" s="270"/>
      <c r="C10" s="270"/>
      <c r="D10" s="271"/>
      <c r="E10" s="272">
        <v>880</v>
      </c>
      <c r="F10" s="272">
        <f>E10/10</f>
        <v>88</v>
      </c>
      <c r="G10" s="273">
        <v>-41</v>
      </c>
      <c r="H10" s="273">
        <v>365</v>
      </c>
      <c r="I10" s="273">
        <v>-11</v>
      </c>
      <c r="J10" s="273">
        <v>26</v>
      </c>
      <c r="K10" s="273">
        <f>GETPIVOTDATA("Net Non-Self-Contained Rooms",'1a NSC'!$A$1)</f>
        <v>29</v>
      </c>
      <c r="L10" s="272">
        <f>SUM(G10:K10)</f>
        <v>368</v>
      </c>
      <c r="M10" s="274">
        <f>L10/E10</f>
        <v>0.41818181818181815</v>
      </c>
      <c r="N10" s="3"/>
      <c r="O10" s="3"/>
      <c r="P10" s="3"/>
      <c r="Q10" s="3"/>
    </row>
    <row r="11" spans="1:17">
      <c r="A11" s="173" t="s">
        <v>17</v>
      </c>
      <c r="B11" s="174"/>
      <c r="C11" s="174"/>
      <c r="D11" s="175"/>
      <c r="E11" s="15">
        <f t="shared" ref="E11" si="0">SUM(E9:E10)</f>
        <v>18120</v>
      </c>
      <c r="F11" s="15">
        <f t="shared" ref="F11:L11" si="1">SUM(F9:F10)</f>
        <v>1812</v>
      </c>
      <c r="G11" s="25">
        <f t="shared" si="1"/>
        <v>2735</v>
      </c>
      <c r="H11" s="25">
        <f t="shared" si="1"/>
        <v>2710</v>
      </c>
      <c r="I11" s="25">
        <f t="shared" si="1"/>
        <v>2025</v>
      </c>
      <c r="J11" s="25">
        <f t="shared" si="1"/>
        <v>1877</v>
      </c>
      <c r="K11" s="25">
        <f t="shared" si="1"/>
        <v>1359</v>
      </c>
      <c r="L11" s="25">
        <f t="shared" si="1"/>
        <v>10706</v>
      </c>
      <c r="M11" s="16">
        <f>L11/E11</f>
        <v>0.59083885209713027</v>
      </c>
      <c r="N11" s="3"/>
      <c r="O11" s="3"/>
      <c r="P11" s="3"/>
      <c r="Q11" s="3"/>
    </row>
    <row r="12" spans="1:17" ht="12.75" customHeight="1">
      <c r="A12" s="7"/>
      <c r="B12" s="7"/>
      <c r="C12" s="3"/>
      <c r="D12" s="3"/>
      <c r="E12" s="3"/>
      <c r="F12" s="3"/>
      <c r="G12" s="3"/>
      <c r="H12" s="3"/>
      <c r="I12" s="3"/>
      <c r="J12" s="3"/>
      <c r="K12" s="3"/>
      <c r="L12" s="3"/>
      <c r="M12" s="3"/>
      <c r="N12" s="3"/>
      <c r="O12" s="3"/>
      <c r="P12" s="3"/>
      <c r="Q12" s="3"/>
    </row>
    <row r="13" spans="1:17">
      <c r="A13" s="7" t="s">
        <v>18</v>
      </c>
      <c r="B13" s="7" t="s">
        <v>19</v>
      </c>
      <c r="C13" s="3"/>
      <c r="D13" s="3"/>
      <c r="E13" s="3"/>
      <c r="F13" s="3"/>
      <c r="G13" s="3"/>
      <c r="H13" s="3"/>
      <c r="I13" s="3"/>
      <c r="J13" s="3"/>
      <c r="K13" s="3"/>
      <c r="L13" s="2"/>
      <c r="M13" s="2"/>
      <c r="N13" s="3"/>
      <c r="O13" s="3"/>
      <c r="P13" s="3"/>
      <c r="Q13" s="3"/>
    </row>
    <row r="14" spans="1:17" ht="12.75" customHeight="1">
      <c r="A14" s="71"/>
      <c r="B14" s="48"/>
      <c r="C14" s="48"/>
      <c r="D14" s="48"/>
      <c r="E14" s="48"/>
      <c r="F14" s="48"/>
      <c r="G14" s="48"/>
      <c r="H14" s="48"/>
      <c r="I14" s="72"/>
      <c r="J14" s="49"/>
      <c r="K14" s="50"/>
      <c r="L14" s="2"/>
      <c r="M14" s="3"/>
      <c r="N14" s="3"/>
      <c r="O14" s="3"/>
      <c r="P14" s="3"/>
      <c r="Q14" s="3"/>
    </row>
    <row r="15" spans="1:17" ht="12.75" customHeight="1">
      <c r="A15" s="73" t="s">
        <v>20</v>
      </c>
      <c r="B15" s="57" t="s">
        <v>21</v>
      </c>
      <c r="C15" s="56"/>
      <c r="D15" s="56"/>
      <c r="E15" s="56"/>
      <c r="F15" s="56"/>
      <c r="G15" s="56"/>
      <c r="H15" s="56"/>
      <c r="I15" s="18">
        <f>E11</f>
        <v>18120</v>
      </c>
      <c r="J15" s="46"/>
      <c r="L15" s="3"/>
      <c r="M15" s="3"/>
      <c r="N15" s="3"/>
      <c r="O15" s="3"/>
      <c r="P15" s="3"/>
      <c r="Q15" s="3"/>
    </row>
    <row r="16" spans="1:17" ht="12.75" customHeight="1">
      <c r="A16" s="73" t="s">
        <v>22</v>
      </c>
      <c r="B16" s="57" t="s">
        <v>23</v>
      </c>
      <c r="C16" s="56"/>
      <c r="D16" s="56"/>
      <c r="E16" s="56"/>
      <c r="F16" s="56"/>
      <c r="G16" s="56"/>
      <c r="H16" s="56"/>
      <c r="I16" s="18">
        <f>L11</f>
        <v>10706</v>
      </c>
      <c r="J16" s="46"/>
      <c r="L16" s="3"/>
      <c r="M16" s="3"/>
      <c r="N16" s="3"/>
      <c r="O16" s="3"/>
      <c r="P16" s="3"/>
      <c r="Q16" s="3"/>
    </row>
    <row r="17" spans="1:17" ht="12.75" customHeight="1">
      <c r="A17" s="73" t="s">
        <v>24</v>
      </c>
      <c r="B17" s="57" t="s">
        <v>25</v>
      </c>
      <c r="C17" s="56"/>
      <c r="D17" s="56"/>
      <c r="E17" s="56"/>
      <c r="F17" s="56"/>
      <c r="G17" s="56"/>
      <c r="H17" s="45" t="s">
        <v>26</v>
      </c>
      <c r="I17" s="18">
        <f>I15-I16</f>
        <v>7414</v>
      </c>
      <c r="J17" s="47"/>
      <c r="L17" s="3"/>
      <c r="M17" s="3"/>
      <c r="N17" s="3"/>
      <c r="O17" s="3"/>
      <c r="P17" s="3"/>
      <c r="Q17" s="3"/>
    </row>
    <row r="18" spans="1:17" ht="12.75" customHeight="1">
      <c r="A18" s="73" t="s">
        <v>27</v>
      </c>
      <c r="B18" s="57" t="s">
        <v>28</v>
      </c>
      <c r="C18" s="56"/>
      <c r="D18" s="56"/>
      <c r="E18" s="56"/>
      <c r="F18" s="56"/>
      <c r="G18" s="56"/>
      <c r="H18" s="45" t="s">
        <v>29</v>
      </c>
      <c r="I18" s="18">
        <f>I17/5</f>
        <v>1482.8</v>
      </c>
      <c r="J18" s="47"/>
      <c r="L18" s="3"/>
      <c r="M18" s="3"/>
      <c r="N18" s="3"/>
      <c r="O18" s="3"/>
      <c r="P18" s="3"/>
      <c r="Q18" s="3"/>
    </row>
    <row r="19" spans="1:17" ht="12.75" customHeight="1">
      <c r="A19" s="73" t="s">
        <v>30</v>
      </c>
      <c r="B19" s="57" t="s">
        <v>31</v>
      </c>
      <c r="C19" s="56"/>
      <c r="D19" s="56"/>
      <c r="E19" s="56"/>
      <c r="F19" s="56"/>
      <c r="G19" s="56"/>
      <c r="H19" s="45" t="s">
        <v>32</v>
      </c>
      <c r="I19" s="18">
        <f>I18*5</f>
        <v>7414</v>
      </c>
      <c r="J19" s="47"/>
      <c r="L19" s="3"/>
      <c r="M19" s="3"/>
      <c r="N19" s="3"/>
      <c r="O19" s="3"/>
      <c r="P19" s="3"/>
      <c r="Q19" s="3"/>
    </row>
    <row r="20" spans="1:17" ht="12.75" customHeight="1">
      <c r="A20" s="73" t="s">
        <v>33</v>
      </c>
      <c r="B20" s="57" t="s">
        <v>34</v>
      </c>
      <c r="C20" s="56"/>
      <c r="D20" s="56"/>
      <c r="E20" s="56"/>
      <c r="F20" s="56"/>
      <c r="G20" s="56"/>
      <c r="H20" s="45" t="s">
        <v>35</v>
      </c>
      <c r="I20" s="18">
        <f>I19*0.05</f>
        <v>370.70000000000005</v>
      </c>
      <c r="J20" s="47"/>
      <c r="L20" s="3"/>
      <c r="M20" s="3"/>
      <c r="N20" s="3"/>
      <c r="O20" s="3"/>
      <c r="P20" s="3"/>
      <c r="Q20" s="3"/>
    </row>
    <row r="21" spans="1:17" ht="12.75" customHeight="1">
      <c r="A21" s="73" t="s">
        <v>36</v>
      </c>
      <c r="B21" s="57" t="s">
        <v>37</v>
      </c>
      <c r="C21" s="56"/>
      <c r="D21" s="56"/>
      <c r="E21" s="56"/>
      <c r="F21" s="56"/>
      <c r="G21" s="56"/>
      <c r="H21" s="45" t="s">
        <v>38</v>
      </c>
      <c r="I21" s="18">
        <f>I19+I20</f>
        <v>7784.7</v>
      </c>
      <c r="J21" s="47"/>
      <c r="L21" s="3"/>
      <c r="M21" s="3"/>
      <c r="N21" s="3"/>
      <c r="O21" s="3"/>
      <c r="P21" s="3"/>
      <c r="Q21" s="3"/>
    </row>
    <row r="22" spans="1:17" ht="12.75" customHeight="1">
      <c r="A22" s="73" t="s">
        <v>39</v>
      </c>
      <c r="B22" s="57" t="s">
        <v>40</v>
      </c>
      <c r="C22" s="56"/>
      <c r="D22" s="56"/>
      <c r="E22" s="56"/>
      <c r="F22" s="56"/>
      <c r="G22" s="56"/>
      <c r="H22" s="45"/>
      <c r="I22" s="18">
        <f>SUM('Housing Trajectory'!H7:L7)</f>
        <v>14938.978969505832</v>
      </c>
      <c r="J22" s="47"/>
      <c r="L22" s="3"/>
      <c r="M22" s="3"/>
      <c r="N22" s="3"/>
      <c r="O22" s="3"/>
      <c r="P22" s="3"/>
      <c r="Q22" s="3"/>
    </row>
    <row r="23" spans="1:17" ht="12.75" customHeight="1">
      <c r="A23" s="73" t="s">
        <v>41</v>
      </c>
      <c r="B23" s="275" t="s">
        <v>42</v>
      </c>
      <c r="C23" s="276"/>
      <c r="D23" s="276"/>
      <c r="E23" s="276"/>
      <c r="F23" s="276"/>
      <c r="G23" s="276"/>
      <c r="H23" s="45" t="s">
        <v>43</v>
      </c>
      <c r="I23" s="277">
        <f>I22/I19</f>
        <v>2.0149688386169182</v>
      </c>
      <c r="J23" s="47"/>
      <c r="L23" s="3"/>
      <c r="M23" s="3"/>
      <c r="N23" s="3"/>
      <c r="O23" s="3"/>
      <c r="P23" s="3"/>
      <c r="Q23" s="3"/>
    </row>
    <row r="24" spans="1:17" ht="12.75" customHeight="1">
      <c r="A24" s="73" t="s">
        <v>44</v>
      </c>
      <c r="B24" s="57" t="s">
        <v>45</v>
      </c>
      <c r="C24" s="56"/>
      <c r="D24" s="56"/>
      <c r="E24" s="56"/>
      <c r="F24" s="56"/>
      <c r="G24" s="56"/>
      <c r="H24" s="45" t="s">
        <v>46</v>
      </c>
      <c r="I24" s="18">
        <f>I22/I18</f>
        <v>10.074844193084591</v>
      </c>
      <c r="J24" s="47"/>
      <c r="L24" s="3"/>
      <c r="M24" s="3"/>
      <c r="N24" s="3"/>
      <c r="O24" s="3"/>
      <c r="P24" s="3"/>
      <c r="Q24" s="3"/>
    </row>
    <row r="25" spans="1:17" ht="12.75" customHeight="1">
      <c r="A25" s="27"/>
      <c r="B25" s="82"/>
      <c r="C25" s="82"/>
      <c r="D25" s="82"/>
      <c r="E25" s="82"/>
      <c r="F25" s="82"/>
      <c r="G25" s="82"/>
      <c r="H25" s="27"/>
      <c r="I25" s="278"/>
      <c r="J25" s="47"/>
      <c r="L25" s="3"/>
      <c r="M25" s="3"/>
      <c r="N25" s="3"/>
      <c r="O25" s="3"/>
      <c r="P25" s="3"/>
      <c r="Q25" s="3"/>
    </row>
    <row r="26" spans="1:17" ht="12.75" customHeight="1">
      <c r="A26" s="279" t="s">
        <v>47</v>
      </c>
      <c r="B26" s="280"/>
      <c r="C26" s="280"/>
      <c r="D26" s="280"/>
      <c r="E26" s="280"/>
      <c r="F26" s="280"/>
      <c r="G26" s="280"/>
      <c r="H26" s="280"/>
      <c r="I26" s="281"/>
      <c r="J26" s="29"/>
      <c r="K26" s="29"/>
      <c r="L26" s="29"/>
      <c r="M26" s="29"/>
      <c r="N26" s="29"/>
      <c r="O26" s="29"/>
      <c r="P26" s="29"/>
      <c r="Q26" s="29"/>
    </row>
    <row r="27" spans="1:17" ht="12.75" customHeight="1">
      <c r="A27" s="27"/>
      <c r="B27" s="26"/>
      <c r="C27" s="26"/>
      <c r="D27" s="26"/>
      <c r="E27" s="26"/>
      <c r="F27" s="26"/>
      <c r="G27" s="26"/>
      <c r="H27" s="26"/>
      <c r="I27" s="27"/>
      <c r="J27" s="27"/>
      <c r="K27" s="28"/>
      <c r="L27" s="29"/>
      <c r="M27" s="3"/>
      <c r="N27" s="3"/>
      <c r="O27" s="3"/>
      <c r="P27" s="3"/>
      <c r="Q27" s="3"/>
    </row>
    <row r="28" spans="1:17" ht="12.75" customHeight="1">
      <c r="A28" s="58" t="s">
        <v>48</v>
      </c>
      <c r="B28" s="30" t="s">
        <v>49</v>
      </c>
      <c r="C28" s="26"/>
      <c r="D28" s="26"/>
      <c r="E28" s="26"/>
      <c r="F28" s="26"/>
      <c r="G28" s="26"/>
      <c r="H28" s="26"/>
      <c r="I28" s="27"/>
      <c r="J28" s="27"/>
      <c r="K28" s="28"/>
      <c r="L28" s="29"/>
      <c r="M28" s="3"/>
      <c r="N28" s="3"/>
      <c r="O28" s="3"/>
      <c r="P28" s="3"/>
      <c r="Q28" s="3"/>
    </row>
    <row r="29" spans="1:17" ht="12.75" customHeight="1">
      <c r="A29" s="190" t="s">
        <v>50</v>
      </c>
      <c r="B29" s="190"/>
      <c r="C29" s="190" t="s">
        <v>51</v>
      </c>
      <c r="D29" s="190" t="s">
        <v>6</v>
      </c>
      <c r="E29" s="178" t="s">
        <v>52</v>
      </c>
      <c r="F29" s="183"/>
      <c r="G29" s="183"/>
      <c r="H29" s="183"/>
      <c r="I29" s="179"/>
      <c r="J29" s="206" t="s">
        <v>17</v>
      </c>
      <c r="K29" s="206" t="s">
        <v>53</v>
      </c>
      <c r="L29" s="29"/>
      <c r="M29" s="3"/>
      <c r="N29" s="3"/>
      <c r="O29" s="3"/>
      <c r="P29" s="3"/>
      <c r="Q29" s="3"/>
    </row>
    <row r="30" spans="1:17" ht="12.75" customHeight="1">
      <c r="A30" s="190"/>
      <c r="B30" s="190"/>
      <c r="C30" s="190"/>
      <c r="D30" s="190"/>
      <c r="E30" s="184"/>
      <c r="F30" s="185"/>
      <c r="G30" s="185"/>
      <c r="H30" s="185"/>
      <c r="I30" s="186"/>
      <c r="J30" s="207"/>
      <c r="K30" s="207"/>
      <c r="L30" s="29"/>
      <c r="M30" s="3"/>
      <c r="N30" s="3"/>
      <c r="O30" s="3"/>
      <c r="P30" s="3"/>
      <c r="Q30" s="3"/>
    </row>
    <row r="31" spans="1:17">
      <c r="A31" s="190"/>
      <c r="B31" s="190"/>
      <c r="C31" s="190"/>
      <c r="D31" s="190"/>
      <c r="E31" s="168" t="s">
        <v>10</v>
      </c>
      <c r="F31" s="168" t="s">
        <v>11</v>
      </c>
      <c r="G31" s="168" t="s">
        <v>12</v>
      </c>
      <c r="H31" s="168" t="s">
        <v>13</v>
      </c>
      <c r="I31" s="168" t="s">
        <v>14</v>
      </c>
      <c r="J31" s="208"/>
      <c r="K31" s="208"/>
      <c r="L31" s="29"/>
      <c r="M31" s="3"/>
      <c r="N31" s="3"/>
      <c r="O31" s="3"/>
      <c r="P31" s="3"/>
      <c r="Q31" s="3"/>
    </row>
    <row r="32" spans="1:17">
      <c r="A32" s="219" t="s">
        <v>54</v>
      </c>
      <c r="B32" s="220"/>
      <c r="C32" s="32">
        <v>918</v>
      </c>
      <c r="D32" s="32">
        <f>C32/5</f>
        <v>183.6</v>
      </c>
      <c r="E32" s="33">
        <v>325</v>
      </c>
      <c r="F32" s="33">
        <v>298</v>
      </c>
      <c r="G32" s="33">
        <v>142</v>
      </c>
      <c r="H32" s="33">
        <v>173</v>
      </c>
      <c r="I32" s="33">
        <f>GETPIVOTDATA("Phase Net Units",'1c'!$A$1,"Tenure","Intermediate")</f>
        <v>196</v>
      </c>
      <c r="J32" s="33">
        <f>SUM(E32:I32)</f>
        <v>1134</v>
      </c>
      <c r="K32" s="34">
        <f>J32/C32</f>
        <v>1.2352941176470589</v>
      </c>
      <c r="L32" s="29"/>
      <c r="M32" s="3"/>
      <c r="N32" s="3"/>
      <c r="O32" s="3"/>
      <c r="P32" s="3"/>
      <c r="Q32" s="3"/>
    </row>
    <row r="33" spans="1:17" ht="12.75" customHeight="1">
      <c r="A33" s="74" t="s">
        <v>55</v>
      </c>
      <c r="B33" s="31"/>
      <c r="C33" s="32">
        <v>522</v>
      </c>
      <c r="D33" s="32">
        <f>C33/5</f>
        <v>104.4</v>
      </c>
      <c r="E33" s="33">
        <v>239</v>
      </c>
      <c r="F33" s="33">
        <v>79</v>
      </c>
      <c r="G33" s="33">
        <v>60</v>
      </c>
      <c r="H33" s="33">
        <v>133</v>
      </c>
      <c r="I33" s="33">
        <f>GETPIVOTDATA("Phase Net Units",'1c'!$A$1,"Tenure","Social/Affordable Rent")</f>
        <v>187</v>
      </c>
      <c r="J33" s="33">
        <f>SUM(E33:I33)</f>
        <v>698</v>
      </c>
      <c r="K33" s="34">
        <f>J33/C33</f>
        <v>1.3371647509578544</v>
      </c>
      <c r="L33" s="29"/>
      <c r="M33" s="3"/>
      <c r="N33" s="3"/>
      <c r="O33" s="3"/>
      <c r="P33" s="3"/>
      <c r="Q33" s="3"/>
    </row>
    <row r="34" spans="1:17" ht="12.75" customHeight="1">
      <c r="A34" s="221" t="s">
        <v>17</v>
      </c>
      <c r="B34" s="222"/>
      <c r="C34" s="35">
        <v>1470</v>
      </c>
      <c r="D34" s="35">
        <f>C34/5</f>
        <v>294</v>
      </c>
      <c r="E34" s="36">
        <f>SUM(E32:E33)</f>
        <v>564</v>
      </c>
      <c r="F34" s="36">
        <f>SUM(F32:F33)</f>
        <v>377</v>
      </c>
      <c r="G34" s="36">
        <f>SUM(G32:G33)</f>
        <v>202</v>
      </c>
      <c r="H34" s="36">
        <f>SUM(H32:H33)</f>
        <v>306</v>
      </c>
      <c r="I34" s="36">
        <f>SUM(I32:I33)</f>
        <v>383</v>
      </c>
      <c r="J34" s="36">
        <f>SUM(E34:I34)</f>
        <v>1832</v>
      </c>
      <c r="K34" s="37">
        <f>J34/C34</f>
        <v>1.2462585034013605</v>
      </c>
      <c r="L34" s="29"/>
      <c r="M34" s="3"/>
      <c r="N34" s="3"/>
      <c r="O34" s="3"/>
      <c r="P34" s="3"/>
      <c r="Q34" s="3"/>
    </row>
    <row r="35" spans="1:17" ht="12.75" customHeight="1">
      <c r="A35" s="79"/>
      <c r="B35" s="79"/>
      <c r="C35" s="39"/>
      <c r="D35" s="80"/>
      <c r="E35" s="80"/>
      <c r="F35" s="80"/>
      <c r="G35" s="80"/>
      <c r="H35" s="81"/>
      <c r="I35" s="27"/>
      <c r="J35" s="27"/>
      <c r="K35" s="28"/>
      <c r="L35" s="29"/>
      <c r="M35" s="3"/>
      <c r="N35" s="3"/>
      <c r="O35" s="3"/>
      <c r="P35" s="3"/>
      <c r="Q35" s="3"/>
    </row>
    <row r="36" spans="1:17">
      <c r="A36" s="7" t="s">
        <v>56</v>
      </c>
      <c r="B36" s="7" t="s">
        <v>57</v>
      </c>
      <c r="C36" s="3"/>
      <c r="D36" s="3"/>
      <c r="E36" s="3"/>
      <c r="F36" s="3"/>
      <c r="G36" s="3"/>
      <c r="H36" s="3"/>
      <c r="I36" s="3"/>
      <c r="J36" s="3"/>
      <c r="K36" s="3"/>
      <c r="L36" s="3"/>
      <c r="M36" s="3"/>
      <c r="N36" s="3"/>
      <c r="O36" s="3"/>
      <c r="P36" s="3"/>
      <c r="Q36" s="3"/>
    </row>
    <row r="37" spans="1:17" ht="12.75" customHeight="1">
      <c r="A37" s="178" t="s">
        <v>58</v>
      </c>
      <c r="B37" s="183"/>
      <c r="C37" s="179"/>
      <c r="D37" s="223" t="s">
        <v>59</v>
      </c>
      <c r="E37" s="224"/>
      <c r="F37" s="223" t="s">
        <v>60</v>
      </c>
      <c r="G37" s="224"/>
      <c r="H37" s="223" t="s">
        <v>17</v>
      </c>
      <c r="I37" s="224"/>
      <c r="J37" s="3"/>
      <c r="K37" s="3"/>
      <c r="L37" s="3"/>
      <c r="M37" s="3"/>
      <c r="N37" s="3"/>
      <c r="O37" s="3"/>
      <c r="P37" s="3"/>
      <c r="Q37" s="3"/>
    </row>
    <row r="38" spans="1:17">
      <c r="A38" s="184"/>
      <c r="B38" s="185"/>
      <c r="C38" s="186"/>
      <c r="D38" s="54" t="s">
        <v>61</v>
      </c>
      <c r="E38" s="54" t="s">
        <v>62</v>
      </c>
      <c r="F38" s="54" t="s">
        <v>61</v>
      </c>
      <c r="G38" s="54" t="s">
        <v>62</v>
      </c>
      <c r="H38" s="54" t="s">
        <v>61</v>
      </c>
      <c r="I38" s="54" t="s">
        <v>62</v>
      </c>
      <c r="J38" s="3"/>
      <c r="K38" s="3"/>
      <c r="L38" s="3"/>
      <c r="M38" s="3"/>
      <c r="N38" s="3"/>
      <c r="O38" s="3"/>
      <c r="P38" s="3"/>
      <c r="Q38" s="3"/>
    </row>
    <row r="39" spans="1:17" ht="12.75" customHeight="1">
      <c r="A39" s="180" t="s">
        <v>63</v>
      </c>
      <c r="B39" s="181"/>
      <c r="C39" s="182"/>
      <c r="D39" s="24">
        <f>GETPIVOTDATA("Sum of Phase Proposed Units",'2 NB'!$A$4,"Status","01 Completion")</f>
        <v>1096</v>
      </c>
      <c r="E39" s="24">
        <f>GETPIVOTDATA("Sum of Phase Net Units",'2 NB'!$A$4,"Status","01 Completion")</f>
        <v>1071</v>
      </c>
      <c r="F39" s="24">
        <f>GETPIVOTDATA("Sum of Phase Proposed Units",'2 CON'!$A$4,"Status","01 Completion")</f>
        <v>325</v>
      </c>
      <c r="G39" s="24">
        <f>GETPIVOTDATA("Sum of Phase Net Units",'2 CON'!$A$4,"Status","01 Completion")</f>
        <v>259</v>
      </c>
      <c r="H39" s="24">
        <f t="shared" ref="H39:I46" si="2">D39+F39</f>
        <v>1421</v>
      </c>
      <c r="I39" s="24">
        <f t="shared" si="2"/>
        <v>1330</v>
      </c>
      <c r="J39" s="3"/>
      <c r="K39" s="3"/>
      <c r="L39" s="3"/>
      <c r="M39" s="3"/>
      <c r="N39" s="3"/>
      <c r="O39" s="3"/>
      <c r="P39" s="3"/>
      <c r="Q39" s="3"/>
    </row>
    <row r="40" spans="1:17" ht="12.75" customHeight="1">
      <c r="A40" s="187" t="s">
        <v>64</v>
      </c>
      <c r="B40" s="228"/>
      <c r="C40" s="229"/>
      <c r="D40" s="18">
        <f>GETPIVOTDATA("Sum of Phase Proposed Units",'2 NB'!$A$4,"Status","02 Under Construction")</f>
        <v>7618</v>
      </c>
      <c r="E40" s="18">
        <f>GETPIVOTDATA("Sum of Phase Net Units",'2 NB'!$A$4,"Status","02 Under Construction")</f>
        <v>7421</v>
      </c>
      <c r="F40" s="18">
        <f>GETPIVOTDATA("Sum of Phase Proposed Units",'2 CON'!$A$4,"Status","02 Under Construction")</f>
        <v>599</v>
      </c>
      <c r="G40" s="18">
        <f>GETPIVOTDATA("Sum of Phase Net Units",'2 CON'!$A$4,"Status","02 Under Construction")</f>
        <v>508</v>
      </c>
      <c r="H40" s="18">
        <f t="shared" si="2"/>
        <v>8217</v>
      </c>
      <c r="I40" s="18">
        <f t="shared" si="2"/>
        <v>7929</v>
      </c>
      <c r="J40" s="3"/>
      <c r="K40" s="3"/>
      <c r="L40" s="3"/>
      <c r="M40" s="3"/>
      <c r="N40" s="3"/>
      <c r="O40" s="3"/>
      <c r="P40" s="3"/>
      <c r="Q40" s="3"/>
    </row>
    <row r="41" spans="1:17" ht="12.75" customHeight="1">
      <c r="A41" s="187" t="s">
        <v>65</v>
      </c>
      <c r="B41" s="228"/>
      <c r="C41" s="229"/>
      <c r="D41" s="18">
        <f>GETPIVOTDATA("Sum of Phase Proposed Units",'2 NB'!$A$4,"Status","03 Planning")</f>
        <v>7532</v>
      </c>
      <c r="E41" s="18">
        <f>GETPIVOTDATA("Sum of Phase Net Units",'2 NB'!$A$4,"Status","03 Planning")</f>
        <v>7343</v>
      </c>
      <c r="F41" s="18">
        <f>GETPIVOTDATA("Sum of Phase Proposed Units",'2 CON'!$A$4,"Status","03 Planning")</f>
        <v>945</v>
      </c>
      <c r="G41" s="18">
        <f>GETPIVOTDATA("Sum of Phase Net Units",'2 CON'!$A$4,"Status","03 Planning")</f>
        <v>726</v>
      </c>
      <c r="H41" s="18">
        <f t="shared" si="2"/>
        <v>8477</v>
      </c>
      <c r="I41" s="18">
        <f t="shared" si="2"/>
        <v>8069</v>
      </c>
      <c r="J41" s="3"/>
      <c r="K41" s="3"/>
      <c r="L41" s="3"/>
      <c r="M41" s="3"/>
      <c r="N41" s="3"/>
      <c r="O41" s="3"/>
      <c r="P41" s="3"/>
      <c r="Q41" s="3"/>
    </row>
    <row r="42" spans="1:17" ht="12.75" customHeight="1">
      <c r="A42" s="187" t="s">
        <v>66</v>
      </c>
      <c r="B42" s="228"/>
      <c r="C42" s="229"/>
      <c r="D42" s="18">
        <f>GETPIVOTDATA("Sum of Phase Proposed Units",'2 NB'!$A$4,"Status","04 Subject to Legal Agreement")+GETPIVOTDATA("Sum of Phase Proposed Units",'2 NB'!$A$4,"Status","05 Pending or at Appeal")</f>
        <v>4062</v>
      </c>
      <c r="E42" s="18">
        <f>GETPIVOTDATA("Sum of Phase Net Units",'2 NB'!$A$4,"Status","04 Subject to Legal Agreement")+GETPIVOTDATA("Sum of Phase Net Units",'2 NB'!$A$4,"Status","05 Pending or at Appeal")</f>
        <v>3003</v>
      </c>
      <c r="F42" s="18">
        <f>GETPIVOTDATA("Sum of Phase Proposed Units",'2 CON'!$A$4,"Status","05 Pending or at Appeal")</f>
        <v>128</v>
      </c>
      <c r="G42" s="18">
        <f>GETPIVOTDATA("Sum of Phase Net Units",'2 CON'!$A$4,"Status","05 Pending or at Appeal")</f>
        <v>107</v>
      </c>
      <c r="H42" s="18">
        <f t="shared" si="2"/>
        <v>4190</v>
      </c>
      <c r="I42" s="18">
        <f t="shared" si="2"/>
        <v>3110</v>
      </c>
      <c r="J42" s="3"/>
      <c r="K42" s="3"/>
      <c r="L42" s="3"/>
      <c r="M42" s="3"/>
      <c r="N42" s="3"/>
      <c r="O42" s="3"/>
      <c r="P42" s="3"/>
      <c r="Q42" s="3"/>
    </row>
    <row r="43" spans="1:17" ht="12.75" customHeight="1">
      <c r="A43" s="187" t="s">
        <v>67</v>
      </c>
      <c r="B43" s="228"/>
      <c r="C43" s="229"/>
      <c r="D43" s="18">
        <f>GETPIVOTDATA("Sum of Phase Proposed Units",'2 NB'!$A$4,"Status","06 Identified Site")</f>
        <v>4056</v>
      </c>
      <c r="E43" s="18">
        <f>GETPIVOTDATA("Sum of Phase Net Units",'2 NB'!$A$4,"Status","06 Identified Site")</f>
        <v>4056</v>
      </c>
      <c r="F43" s="18">
        <f>IFERROR(GETPIVOTDATA("Sum of Phase Proposed Units",'2 CON'!$A$4,"Status","06 Identified Site"),0)</f>
        <v>0</v>
      </c>
      <c r="G43" s="18">
        <f>IFERROR(GETPIVOTDATA("Sum of Phase Net Units",'2 CON'!$A$4,"Status","06 Identified Site"),0)</f>
        <v>0</v>
      </c>
      <c r="H43" s="18">
        <f t="shared" si="2"/>
        <v>4056</v>
      </c>
      <c r="I43" s="18">
        <f t="shared" si="2"/>
        <v>4056</v>
      </c>
      <c r="J43" s="11"/>
      <c r="K43" s="3"/>
      <c r="L43" s="3"/>
      <c r="M43" s="3"/>
      <c r="N43" s="3"/>
      <c r="O43" s="3"/>
      <c r="P43" s="3"/>
      <c r="Q43" s="3"/>
    </row>
    <row r="44" spans="1:17" ht="12.75" customHeight="1">
      <c r="A44" s="187" t="s">
        <v>68</v>
      </c>
      <c r="B44" s="228"/>
      <c r="C44" s="229"/>
      <c r="D44" s="18">
        <f>GETPIVOTDATA("Sum of Phase Proposed Units",'2 NB'!$A$4,"Status","07 SHLAA Potential Sites")</f>
        <v>657</v>
      </c>
      <c r="E44" s="18">
        <f>GETPIVOTDATA("Sum of Phase Net Units",'2 NB'!$A$4,"Status","07 SHLAA Potential Sites")</f>
        <v>657</v>
      </c>
      <c r="F44" s="18">
        <v>0</v>
      </c>
      <c r="G44" s="18">
        <v>0</v>
      </c>
      <c r="H44" s="18">
        <f t="shared" si="2"/>
        <v>657</v>
      </c>
      <c r="I44" s="18">
        <f t="shared" si="2"/>
        <v>657</v>
      </c>
      <c r="J44" s="11"/>
      <c r="K44" s="3"/>
      <c r="L44" s="3"/>
      <c r="M44" s="3"/>
      <c r="N44" s="3"/>
      <c r="O44" s="3"/>
      <c r="P44" s="3"/>
      <c r="Q44" s="3"/>
    </row>
    <row r="45" spans="1:17" ht="12.75" customHeight="1">
      <c r="A45" s="187" t="s">
        <v>69</v>
      </c>
      <c r="B45" s="228"/>
      <c r="C45" s="229"/>
      <c r="D45" s="18">
        <v>0</v>
      </c>
      <c r="E45" s="18">
        <v>0</v>
      </c>
      <c r="F45" s="18">
        <f>GETPIVOTDATA("Sum of Phase Proposed Units",'2 CON'!$A$4,"Status","08 SHLAA Small Sites")</f>
        <v>7452</v>
      </c>
      <c r="G45" s="18">
        <f>GETPIVOTDATA("Sum of Phase Net Units",'2 CON'!$A$4,"Status","08 SHLAA Small Sites")</f>
        <v>7452</v>
      </c>
      <c r="H45" s="18">
        <f t="shared" si="2"/>
        <v>7452</v>
      </c>
      <c r="I45" s="18">
        <f t="shared" si="2"/>
        <v>7452</v>
      </c>
      <c r="J45" s="11"/>
      <c r="K45" s="3"/>
      <c r="L45" s="3"/>
      <c r="M45" s="3"/>
      <c r="N45" s="3"/>
      <c r="O45" s="3"/>
      <c r="P45" s="3"/>
      <c r="Q45" s="3"/>
    </row>
    <row r="46" spans="1:17" ht="12.75" customHeight="1">
      <c r="A46" s="230" t="s">
        <v>70</v>
      </c>
      <c r="B46" s="231"/>
      <c r="C46" s="232"/>
      <c r="D46" s="35">
        <f>SUM(D40:D45)</f>
        <v>23925</v>
      </c>
      <c r="E46" s="35">
        <f>SUM(E40:E45)</f>
        <v>22480</v>
      </c>
      <c r="F46" s="35">
        <f>SUM(F40:F45)</f>
        <v>9124</v>
      </c>
      <c r="G46" s="35">
        <f>SUM(G40:G45)</f>
        <v>8793</v>
      </c>
      <c r="H46" s="35">
        <f t="shared" si="2"/>
        <v>33049</v>
      </c>
      <c r="I46" s="35">
        <f t="shared" si="2"/>
        <v>31273</v>
      </c>
      <c r="J46" s="3"/>
      <c r="K46" s="3"/>
      <c r="L46" s="3"/>
      <c r="M46" s="3"/>
      <c r="N46" s="3"/>
      <c r="O46" s="3"/>
      <c r="P46" s="3"/>
      <c r="Q46" s="3"/>
    </row>
    <row r="47" spans="1:17">
      <c r="A47" s="61" t="s">
        <v>71</v>
      </c>
      <c r="B47" s="4"/>
      <c r="C47" s="4"/>
      <c r="D47" s="5"/>
      <c r="E47" s="5"/>
      <c r="F47" s="5"/>
      <c r="G47" s="5"/>
      <c r="H47" s="5"/>
      <c r="I47" s="5"/>
      <c r="J47" s="3"/>
      <c r="K47" s="3"/>
      <c r="L47" s="3"/>
      <c r="M47" s="3"/>
      <c r="N47" s="3"/>
      <c r="O47" s="3"/>
      <c r="P47" s="3"/>
      <c r="Q47" s="3"/>
    </row>
    <row r="48" spans="1:17">
      <c r="A48" s="60"/>
      <c r="B48" s="4"/>
      <c r="C48" s="4"/>
      <c r="D48" s="5"/>
      <c r="E48" s="5"/>
      <c r="F48" s="5"/>
      <c r="G48" s="5"/>
      <c r="H48" s="5"/>
      <c r="I48" s="5"/>
      <c r="J48" s="3"/>
      <c r="K48" s="3"/>
      <c r="L48" s="3"/>
      <c r="M48" s="3"/>
      <c r="N48" s="3"/>
      <c r="O48" s="3"/>
      <c r="P48" s="3"/>
      <c r="Q48" s="3"/>
    </row>
    <row r="49" spans="1:17">
      <c r="A49" s="7" t="s">
        <v>72</v>
      </c>
      <c r="B49" s="7" t="s">
        <v>73</v>
      </c>
      <c r="C49" s="3"/>
      <c r="D49" s="3"/>
      <c r="E49" s="3"/>
      <c r="F49" s="3"/>
      <c r="G49" s="3"/>
      <c r="H49" s="3"/>
      <c r="I49" s="3"/>
      <c r="J49" s="3"/>
      <c r="K49" s="3"/>
      <c r="L49" s="3"/>
      <c r="M49" s="3"/>
      <c r="N49" s="3"/>
      <c r="O49" s="3"/>
      <c r="P49" s="3"/>
      <c r="Q49" s="3"/>
    </row>
    <row r="50" spans="1:17" ht="12.75" customHeight="1">
      <c r="A50" s="189" t="s">
        <v>74</v>
      </c>
      <c r="B50" s="189"/>
      <c r="C50" s="189"/>
      <c r="D50" s="176" t="s">
        <v>75</v>
      </c>
      <c r="E50" s="177"/>
      <c r="F50" s="198" t="s">
        <v>76</v>
      </c>
      <c r="G50" s="198"/>
      <c r="H50" s="198"/>
      <c r="I50" s="198"/>
      <c r="J50" s="178" t="s">
        <v>77</v>
      </c>
      <c r="K50" s="179"/>
      <c r="L50" s="176" t="s">
        <v>78</v>
      </c>
      <c r="M50" s="177"/>
      <c r="N50" s="176" t="s">
        <v>79</v>
      </c>
      <c r="O50" s="177"/>
      <c r="P50" s="176" t="s">
        <v>17</v>
      </c>
      <c r="Q50" s="177"/>
    </row>
    <row r="51" spans="1:17">
      <c r="A51" s="189"/>
      <c r="B51" s="189"/>
      <c r="C51" s="189"/>
      <c r="D51" s="202"/>
      <c r="E51" s="203"/>
      <c r="F51" s="176" t="s">
        <v>54</v>
      </c>
      <c r="G51" s="177"/>
      <c r="H51" s="178" t="s">
        <v>55</v>
      </c>
      <c r="I51" s="179"/>
      <c r="J51" s="204"/>
      <c r="K51" s="205"/>
      <c r="L51" s="202"/>
      <c r="M51" s="203"/>
      <c r="N51" s="202"/>
      <c r="O51" s="203"/>
      <c r="P51" s="202"/>
      <c r="Q51" s="203"/>
    </row>
    <row r="52" spans="1:17">
      <c r="A52" s="189"/>
      <c r="B52" s="189"/>
      <c r="C52" s="189"/>
      <c r="D52" s="54" t="s">
        <v>80</v>
      </c>
      <c r="E52" s="54" t="s">
        <v>62</v>
      </c>
      <c r="F52" s="54" t="s">
        <v>80</v>
      </c>
      <c r="G52" s="54" t="s">
        <v>62</v>
      </c>
      <c r="H52" s="54" t="s">
        <v>80</v>
      </c>
      <c r="I52" s="54" t="s">
        <v>62</v>
      </c>
      <c r="J52" s="54" t="s">
        <v>80</v>
      </c>
      <c r="K52" s="54" t="s">
        <v>62</v>
      </c>
      <c r="L52" s="54" t="s">
        <v>80</v>
      </c>
      <c r="M52" s="54" t="s">
        <v>62</v>
      </c>
      <c r="N52" s="54" t="s">
        <v>80</v>
      </c>
      <c r="O52" s="54" t="s">
        <v>62</v>
      </c>
      <c r="P52" s="54" t="s">
        <v>80</v>
      </c>
      <c r="Q52" s="54" t="s">
        <v>62</v>
      </c>
    </row>
    <row r="53" spans="1:17">
      <c r="A53" s="282" t="s">
        <v>63</v>
      </c>
      <c r="B53" s="282"/>
      <c r="C53" s="282"/>
      <c r="D53" s="24">
        <f>GETPIVOTDATA("Sum of Phase Proposed Units",'3'!$A$1,"Status","01 Completion","Tenure","Open Market")</f>
        <v>1026</v>
      </c>
      <c r="E53" s="24">
        <f>GETPIVOTDATA("Sum of Phase Net Units",'3'!$A$1,"Status","01 Completion","Tenure","Open Market")</f>
        <v>947</v>
      </c>
      <c r="F53" s="24">
        <f>GETPIVOTDATA("Sum of Phase Proposed Units",'3'!$A$1,"Status","01 Completion","Tenure","Intermediate")</f>
        <v>196</v>
      </c>
      <c r="G53" s="24">
        <f>GETPIVOTDATA("Sum of Phase Net Units",'3'!$A$1,"Status","01 Completion","Tenure","Intermediate")</f>
        <v>196</v>
      </c>
      <c r="H53" s="24">
        <f>GETPIVOTDATA("Sum of Phase Proposed Units",'3'!$A$1,"Status","01 Completion","Tenure","Social/Affordable Rent")</f>
        <v>199</v>
      </c>
      <c r="I53" s="24">
        <f>GETPIVOTDATA("Sum of Phase Net Units",'3'!$A$1,"Status","01 Completion","Tenure","Social/Affordable Rent")</f>
        <v>187</v>
      </c>
      <c r="J53" s="24">
        <f>GETPIVOTDATA("Sum of Phase Proposed Units",'3'!$A$1,"Status","01 Completion","Tenure","Unknown")</f>
        <v>0</v>
      </c>
      <c r="K53" s="24">
        <f>GETPIVOTDATA("Sum of Phase Net Units",'3'!$A$1,"Status","01 Completion","Tenure","Unknown")</f>
        <v>0</v>
      </c>
      <c r="L53" s="24">
        <f t="shared" ref="L53:L59" si="3">H53+F53</f>
        <v>395</v>
      </c>
      <c r="M53" s="24">
        <f t="shared" ref="M53:M59" si="4">I53+G53</f>
        <v>383</v>
      </c>
      <c r="N53" s="283">
        <f t="shared" ref="N53:N60" si="5">L53/P53</f>
        <v>0.2779732582688248</v>
      </c>
      <c r="O53" s="283">
        <f t="shared" ref="O53:O58" si="6">M53/Q53</f>
        <v>0.2879699248120301</v>
      </c>
      <c r="P53" s="24">
        <f>D53+L53+J53</f>
        <v>1421</v>
      </c>
      <c r="Q53" s="24">
        <f>E53+M53+K53</f>
        <v>1330</v>
      </c>
    </row>
    <row r="54" spans="1:17">
      <c r="A54" s="284" t="s">
        <v>64</v>
      </c>
      <c r="B54" s="284"/>
      <c r="C54" s="284"/>
      <c r="D54" s="18">
        <f>GETPIVOTDATA("Sum of Phase Proposed Units",'3'!$A$1,"Status","02 Under Construction","Tenure","Open Market")</f>
        <v>6393</v>
      </c>
      <c r="E54" s="18">
        <f>GETPIVOTDATA("Sum of Phase Net Units",'3'!$A$1,"Status","02 Under Construction","Tenure","Open Market")</f>
        <v>6208</v>
      </c>
      <c r="F54" s="18">
        <f>GETPIVOTDATA("Sum of Phase Proposed Units",'3'!$A$1,"Status","02 Under Construction","Tenure","Intermediate")</f>
        <v>1106</v>
      </c>
      <c r="G54" s="18">
        <f>GETPIVOTDATA("Sum of Phase Net Units",'3'!$A$1,"Status","02 Under Construction","Tenure","Intermediate")</f>
        <v>1104</v>
      </c>
      <c r="H54" s="18">
        <f>GETPIVOTDATA("Sum of Phase Proposed Units",'3'!$A$1,"Status","02 Under Construction","Tenure","Social/Affordable Rent")</f>
        <v>718</v>
      </c>
      <c r="I54" s="18">
        <f>GETPIVOTDATA("Sum of Phase Net Units",'3'!$A$1,"Status","02 Under Construction","Tenure","Social/Affordable Rent")</f>
        <v>617</v>
      </c>
      <c r="J54" s="18">
        <f>GETPIVOTDATA("Sum of Phase Proposed Units",'3'!$A$1,"Status","02 Under Construction","Tenure","Unknown")</f>
        <v>0</v>
      </c>
      <c r="K54" s="18">
        <f>GETPIVOTDATA("Sum of Phase Net Units",'3'!$A$1,"Status","02 Under Construction","Tenure","Unknown")</f>
        <v>0</v>
      </c>
      <c r="L54" s="18">
        <f t="shared" si="3"/>
        <v>1824</v>
      </c>
      <c r="M54" s="18">
        <f t="shared" si="4"/>
        <v>1721</v>
      </c>
      <c r="N54" s="285">
        <f t="shared" si="5"/>
        <v>0.22197882438846295</v>
      </c>
      <c r="O54" s="285">
        <f t="shared" si="6"/>
        <v>0.21705133055870854</v>
      </c>
      <c r="P54" s="119">
        <f t="shared" ref="P54:P59" si="7">D54+L54+J54</f>
        <v>8217</v>
      </c>
      <c r="Q54" s="119">
        <f t="shared" ref="Q54:Q59" si="8">E54+M54+K54</f>
        <v>7929</v>
      </c>
    </row>
    <row r="55" spans="1:17">
      <c r="A55" s="284" t="s">
        <v>65</v>
      </c>
      <c r="B55" s="284"/>
      <c r="C55" s="284"/>
      <c r="D55" s="119">
        <f>GETPIVOTDATA("Sum of Phase Proposed Units",'3'!$A$1,"Status","03 Planning","Tenure","Open Market")</f>
        <v>6795</v>
      </c>
      <c r="E55" s="119">
        <f>GETPIVOTDATA("Sum of Phase Net Units",'3'!$A$1,"Status","03 Planning","Tenure","Open Market")</f>
        <v>6523</v>
      </c>
      <c r="F55" s="119">
        <f>GETPIVOTDATA("Sum of Phase Proposed Units",'3'!$A$1,"Status","03 Planning","Tenure","Intermediate")</f>
        <v>982</v>
      </c>
      <c r="G55" s="119">
        <f>GETPIVOTDATA("Sum of Phase Net Units",'3'!$A$1,"Status","03 Planning","Tenure","Intermediate")</f>
        <v>981</v>
      </c>
      <c r="H55" s="119">
        <f>GETPIVOTDATA("Sum of Phase Proposed Units",'3'!$A$1,"Status","03 Planning","Tenure","Social/Affordable Rent")</f>
        <v>700</v>
      </c>
      <c r="I55" s="119">
        <f>GETPIVOTDATA("Sum of Phase Net Units",'3'!$A$1,"Status","03 Planning","Tenure","Social/Affordable Rent")</f>
        <v>565</v>
      </c>
      <c r="J55" s="119">
        <f>GETPIVOTDATA("Sum of Phase Proposed Units",'3'!$A$1,"Status","03 Planning","Tenure","Unknown")</f>
        <v>0</v>
      </c>
      <c r="K55" s="119">
        <f>GETPIVOTDATA("Sum of Phase Net Units",'3'!$A$1,"Status","03 Planning","Tenure","Unknown")</f>
        <v>0</v>
      </c>
      <c r="L55" s="119">
        <f>H55+F55</f>
        <v>1682</v>
      </c>
      <c r="M55" s="119">
        <f>I55+G55</f>
        <v>1546</v>
      </c>
      <c r="N55" s="285">
        <f t="shared" si="5"/>
        <v>0.19841925209390116</v>
      </c>
      <c r="O55" s="285">
        <f t="shared" si="6"/>
        <v>0.19159747180567605</v>
      </c>
      <c r="P55" s="119">
        <f>D55+L55+J55</f>
        <v>8477</v>
      </c>
      <c r="Q55" s="119">
        <f>E55+M55+K55</f>
        <v>8069</v>
      </c>
    </row>
    <row r="56" spans="1:17">
      <c r="A56" s="286" t="s">
        <v>81</v>
      </c>
      <c r="B56" s="286"/>
      <c r="C56" s="286"/>
      <c r="D56" s="18">
        <f>GETPIVOTDATA("Sum of Phase Proposed Units",'3'!$A$1,"Status","04 Subject to Legal Agreement","Tenure","Open Market")+GETPIVOTDATA("Sum of Phase Proposed Units",'3'!$A$1,"Status","05 Pending or at Appeal","Tenure","Open Market")</f>
        <v>2906</v>
      </c>
      <c r="E56" s="18">
        <f>GETPIVOTDATA("Sum of Phase Net Units",'3'!$A$1,"Status","04 Subject to Legal Agreement","Tenure","Open Market")+GETPIVOTDATA("Sum of Phase Net Units",'3'!$A$1,"Status","05 Pending or at Appeal","Tenure","Open Market")</f>
        <v>2536</v>
      </c>
      <c r="F56" s="18">
        <f>GETPIVOTDATA("Sum of Phase Proposed Units",'3'!$A$1,"Status","04 Subject to Legal Agreement","Tenure","Intermediate")+GETPIVOTDATA("Sum of Phase Proposed Units",'3'!$A$1,"Status","05 Pending or at Appeal","Tenure","Intermediate")</f>
        <v>476</v>
      </c>
      <c r="G56" s="18">
        <f>GETPIVOTDATA("Sum of Phase Net Units",'3'!$A$1,"Status","04 Subject to Legal Agreement","Tenure","Intermediate")+GETPIVOTDATA("Sum of Phase Net Units",'3'!$A$1,"Status","05 Pending or at Appeal","Tenure","Intermediate")</f>
        <v>462</v>
      </c>
      <c r="H56" s="18">
        <f>GETPIVOTDATA("Sum of Phase Proposed Units",'3'!$A$1,"Status","04 Subject to Legal Agreement","Tenure","Social/Affordable Rent")+GETPIVOTDATA("Sum of Phase Proposed Units",'3'!$A$1,"Status","05 Pending or at Appeal","Tenure","Social/Affordable Rent")</f>
        <v>808</v>
      </c>
      <c r="I56" s="18">
        <f>GETPIVOTDATA("Sum of Phase Net Units",'3'!$A$1,"Status","04 Subject to Legal Agreement","Tenure","Social/Affordable Rent")+GETPIVOTDATA("Sum of Phase Net Units",'3'!$A$1,"Status","05 Pending or at Appeal","Tenure","Social/Affordable Rent")</f>
        <v>112</v>
      </c>
      <c r="J56" s="18">
        <f>GETPIVOTDATA("Sum of Phase Proposed Units",'3'!$A$1,"Status","04 Subject to Legal Agreement","Tenure","Unknown")+GETPIVOTDATA("Sum of Phase Proposed Units",'3'!$A$1,"Status","05 Pending or at Appeal","Tenure","Unknown")</f>
        <v>0</v>
      </c>
      <c r="K56" s="18">
        <f>GETPIVOTDATA("Sum of Phase Net Units",'3'!$A$1,"Status","04 Subject to Legal Agreement","Tenure","Unknown")+GETPIVOTDATA("Sum of Phase Net Units",'3'!$A$1,"Status","05 Pending or at Appeal","Tenure","Unknown")</f>
        <v>0</v>
      </c>
      <c r="L56" s="119">
        <f t="shared" si="3"/>
        <v>1284</v>
      </c>
      <c r="M56" s="119">
        <f t="shared" si="4"/>
        <v>574</v>
      </c>
      <c r="N56" s="285">
        <f t="shared" si="5"/>
        <v>0.30644391408114557</v>
      </c>
      <c r="O56" s="285">
        <f t="shared" si="6"/>
        <v>0.18456591639871384</v>
      </c>
      <c r="P56" s="119">
        <f t="shared" si="7"/>
        <v>4190</v>
      </c>
      <c r="Q56" s="119">
        <f t="shared" si="8"/>
        <v>3110</v>
      </c>
    </row>
    <row r="57" spans="1:17">
      <c r="A57" s="188" t="s">
        <v>67</v>
      </c>
      <c r="B57" s="188"/>
      <c r="C57" s="188"/>
      <c r="D57" s="119">
        <f>GETPIVOTDATA("Sum of Phase Proposed Units",'3'!$A$1,"Status","06 Identified Site","Tenure","Open Market")</f>
        <v>2750</v>
      </c>
      <c r="E57" s="119">
        <f>GETPIVOTDATA("Sum of Phase Net Units",'3'!$A$1,"Status","06 Identified Site","Tenure","Open Market")</f>
        <v>2750</v>
      </c>
      <c r="F57" s="119">
        <f>GETPIVOTDATA("Sum of Phase Proposed Units",'3'!$A$1,"Status","06 Identified Site","Tenure","Intermediate")</f>
        <v>554</v>
      </c>
      <c r="G57" s="119">
        <f>GETPIVOTDATA("Sum of Phase Net Units",'3'!$A$1,"Status","06 Identified Site","Tenure","Intermediate")</f>
        <v>554</v>
      </c>
      <c r="H57" s="119">
        <f>GETPIVOTDATA("Sum of Phase Proposed Units",'3'!$A$1,"Status","06 Identified Site","Tenure","Social/Affordable Rent")</f>
        <v>752</v>
      </c>
      <c r="I57" s="119">
        <f>GETPIVOTDATA("Sum of Phase Net Units",'3'!$A$1,"Status","06 Identified Site","Tenure","Social/Affordable Rent")</f>
        <v>752</v>
      </c>
      <c r="J57" s="119">
        <f>GETPIVOTDATA("Sum of Phase Proposed Units",'3'!$A$1,"Status","06 Identified Site","Tenure","Unknown")</f>
        <v>0</v>
      </c>
      <c r="K57" s="119">
        <f>GETPIVOTDATA("Sum of Phase Net Units",'3'!$A$1,"Status","06 Identified Site","Tenure","Unknown")</f>
        <v>0</v>
      </c>
      <c r="L57" s="119">
        <f t="shared" si="3"/>
        <v>1306</v>
      </c>
      <c r="M57" s="119">
        <f t="shared" si="4"/>
        <v>1306</v>
      </c>
      <c r="N57" s="285">
        <f t="shared" si="5"/>
        <v>0.32199211045364889</v>
      </c>
      <c r="O57" s="285">
        <f t="shared" si="6"/>
        <v>0.32199211045364889</v>
      </c>
      <c r="P57" s="119">
        <f t="shared" si="7"/>
        <v>4056</v>
      </c>
      <c r="Q57" s="119">
        <f t="shared" si="8"/>
        <v>4056</v>
      </c>
    </row>
    <row r="58" spans="1:17">
      <c r="A58" s="188" t="s">
        <v>68</v>
      </c>
      <c r="B58" s="188"/>
      <c r="C58" s="188"/>
      <c r="D58" s="119">
        <f>GETPIVOTDATA("Sum of Phase Proposed Units",'3'!$A$1,"Status","07 SHLAA Potential Sites","Tenure","Open Market")</f>
        <v>441</v>
      </c>
      <c r="E58" s="119">
        <f>GETPIVOTDATA("Sum of Phase Net Units",'3'!$A$1,"Status","07 SHLAA Potential Sites","Tenure","Open Market")</f>
        <v>441</v>
      </c>
      <c r="F58" s="119">
        <f>GETPIVOTDATA("Sum of Phase Proposed Units",'3'!$A$1,"Status","07 SHLAA Potential Sites","Tenure","Intermediate")</f>
        <v>87</v>
      </c>
      <c r="G58" s="119">
        <f>GETPIVOTDATA("Sum of Phase Net Units",'3'!$A$1,"Status","07 SHLAA Potential Sites","Tenure","Intermediate")</f>
        <v>87</v>
      </c>
      <c r="H58" s="119">
        <f>GETPIVOTDATA("Sum of Phase Proposed Units",'3'!$A$1,"Status","07 SHLAA Potential Sites","Tenure","Social/Affordable Rent")</f>
        <v>129</v>
      </c>
      <c r="I58" s="119">
        <f>GETPIVOTDATA("Sum of Phase Net Units",'3'!$A$1,"Status","07 SHLAA Potential Sites","Tenure","Social/Affordable Rent")</f>
        <v>129</v>
      </c>
      <c r="J58" s="119">
        <f>GETPIVOTDATA("Sum of Phase Proposed Units",'3'!$A$1,"Status","07 SHLAA Potential Sites","Tenure","Unknown")</f>
        <v>0</v>
      </c>
      <c r="K58" s="119">
        <f>GETPIVOTDATA("Sum of Phase Net Units",'3'!$A$1,"Status","07 SHLAA Potential Sites","Tenure","Unknown")</f>
        <v>0</v>
      </c>
      <c r="L58" s="119">
        <f t="shared" si="3"/>
        <v>216</v>
      </c>
      <c r="M58" s="119">
        <f t="shared" si="4"/>
        <v>216</v>
      </c>
      <c r="N58" s="285">
        <f t="shared" si="5"/>
        <v>0.32876712328767121</v>
      </c>
      <c r="O58" s="285">
        <f t="shared" si="6"/>
        <v>0.32876712328767121</v>
      </c>
      <c r="P58" s="119">
        <f t="shared" si="7"/>
        <v>657</v>
      </c>
      <c r="Q58" s="119">
        <f t="shared" si="8"/>
        <v>657</v>
      </c>
    </row>
    <row r="59" spans="1:17">
      <c r="A59" s="188" t="s">
        <v>69</v>
      </c>
      <c r="B59" s="188"/>
      <c r="C59" s="188"/>
      <c r="D59" s="119">
        <f>GETPIVOTDATA("Sum of Phase Proposed Units",'3'!$A$1,"Status","08 SHLAA Small Sites","Tenure","Open Market")</f>
        <v>0</v>
      </c>
      <c r="E59" s="119">
        <f>GETPIVOTDATA("Sum of Phase Net Units",'3'!$A$1,"Status","08 SHLAA Small Sites","Tenure","Open Market")</f>
        <v>0</v>
      </c>
      <c r="F59" s="119">
        <f>GETPIVOTDATA("Sum of Phase Proposed Units",'3'!$A$1,"Status","08 SHLAA Small Sites","Tenure","Intermediate")</f>
        <v>0</v>
      </c>
      <c r="G59" s="119">
        <f>GETPIVOTDATA("Sum of Phase Net Units",'3'!$A$1,"Status","08 SHLAA Small Sites","Tenure","Intermediate")</f>
        <v>0</v>
      </c>
      <c r="H59" s="119">
        <f>GETPIVOTDATA("Sum of Phase Proposed Units",'3'!$A$1,"Status","08 SHLAA Small Sites","Tenure","Social/Affordable Rent")</f>
        <v>0</v>
      </c>
      <c r="I59" s="119">
        <f>GETPIVOTDATA("Sum of Phase Net Units",'3'!$A$1,"Status","08 SHLAA Small Sites","Tenure","Social/Affordable Rent")</f>
        <v>0</v>
      </c>
      <c r="J59" s="119">
        <f>GETPIVOTDATA("Sum of Phase Proposed Units",'3'!$A$1,"Status","08 SHLAA Small Sites","Tenure","Unknown")</f>
        <v>7452</v>
      </c>
      <c r="K59" s="119">
        <f>GETPIVOTDATA("Sum of Phase Net Units",'3'!$A$1,"Status","08 SHLAA Small Sites","Tenure","Unknown")</f>
        <v>7452</v>
      </c>
      <c r="L59" s="119">
        <f t="shared" si="3"/>
        <v>0</v>
      </c>
      <c r="M59" s="119">
        <f t="shared" si="4"/>
        <v>0</v>
      </c>
      <c r="N59" s="285">
        <v>0</v>
      </c>
      <c r="O59" s="285">
        <v>0</v>
      </c>
      <c r="P59" s="119">
        <f t="shared" si="7"/>
        <v>7452</v>
      </c>
      <c r="Q59" s="119">
        <f t="shared" si="8"/>
        <v>7452</v>
      </c>
    </row>
    <row r="60" spans="1:17">
      <c r="A60" s="196" t="s">
        <v>70</v>
      </c>
      <c r="B60" s="196"/>
      <c r="C60" s="196"/>
      <c r="D60" s="35">
        <f>SUM(D54:D59)</f>
        <v>19285</v>
      </c>
      <c r="E60" s="35">
        <f>SUM(E54:E59)</f>
        <v>18458</v>
      </c>
      <c r="F60" s="35">
        <f t="shared" ref="F60:M60" si="9">SUM(F54:F59)</f>
        <v>3205</v>
      </c>
      <c r="G60" s="35">
        <f t="shared" si="9"/>
        <v>3188</v>
      </c>
      <c r="H60" s="35">
        <f t="shared" si="9"/>
        <v>3107</v>
      </c>
      <c r="I60" s="35">
        <f>SUM(I54:I59)</f>
        <v>2175</v>
      </c>
      <c r="J60" s="35">
        <f>SUM(J54:J59)</f>
        <v>7452</v>
      </c>
      <c r="K60" s="35">
        <f>SUM(K54:K59)</f>
        <v>7452</v>
      </c>
      <c r="L60" s="35">
        <f t="shared" si="9"/>
        <v>6312</v>
      </c>
      <c r="M60" s="35">
        <f t="shared" si="9"/>
        <v>5363</v>
      </c>
      <c r="N60" s="14">
        <f t="shared" si="5"/>
        <v>0.1909891373415232</v>
      </c>
      <c r="O60" s="14">
        <f>M60/Q60</f>
        <v>0.17148978351932978</v>
      </c>
      <c r="P60" s="35">
        <f>D60+L60+J60</f>
        <v>33049</v>
      </c>
      <c r="Q60" s="35">
        <f>E60+M60+K60</f>
        <v>31273</v>
      </c>
    </row>
    <row r="61" spans="1:17">
      <c r="A61" s="61" t="s">
        <v>71</v>
      </c>
      <c r="B61" s="38"/>
      <c r="C61" s="38"/>
      <c r="D61" s="39"/>
      <c r="E61" s="39"/>
      <c r="F61" s="39"/>
      <c r="G61" s="39"/>
      <c r="H61" s="39"/>
      <c r="I61" s="39"/>
      <c r="J61" s="39"/>
      <c r="K61" s="39"/>
      <c r="L61" s="39"/>
      <c r="M61" s="39"/>
      <c r="N61" s="40"/>
      <c r="O61" s="40"/>
      <c r="P61" s="39"/>
      <c r="Q61" s="62"/>
    </row>
    <row r="62" spans="1:17">
      <c r="A62" s="2"/>
      <c r="B62" s="2"/>
      <c r="C62" s="2"/>
      <c r="D62" s="2"/>
      <c r="E62" s="2"/>
      <c r="F62" s="2"/>
      <c r="G62" s="2"/>
      <c r="H62" s="2"/>
      <c r="I62" s="2"/>
      <c r="J62" s="2"/>
      <c r="K62" s="2"/>
      <c r="L62" s="2"/>
      <c r="M62" s="2"/>
      <c r="N62" s="2"/>
      <c r="O62" s="2"/>
      <c r="P62" s="2"/>
      <c r="Q62" s="2"/>
    </row>
    <row r="63" spans="1:17">
      <c r="A63" s="7" t="s">
        <v>82</v>
      </c>
      <c r="B63" s="7" t="s">
        <v>83</v>
      </c>
      <c r="C63" s="3"/>
      <c r="D63" s="3"/>
      <c r="E63" s="3"/>
      <c r="F63" s="3"/>
      <c r="G63" s="3"/>
      <c r="H63" s="3"/>
      <c r="I63" s="3"/>
      <c r="J63" s="3"/>
      <c r="K63" s="3"/>
      <c r="L63" s="3"/>
      <c r="M63" s="3"/>
      <c r="N63" s="3"/>
      <c r="O63" s="3"/>
      <c r="P63" s="3"/>
      <c r="Q63" s="3"/>
    </row>
    <row r="64" spans="1:17" ht="12.75" customHeight="1">
      <c r="A64" s="189" t="s">
        <v>74</v>
      </c>
      <c r="B64" s="189"/>
      <c r="C64" s="189"/>
      <c r="D64" s="176" t="s">
        <v>75</v>
      </c>
      <c r="E64" s="177"/>
      <c r="F64" s="198" t="s">
        <v>76</v>
      </c>
      <c r="G64" s="198"/>
      <c r="H64" s="198"/>
      <c r="I64" s="198"/>
      <c r="J64" s="178" t="s">
        <v>77</v>
      </c>
      <c r="K64" s="179"/>
      <c r="L64" s="176" t="s">
        <v>78</v>
      </c>
      <c r="M64" s="177"/>
      <c r="N64" s="176" t="s">
        <v>79</v>
      </c>
      <c r="O64" s="177"/>
      <c r="P64" s="176" t="s">
        <v>17</v>
      </c>
      <c r="Q64" s="177"/>
    </row>
    <row r="65" spans="1:17">
      <c r="A65" s="189"/>
      <c r="B65" s="189"/>
      <c r="C65" s="189"/>
      <c r="D65" s="202"/>
      <c r="E65" s="203"/>
      <c r="F65" s="176" t="s">
        <v>54</v>
      </c>
      <c r="G65" s="177"/>
      <c r="H65" s="178" t="s">
        <v>55</v>
      </c>
      <c r="I65" s="179"/>
      <c r="J65" s="204"/>
      <c r="K65" s="205"/>
      <c r="L65" s="202"/>
      <c r="M65" s="203"/>
      <c r="N65" s="202"/>
      <c r="O65" s="203"/>
      <c r="P65" s="202"/>
      <c r="Q65" s="203"/>
    </row>
    <row r="66" spans="1:17">
      <c r="A66" s="189"/>
      <c r="B66" s="189"/>
      <c r="C66" s="189"/>
      <c r="D66" s="54" t="s">
        <v>80</v>
      </c>
      <c r="E66" s="54" t="s">
        <v>62</v>
      </c>
      <c r="F66" s="54" t="s">
        <v>80</v>
      </c>
      <c r="G66" s="54" t="s">
        <v>62</v>
      </c>
      <c r="H66" s="54" t="s">
        <v>80</v>
      </c>
      <c r="I66" s="54" t="s">
        <v>62</v>
      </c>
      <c r="J66" s="54" t="s">
        <v>80</v>
      </c>
      <c r="K66" s="54" t="s">
        <v>62</v>
      </c>
      <c r="L66" s="54" t="s">
        <v>80</v>
      </c>
      <c r="M66" s="54" t="s">
        <v>62</v>
      </c>
      <c r="N66" s="54" t="s">
        <v>80</v>
      </c>
      <c r="O66" s="54" t="s">
        <v>62</v>
      </c>
      <c r="P66" s="54" t="s">
        <v>80</v>
      </c>
      <c r="Q66" s="54" t="s">
        <v>62</v>
      </c>
    </row>
    <row r="67" spans="1:17">
      <c r="A67" s="282" t="s">
        <v>63</v>
      </c>
      <c r="B67" s="282"/>
      <c r="C67" s="282"/>
      <c r="D67" s="24">
        <f>GETPIVOTDATA("Sum of Phase Proposed Units",'4'!$A$4,"Status","01 Completion","Tenure","Open Market")</f>
        <v>752</v>
      </c>
      <c r="E67" s="24">
        <f>GETPIVOTDATA("Sum of Phase Net Units",'4'!$A$4,"Status","01 Completion","Tenure","Open Market")</f>
        <v>739</v>
      </c>
      <c r="F67" s="24">
        <f>GETPIVOTDATA("Sum of Phase Proposed Units",'4'!$A$4,"Status","01 Completion","Tenure","Intermediate")</f>
        <v>196</v>
      </c>
      <c r="G67" s="24">
        <f>GETPIVOTDATA("Sum of Phase Net Units",'4'!$A$4,"Status","01 Completion","Tenure","Intermediate")</f>
        <v>196</v>
      </c>
      <c r="H67" s="24">
        <f>GETPIVOTDATA("Sum of Phase Proposed Units",'4'!$A$4,"Status","01 Completion","Tenure","Social/Affordable Rent")</f>
        <v>148</v>
      </c>
      <c r="I67" s="24">
        <f>GETPIVOTDATA("Sum of Phase Net Units",'4'!$A$4,"Status","01 Completion","Tenure","Social/Affordable Rent")</f>
        <v>136</v>
      </c>
      <c r="J67" s="24">
        <v>0</v>
      </c>
      <c r="K67" s="24">
        <v>0</v>
      </c>
      <c r="L67" s="24">
        <f t="shared" ref="L67:L73" si="10">H67+F67</f>
        <v>344</v>
      </c>
      <c r="M67" s="24">
        <f t="shared" ref="M67:M73" si="11">I67+G67</f>
        <v>332</v>
      </c>
      <c r="N67" s="283">
        <f t="shared" ref="N67:N74" si="12">L67/P67</f>
        <v>0.31386861313868614</v>
      </c>
      <c r="O67" s="283">
        <f t="shared" ref="O67:O74" si="13">M67/Q67</f>
        <v>0.30999066293183941</v>
      </c>
      <c r="P67" s="24">
        <f t="shared" ref="P67:Q74" si="14">L67+D67</f>
        <v>1096</v>
      </c>
      <c r="Q67" s="24">
        <f t="shared" si="14"/>
        <v>1071</v>
      </c>
    </row>
    <row r="68" spans="1:17">
      <c r="A68" s="284" t="s">
        <v>64</v>
      </c>
      <c r="B68" s="284"/>
      <c r="C68" s="284"/>
      <c r="D68" s="18">
        <f>GETPIVOTDATA("Sum of Phase Proposed Units",'4'!$A$4,"Status","02 Under Construction","Tenure","Open Market")</f>
        <v>5824</v>
      </c>
      <c r="E68" s="18">
        <f>GETPIVOTDATA("Sum of Phase Net Units",'4'!$A$4,"Status","02 Under Construction","Tenure","Open Market")</f>
        <v>5730</v>
      </c>
      <c r="F68" s="18">
        <f>GETPIVOTDATA("Sum of Phase Proposed Units",'4'!$A$4,"Status","02 Under Construction","Tenure","Intermediate")</f>
        <v>1100</v>
      </c>
      <c r="G68" s="18">
        <f>GETPIVOTDATA("Sum of Phase Net Units",'4'!$A$4,"Status","02 Under Construction","Tenure","Intermediate")</f>
        <v>1098</v>
      </c>
      <c r="H68" s="18">
        <f>GETPIVOTDATA("Sum of Phase Proposed Units",'4'!$A$4,"Status","02 Under Construction","Tenure","Social/Affordable Rent")</f>
        <v>694</v>
      </c>
      <c r="I68" s="18">
        <f>GETPIVOTDATA("Sum of Phase Net Units",'4'!$A$4,"Status","02 Under Construction","Tenure","Social/Affordable Rent")</f>
        <v>593</v>
      </c>
      <c r="J68" s="18">
        <v>0</v>
      </c>
      <c r="K68" s="18">
        <v>0</v>
      </c>
      <c r="L68" s="18">
        <f t="shared" si="10"/>
        <v>1794</v>
      </c>
      <c r="M68" s="18">
        <f t="shared" si="11"/>
        <v>1691</v>
      </c>
      <c r="N68" s="19">
        <f t="shared" si="12"/>
        <v>0.23549488054607509</v>
      </c>
      <c r="O68" s="19">
        <f t="shared" si="13"/>
        <v>0.22786686430400216</v>
      </c>
      <c r="P68" s="119">
        <f t="shared" si="14"/>
        <v>7618</v>
      </c>
      <c r="Q68" s="119">
        <f t="shared" si="14"/>
        <v>7421</v>
      </c>
    </row>
    <row r="69" spans="1:17">
      <c r="A69" s="284" t="s">
        <v>65</v>
      </c>
      <c r="B69" s="284"/>
      <c r="C69" s="284"/>
      <c r="D69" s="18">
        <f>GETPIVOTDATA("Sum of Phase Proposed Units",'4'!$A$4,"Status","03 Planning","Tenure","Open Market")</f>
        <v>5870</v>
      </c>
      <c r="E69" s="18">
        <f>GETPIVOTDATA("Sum of Phase Net Units",'4'!$A$4,"Status","03 Planning","Tenure","Open Market")</f>
        <v>5801</v>
      </c>
      <c r="F69" s="18">
        <f>GETPIVOTDATA("Sum of Phase Proposed Units",'4'!$A$4,"Status","03 Planning","Tenure","Intermediate")</f>
        <v>971</v>
      </c>
      <c r="G69" s="18">
        <f>GETPIVOTDATA("Sum of Phase Net Units",'4'!$A$4,"Status","03 Planning","Tenure","Intermediate")</f>
        <v>971</v>
      </c>
      <c r="H69" s="18">
        <f>GETPIVOTDATA("Sum of Phase Proposed Units",'4'!$A$4,"Status","03 Planning","Tenure","Social/Affordable Rent")</f>
        <v>691</v>
      </c>
      <c r="I69" s="18">
        <f>GETPIVOTDATA("Sum of Phase Net Units",'4'!$A$4,"Status","03 Planning","Tenure","Social/Affordable Rent")</f>
        <v>571</v>
      </c>
      <c r="J69" s="18">
        <v>0</v>
      </c>
      <c r="K69" s="18">
        <v>0</v>
      </c>
      <c r="L69" s="18">
        <f t="shared" si="10"/>
        <v>1662</v>
      </c>
      <c r="M69" s="18">
        <f t="shared" si="11"/>
        <v>1542</v>
      </c>
      <c r="N69" s="19">
        <f t="shared" si="12"/>
        <v>0.22065852363250132</v>
      </c>
      <c r="O69" s="19">
        <f t="shared" si="13"/>
        <v>0.20999591447637206</v>
      </c>
      <c r="P69" s="119">
        <f t="shared" si="14"/>
        <v>7532</v>
      </c>
      <c r="Q69" s="119">
        <f t="shared" si="14"/>
        <v>7343</v>
      </c>
    </row>
    <row r="70" spans="1:17">
      <c r="A70" s="284" t="s">
        <v>66</v>
      </c>
      <c r="B70" s="284"/>
      <c r="C70" s="284"/>
      <c r="D70" s="18">
        <f>GETPIVOTDATA("Sum of Phase Proposed Units",'4'!$A$4,"Status","04 Subject to Legal Agreement","Tenure","Open Market")+GETPIVOTDATA("Sum of Phase Proposed Units",'4'!$A$4,"Status","05 Pending or at Appeal","Tenure","Open Market")</f>
        <v>2779</v>
      </c>
      <c r="E70" s="18">
        <f>GETPIVOTDATA("Sum of Phase Net Units",'4'!$A$4,"Status","04 Subject to Legal Agreement","Tenure","Open Market")+GETPIVOTDATA("Sum of Phase Net Units",'4'!$A$4,"Status","05 Pending or at Appeal","Tenure","Open Market")</f>
        <v>2430</v>
      </c>
      <c r="F70" s="18">
        <f>GETPIVOTDATA("Sum of Phase Proposed Units",'4'!$A$4,"Status","04 Subject to Legal Agreement","Tenure","Intermediate")+GETPIVOTDATA("Sum of Phase Proposed Units",'4'!$A$4,"Status","05 Pending or at Appeal","Tenure","Intermediate")</f>
        <v>475</v>
      </c>
      <c r="G70" s="18">
        <f>GETPIVOTDATA("Sum of Phase Net Units",'4'!$A$4,"Status","04 Subject to Legal Agreement","Tenure","Intermediate")+GETPIVOTDATA("Sum of Phase Net Units",'4'!$A$4,"Status","05 Pending or at Appeal","Tenure","Intermediate")</f>
        <v>461</v>
      </c>
      <c r="H70" s="18">
        <f>GETPIVOTDATA("Sum of Phase Proposed Units",'4'!$A$4,"Status","04 Subject to Legal Agreement","Tenure","Social/Affordable Rent")+GETPIVOTDATA("Sum of Phase Proposed Units",'4'!$A$4,"Status","05 Pending or at Appeal","Tenure","Social/Affordable Rent")</f>
        <v>808</v>
      </c>
      <c r="I70" s="18">
        <f>GETPIVOTDATA("Sum of Phase Net Units",'4'!$A$4,"Status","04 Subject to Legal Agreement","Tenure","Social/Affordable Rent")+GETPIVOTDATA("Sum of Phase Net Units",'4'!$A$4,"Status","05 Pending or at Appeal","Tenure","Social/Affordable Rent")</f>
        <v>112</v>
      </c>
      <c r="J70" s="18">
        <v>0</v>
      </c>
      <c r="K70" s="18">
        <v>0</v>
      </c>
      <c r="L70" s="18">
        <f t="shared" si="10"/>
        <v>1283</v>
      </c>
      <c r="M70" s="18">
        <f t="shared" si="11"/>
        <v>573</v>
      </c>
      <c r="N70" s="19">
        <f t="shared" si="12"/>
        <v>0.31585425898572134</v>
      </c>
      <c r="O70" s="19">
        <f t="shared" si="13"/>
        <v>0.19080919080919082</v>
      </c>
      <c r="P70" s="119">
        <f t="shared" si="14"/>
        <v>4062</v>
      </c>
      <c r="Q70" s="119">
        <f t="shared" si="14"/>
        <v>3003</v>
      </c>
    </row>
    <row r="71" spans="1:17">
      <c r="A71" s="192" t="s">
        <v>67</v>
      </c>
      <c r="B71" s="193"/>
      <c r="C71" s="194"/>
      <c r="D71" s="119">
        <f>GETPIVOTDATA("Sum of Phase Proposed Units",'4'!$A$4,"Status","06 Identified Site","Tenure","Open Market")</f>
        <v>2750</v>
      </c>
      <c r="E71" s="119">
        <f>GETPIVOTDATA("Sum of Phase Net Units",'4'!$A$4,"Status","06 Identified Site","Tenure","Open Market")</f>
        <v>2750</v>
      </c>
      <c r="F71" s="119">
        <f>GETPIVOTDATA("Sum of Phase Proposed Units",'4'!$A$4,"Status","06 Identified Site","Tenure","Intermediate")</f>
        <v>554</v>
      </c>
      <c r="G71" s="119">
        <f>GETPIVOTDATA("Sum of Phase Net Units",'4'!$A$4,"Status","06 Identified Site","Tenure","Intermediate")</f>
        <v>554</v>
      </c>
      <c r="H71" s="119">
        <f>GETPIVOTDATA("Sum of Phase Proposed Units",'4'!$A$4,"Status","06 Identified Site","Tenure","Social/Affordable Rent")</f>
        <v>752</v>
      </c>
      <c r="I71" s="119">
        <f>GETPIVOTDATA("Sum of Phase Net Units",'4'!$A$4,"Status","06 Identified Site","Tenure","Social/Affordable Rent")</f>
        <v>752</v>
      </c>
      <c r="J71" s="119">
        <v>0</v>
      </c>
      <c r="K71" s="119">
        <v>0</v>
      </c>
      <c r="L71" s="119">
        <f t="shared" si="10"/>
        <v>1306</v>
      </c>
      <c r="M71" s="119">
        <f t="shared" si="11"/>
        <v>1306</v>
      </c>
      <c r="N71" s="285">
        <f t="shared" si="12"/>
        <v>0.32199211045364889</v>
      </c>
      <c r="O71" s="285">
        <f t="shared" si="13"/>
        <v>0.32199211045364889</v>
      </c>
      <c r="P71" s="119">
        <f t="shared" si="14"/>
        <v>4056</v>
      </c>
      <c r="Q71" s="119">
        <f t="shared" si="14"/>
        <v>4056</v>
      </c>
    </row>
    <row r="72" spans="1:17">
      <c r="A72" s="192" t="s">
        <v>68</v>
      </c>
      <c r="B72" s="193"/>
      <c r="C72" s="194"/>
      <c r="D72" s="119">
        <f>GETPIVOTDATA("Sum of Phase Proposed Units",'4'!$A$4,"Status","07 SHLAA Potential Sites","Tenure","Open Market")</f>
        <v>441</v>
      </c>
      <c r="E72" s="119">
        <f>GETPIVOTDATA("Sum of Phase Net Units",'4'!$A$4,"Status","07 SHLAA Potential Sites","Tenure","Open Market")</f>
        <v>441</v>
      </c>
      <c r="F72" s="119">
        <f>GETPIVOTDATA("Sum of Phase Proposed Units",'4'!$A$4,"Status","07 SHLAA Potential Sites","Tenure","Intermediate")</f>
        <v>87</v>
      </c>
      <c r="G72" s="119">
        <f>GETPIVOTDATA("Sum of Phase Net Units",'4'!$A$4,"Status","07 SHLAA Potential Sites","Tenure","Intermediate")</f>
        <v>87</v>
      </c>
      <c r="H72" s="119">
        <f>GETPIVOTDATA("Sum of Phase Proposed Units",'4'!$A$4,"Status","07 SHLAA Potential Sites","Tenure","Social/Affordable Rent")</f>
        <v>129</v>
      </c>
      <c r="I72" s="119">
        <f>GETPIVOTDATA("Sum of Phase Net Units",'4'!$A$4,"Status","07 SHLAA Potential Sites","Tenure","Social/Affordable Rent")</f>
        <v>129</v>
      </c>
      <c r="J72" s="119">
        <v>0</v>
      </c>
      <c r="K72" s="119">
        <v>0</v>
      </c>
      <c r="L72" s="119">
        <f t="shared" si="10"/>
        <v>216</v>
      </c>
      <c r="M72" s="119">
        <f t="shared" si="11"/>
        <v>216</v>
      </c>
      <c r="N72" s="285">
        <f t="shared" si="12"/>
        <v>0.32876712328767121</v>
      </c>
      <c r="O72" s="285">
        <f t="shared" si="13"/>
        <v>0.32876712328767121</v>
      </c>
      <c r="P72" s="119">
        <f t="shared" si="14"/>
        <v>657</v>
      </c>
      <c r="Q72" s="119">
        <f t="shared" si="14"/>
        <v>657</v>
      </c>
    </row>
    <row r="73" spans="1:17">
      <c r="A73" s="192" t="s">
        <v>69</v>
      </c>
      <c r="B73" s="193"/>
      <c r="C73" s="194"/>
      <c r="D73" s="119">
        <v>0</v>
      </c>
      <c r="E73" s="119">
        <v>0</v>
      </c>
      <c r="F73" s="119">
        <v>0</v>
      </c>
      <c r="G73" s="119">
        <v>0</v>
      </c>
      <c r="H73" s="119">
        <v>0</v>
      </c>
      <c r="I73" s="119">
        <v>0</v>
      </c>
      <c r="J73" s="119">
        <v>0</v>
      </c>
      <c r="K73" s="119">
        <v>0</v>
      </c>
      <c r="L73" s="119">
        <f t="shared" si="10"/>
        <v>0</v>
      </c>
      <c r="M73" s="119">
        <f t="shared" si="11"/>
        <v>0</v>
      </c>
      <c r="N73" s="285">
        <v>0</v>
      </c>
      <c r="O73" s="285">
        <v>0</v>
      </c>
      <c r="P73" s="119">
        <f t="shared" si="14"/>
        <v>0</v>
      </c>
      <c r="Q73" s="119">
        <f t="shared" si="14"/>
        <v>0</v>
      </c>
    </row>
    <row r="74" spans="1:17">
      <c r="A74" s="196" t="s">
        <v>70</v>
      </c>
      <c r="B74" s="196"/>
      <c r="C74" s="196"/>
      <c r="D74" s="35">
        <f t="shared" ref="D74:M74" si="15">SUM(D68:D73)</f>
        <v>17664</v>
      </c>
      <c r="E74" s="35">
        <f t="shared" si="15"/>
        <v>17152</v>
      </c>
      <c r="F74" s="35">
        <f t="shared" si="15"/>
        <v>3187</v>
      </c>
      <c r="G74" s="35">
        <f t="shared" si="15"/>
        <v>3171</v>
      </c>
      <c r="H74" s="35">
        <f t="shared" si="15"/>
        <v>3074</v>
      </c>
      <c r="I74" s="35">
        <f t="shared" si="15"/>
        <v>2157</v>
      </c>
      <c r="J74" s="35">
        <f t="shared" si="15"/>
        <v>0</v>
      </c>
      <c r="K74" s="35">
        <f t="shared" si="15"/>
        <v>0</v>
      </c>
      <c r="L74" s="35">
        <f t="shared" si="15"/>
        <v>6261</v>
      </c>
      <c r="M74" s="35">
        <f t="shared" si="15"/>
        <v>5328</v>
      </c>
      <c r="N74" s="14">
        <f t="shared" si="12"/>
        <v>0.26169278996865203</v>
      </c>
      <c r="O74" s="14">
        <f t="shared" si="13"/>
        <v>0.23701067615658364</v>
      </c>
      <c r="P74" s="35">
        <f t="shared" si="14"/>
        <v>23925</v>
      </c>
      <c r="Q74" s="35">
        <f t="shared" si="14"/>
        <v>22480</v>
      </c>
    </row>
    <row r="75" spans="1:17">
      <c r="A75" s="61" t="s">
        <v>71</v>
      </c>
      <c r="B75" s="287"/>
      <c r="C75" s="287"/>
      <c r="D75" s="288"/>
      <c r="E75" s="288"/>
      <c r="F75" s="288"/>
      <c r="G75" s="288"/>
      <c r="H75" s="288"/>
      <c r="I75" s="288"/>
      <c r="J75" s="288"/>
      <c r="K75" s="288"/>
      <c r="L75" s="1"/>
      <c r="M75" s="1"/>
      <c r="N75" s="1"/>
      <c r="O75" s="1"/>
      <c r="P75" s="1"/>
      <c r="Q75" s="1"/>
    </row>
    <row r="76" spans="1:17">
      <c r="A76" s="2"/>
      <c r="B76" s="2"/>
      <c r="C76" s="2"/>
      <c r="D76" s="2"/>
      <c r="E76" s="2"/>
      <c r="F76" s="2"/>
      <c r="G76" s="2"/>
      <c r="H76" s="2"/>
      <c r="I76" s="2"/>
      <c r="J76" s="2"/>
      <c r="K76" s="2"/>
      <c r="L76" s="2"/>
      <c r="M76" s="2"/>
      <c r="N76" s="2"/>
      <c r="O76" s="2"/>
      <c r="P76" s="2"/>
      <c r="Q76" s="2"/>
    </row>
    <row r="77" spans="1:17">
      <c r="A77" s="7" t="s">
        <v>84</v>
      </c>
      <c r="B77" s="7" t="s">
        <v>85</v>
      </c>
      <c r="C77" s="3"/>
      <c r="D77" s="3"/>
      <c r="E77" s="3"/>
      <c r="F77" s="3"/>
      <c r="G77" s="3"/>
      <c r="H77" s="3"/>
      <c r="I77" s="3"/>
      <c r="J77" s="3"/>
      <c r="K77" s="2"/>
      <c r="L77" s="2"/>
      <c r="M77" s="2"/>
      <c r="N77" s="2"/>
      <c r="O77" s="2"/>
      <c r="P77" s="2"/>
      <c r="Q77" s="2"/>
    </row>
    <row r="78" spans="1:17">
      <c r="A78" s="75" t="s">
        <v>86</v>
      </c>
      <c r="B78" s="51" t="s">
        <v>87</v>
      </c>
      <c r="C78" s="51" t="s">
        <v>88</v>
      </c>
      <c r="D78" s="51" t="s">
        <v>89</v>
      </c>
      <c r="E78" s="9"/>
      <c r="F78" s="9"/>
      <c r="G78" s="9"/>
      <c r="H78" s="9"/>
      <c r="I78" s="9"/>
      <c r="J78" s="9"/>
      <c r="K78" s="10"/>
      <c r="L78" s="10"/>
      <c r="M78" s="10"/>
      <c r="N78" s="10"/>
      <c r="O78" s="10"/>
      <c r="P78" s="10"/>
      <c r="Q78" s="10"/>
    </row>
    <row r="79" spans="1:17">
      <c r="A79" s="76" t="s">
        <v>90</v>
      </c>
      <c r="B79" s="289">
        <v>1885</v>
      </c>
      <c r="C79" s="289">
        <v>1010</v>
      </c>
      <c r="D79" s="289">
        <v>1304</v>
      </c>
      <c r="E79" s="3"/>
      <c r="F79" s="3"/>
      <c r="G79" s="3"/>
      <c r="H79" s="3"/>
      <c r="I79" s="3"/>
      <c r="J79" s="3"/>
      <c r="K79" s="2"/>
      <c r="L79" s="2"/>
      <c r="M79" s="2"/>
      <c r="N79" s="2"/>
      <c r="O79" s="2"/>
      <c r="P79" s="2"/>
      <c r="Q79" s="2"/>
    </row>
    <row r="80" spans="1:17">
      <c r="A80" s="76" t="s">
        <v>91</v>
      </c>
      <c r="B80" s="289">
        <v>2652</v>
      </c>
      <c r="C80" s="289">
        <v>1924</v>
      </c>
      <c r="D80" s="289">
        <v>1278</v>
      </c>
      <c r="E80" s="3"/>
      <c r="F80" s="3"/>
      <c r="G80" s="3"/>
      <c r="H80" s="3"/>
      <c r="I80" s="3"/>
      <c r="J80" s="3"/>
      <c r="K80" s="2"/>
      <c r="L80" s="2"/>
      <c r="M80" s="2"/>
      <c r="N80" s="2"/>
      <c r="O80" s="2"/>
      <c r="P80" s="2"/>
      <c r="Q80" s="2"/>
    </row>
    <row r="81" spans="1:17">
      <c r="A81" s="76" t="s">
        <v>92</v>
      </c>
      <c r="B81" s="289">
        <v>2037</v>
      </c>
      <c r="C81" s="289">
        <v>1636</v>
      </c>
      <c r="D81" s="289">
        <v>1031</v>
      </c>
      <c r="E81" s="3"/>
      <c r="F81" s="3"/>
      <c r="G81" s="3"/>
      <c r="H81" s="3"/>
      <c r="I81" s="3"/>
      <c r="J81" s="3"/>
      <c r="K81" s="2"/>
      <c r="L81" s="2"/>
      <c r="M81" s="2"/>
      <c r="N81" s="2"/>
      <c r="O81" s="2"/>
      <c r="P81" s="2"/>
      <c r="Q81" s="2"/>
    </row>
    <row r="82" spans="1:17">
      <c r="A82" s="76" t="s">
        <v>93</v>
      </c>
      <c r="B82" s="289">
        <v>1705</v>
      </c>
      <c r="C82" s="289">
        <v>601</v>
      </c>
      <c r="D82" s="289">
        <v>1560</v>
      </c>
      <c r="E82" s="3"/>
      <c r="F82" s="3"/>
      <c r="G82" s="3"/>
      <c r="H82" s="3"/>
      <c r="I82" s="3"/>
      <c r="J82" s="3"/>
      <c r="K82" s="2"/>
      <c r="L82" s="2"/>
      <c r="M82" s="2"/>
      <c r="N82" s="2"/>
      <c r="O82" s="2"/>
      <c r="P82" s="2"/>
      <c r="Q82" s="2"/>
    </row>
    <row r="83" spans="1:17">
      <c r="A83" s="76" t="s">
        <v>94</v>
      </c>
      <c r="B83" s="289">
        <v>1270</v>
      </c>
      <c r="C83" s="289">
        <v>462</v>
      </c>
      <c r="D83" s="289">
        <v>1539</v>
      </c>
      <c r="E83" s="3"/>
      <c r="F83" s="3"/>
      <c r="G83" s="3"/>
      <c r="H83" s="3"/>
      <c r="I83" s="3"/>
      <c r="J83" s="3"/>
      <c r="K83" s="2"/>
      <c r="L83" s="2"/>
      <c r="M83" s="2"/>
      <c r="N83" s="2"/>
      <c r="O83" s="2"/>
      <c r="P83" s="2"/>
      <c r="Q83" s="2"/>
    </row>
    <row r="84" spans="1:17">
      <c r="A84" s="76" t="s">
        <v>95</v>
      </c>
      <c r="B84" s="289">
        <v>2934</v>
      </c>
      <c r="C84" s="289">
        <v>1529</v>
      </c>
      <c r="D84" s="289">
        <v>481</v>
      </c>
      <c r="E84" s="3"/>
      <c r="F84" s="3"/>
      <c r="G84" s="3"/>
      <c r="H84" s="3"/>
      <c r="I84" s="3"/>
      <c r="J84" s="3"/>
      <c r="K84" s="2"/>
      <c r="L84" s="2"/>
      <c r="M84" s="2"/>
      <c r="N84" s="2"/>
      <c r="O84" s="2"/>
      <c r="P84" s="2"/>
      <c r="Q84" s="2"/>
    </row>
    <row r="85" spans="1:17">
      <c r="A85" s="76" t="s">
        <v>96</v>
      </c>
      <c r="B85" s="289">
        <v>10498</v>
      </c>
      <c r="C85" s="289">
        <v>2160</v>
      </c>
      <c r="D85" s="289">
        <v>979</v>
      </c>
      <c r="E85" s="3"/>
      <c r="F85" s="3"/>
      <c r="G85" s="3"/>
      <c r="H85" s="3"/>
      <c r="I85" s="3"/>
      <c r="J85" s="3"/>
      <c r="K85" s="2"/>
      <c r="L85" s="2"/>
      <c r="M85" s="2"/>
      <c r="N85" s="2"/>
      <c r="O85" s="2"/>
      <c r="P85" s="2"/>
      <c r="Q85" s="2"/>
    </row>
    <row r="86" spans="1:17">
      <c r="A86" s="76" t="s">
        <v>97</v>
      </c>
      <c r="B86" s="289">
        <v>4775</v>
      </c>
      <c r="C86" s="289">
        <v>1197</v>
      </c>
      <c r="D86" s="289">
        <v>774</v>
      </c>
      <c r="E86" s="82"/>
      <c r="F86" s="3"/>
      <c r="G86" s="3"/>
      <c r="H86" s="3"/>
      <c r="I86" s="3"/>
      <c r="J86" s="3"/>
      <c r="K86" s="2"/>
      <c r="L86" s="2"/>
      <c r="M86" s="2"/>
      <c r="N86" s="2"/>
      <c r="O86" s="2"/>
      <c r="P86" s="2"/>
      <c r="Q86" s="2"/>
    </row>
    <row r="87" spans="1:17">
      <c r="A87" s="76" t="s">
        <v>98</v>
      </c>
      <c r="B87" s="17">
        <v>2006</v>
      </c>
      <c r="C87" s="17">
        <v>2392</v>
      </c>
      <c r="D87" s="17">
        <v>1197</v>
      </c>
      <c r="E87" s="2"/>
      <c r="F87" s="2"/>
      <c r="G87" s="2"/>
      <c r="H87" s="2"/>
      <c r="I87" s="2"/>
      <c r="J87" s="2"/>
      <c r="K87" s="2"/>
      <c r="L87" s="2"/>
      <c r="M87" s="2"/>
      <c r="N87" s="2"/>
      <c r="O87" s="2"/>
      <c r="P87" s="2"/>
      <c r="Q87" s="2"/>
    </row>
    <row r="88" spans="1:17">
      <c r="A88" s="76" t="s">
        <v>99</v>
      </c>
      <c r="B88" s="17">
        <v>4972</v>
      </c>
      <c r="C88" s="17">
        <v>1134</v>
      </c>
      <c r="D88" s="17">
        <v>936</v>
      </c>
      <c r="E88" s="2"/>
      <c r="F88" s="2"/>
      <c r="G88" s="2"/>
      <c r="H88" s="2"/>
      <c r="I88" s="2"/>
      <c r="J88" s="2"/>
      <c r="K88" s="2"/>
      <c r="L88" s="2"/>
      <c r="M88" s="2"/>
      <c r="N88" s="2"/>
      <c r="O88" s="2"/>
      <c r="P88" s="2"/>
      <c r="Q88" s="2"/>
    </row>
    <row r="89" spans="1:17">
      <c r="A89" s="76" t="s">
        <v>10</v>
      </c>
      <c r="B89" s="17">
        <v>3339</v>
      </c>
      <c r="C89" s="17">
        <v>1923</v>
      </c>
      <c r="D89" s="17">
        <v>2776</v>
      </c>
      <c r="E89" s="2"/>
      <c r="F89" s="2"/>
      <c r="G89" s="2"/>
      <c r="H89" s="2"/>
      <c r="I89" s="2"/>
      <c r="J89" s="2"/>
      <c r="K89" s="2"/>
      <c r="L89" s="2"/>
      <c r="M89" s="2"/>
      <c r="N89" s="2"/>
      <c r="O89" s="2"/>
      <c r="P89" s="2"/>
      <c r="Q89" s="2"/>
    </row>
    <row r="90" spans="1:17">
      <c r="A90" s="76" t="s">
        <v>11</v>
      </c>
      <c r="B90" s="17">
        <v>3128</v>
      </c>
      <c r="C90" s="17">
        <v>3241</v>
      </c>
      <c r="D90" s="17">
        <v>2345</v>
      </c>
      <c r="E90" s="2"/>
      <c r="F90" s="2"/>
      <c r="G90" s="2"/>
      <c r="H90" s="2"/>
      <c r="I90" s="2"/>
      <c r="J90" s="2"/>
      <c r="K90" s="2"/>
      <c r="L90" s="2"/>
      <c r="M90" s="2"/>
      <c r="N90" s="2"/>
      <c r="O90" s="2"/>
      <c r="P90" s="2"/>
      <c r="Q90" s="2"/>
    </row>
    <row r="91" spans="1:17">
      <c r="A91" s="76" t="s">
        <v>12</v>
      </c>
      <c r="B91" s="17">
        <v>6083</v>
      </c>
      <c r="C91" s="17">
        <v>2100</v>
      </c>
      <c r="D91" s="17">
        <v>2036</v>
      </c>
      <c r="E91" s="2"/>
      <c r="F91" s="2"/>
      <c r="G91" s="2"/>
      <c r="H91" s="2"/>
      <c r="I91" s="2"/>
      <c r="J91" s="2"/>
      <c r="K91" s="2"/>
      <c r="L91" s="2"/>
      <c r="M91" s="2"/>
      <c r="N91" s="2"/>
      <c r="O91" s="2"/>
      <c r="P91" s="2"/>
      <c r="Q91" s="2"/>
    </row>
    <row r="92" spans="1:17">
      <c r="A92" s="76" t="s">
        <v>13</v>
      </c>
      <c r="B92" s="17">
        <v>5991</v>
      </c>
      <c r="C92" s="17">
        <v>1858</v>
      </c>
      <c r="D92" s="17">
        <v>1851</v>
      </c>
      <c r="E92" s="2"/>
      <c r="F92" s="2"/>
      <c r="G92" s="2"/>
      <c r="H92" s="2"/>
      <c r="I92" s="2"/>
      <c r="J92" s="2"/>
      <c r="K92" s="2"/>
      <c r="L92" s="2"/>
      <c r="M92" s="2"/>
      <c r="N92" s="2"/>
      <c r="O92" s="2"/>
      <c r="P92" s="2"/>
      <c r="Q92" s="2"/>
    </row>
    <row r="93" spans="1:17">
      <c r="A93" s="136" t="s">
        <v>14</v>
      </c>
      <c r="B93" s="137">
        <f>GETPIVOTDATA("Phase Net Units",'5 Perm'!$A$3)</f>
        <v>3130</v>
      </c>
      <c r="C93" s="137">
        <f>GETPIVOTDATA("Phase Net Units",'5 Star'!$A$3)</f>
        <v>3888</v>
      </c>
      <c r="D93" s="137">
        <f>GETPIVOTDATA("Phase Net Units",'1a Conv'!$A$1,"Status","01 Completion")</f>
        <v>1330</v>
      </c>
      <c r="E93" s="2"/>
      <c r="F93" s="2"/>
      <c r="G93" s="2"/>
      <c r="H93" s="2"/>
      <c r="I93" s="2"/>
      <c r="J93" s="2"/>
      <c r="K93" s="2"/>
      <c r="L93" s="2"/>
      <c r="M93" s="2"/>
      <c r="N93" s="2"/>
      <c r="O93" s="2"/>
      <c r="P93" s="2"/>
      <c r="Q93" s="2"/>
    </row>
    <row r="94" spans="1:17">
      <c r="A94" s="63"/>
      <c r="B94" s="2"/>
      <c r="C94" s="2"/>
      <c r="D94" s="2"/>
      <c r="E94" s="2"/>
      <c r="F94" s="2"/>
      <c r="G94" s="2"/>
      <c r="H94" s="2"/>
      <c r="I94" s="2"/>
      <c r="J94" s="2"/>
      <c r="K94" s="2"/>
      <c r="L94" s="2"/>
      <c r="M94" s="2"/>
      <c r="N94" s="2"/>
      <c r="O94" s="2"/>
      <c r="P94" s="2"/>
      <c r="Q94" s="2"/>
    </row>
    <row r="95" spans="1:17">
      <c r="A95" s="7" t="s">
        <v>100</v>
      </c>
      <c r="B95" s="7" t="s">
        <v>101</v>
      </c>
      <c r="C95" s="3"/>
      <c r="D95" s="3"/>
      <c r="E95" s="3"/>
      <c r="F95" s="3"/>
      <c r="G95" s="3"/>
      <c r="H95" s="3"/>
      <c r="I95" s="2"/>
      <c r="J95" s="2"/>
      <c r="K95" s="2"/>
      <c r="L95" s="2"/>
      <c r="M95" s="2"/>
      <c r="N95" s="2"/>
      <c r="O95" s="2"/>
      <c r="P95" s="2"/>
      <c r="Q95" s="2"/>
    </row>
    <row r="96" spans="1:17">
      <c r="A96" s="195" t="s">
        <v>102</v>
      </c>
      <c r="B96" s="195"/>
      <c r="C96" s="51" t="s">
        <v>103</v>
      </c>
      <c r="D96" s="51" t="s">
        <v>104</v>
      </c>
      <c r="E96" s="51" t="s">
        <v>105</v>
      </c>
      <c r="F96" s="3"/>
      <c r="G96" s="3"/>
      <c r="H96" s="3"/>
      <c r="I96" s="2"/>
      <c r="J96" s="2"/>
      <c r="K96" s="2"/>
      <c r="L96" s="2"/>
      <c r="M96" s="2"/>
      <c r="N96" s="2"/>
      <c r="O96" s="2"/>
      <c r="P96" s="2"/>
      <c r="Q96" s="2"/>
    </row>
    <row r="97" spans="1:17">
      <c r="A97" s="188" t="s">
        <v>59</v>
      </c>
      <c r="B97" s="188"/>
      <c r="C97" s="290">
        <f>GETPIVOTDATA("Phase Net Units",'6 PeNB'!$A$5)</f>
        <v>2888</v>
      </c>
      <c r="D97" s="119">
        <f>GETPIVOTDATA("Phase Net Units",'6 StNB'!$A$5)</f>
        <v>3736</v>
      </c>
      <c r="E97" s="18">
        <f>GETPIVOTDATA("Sum of Phase Net Units",'2 NB'!$A$4,"Status","01 Completion")</f>
        <v>1071</v>
      </c>
      <c r="F97" s="3"/>
      <c r="G97" s="3"/>
      <c r="H97" s="3"/>
      <c r="I97" s="3"/>
      <c r="J97" s="3"/>
      <c r="K97" s="3"/>
      <c r="L97" s="3"/>
      <c r="M97" s="3"/>
      <c r="N97" s="3"/>
      <c r="O97" s="3"/>
      <c r="P97" s="2"/>
      <c r="Q97" s="2"/>
    </row>
    <row r="98" spans="1:17">
      <c r="A98" s="188" t="s">
        <v>60</v>
      </c>
      <c r="B98" s="188"/>
      <c r="C98" s="119">
        <f>GETPIVOTDATA("Phase Net Units",'6 PeCO'!$A$5)</f>
        <v>242</v>
      </c>
      <c r="D98" s="119">
        <f>GETPIVOTDATA("Phase Net Units",'6 StCO'!$A$5)</f>
        <v>152</v>
      </c>
      <c r="E98" s="18">
        <f>GETPIVOTDATA("Sum of Phase Net Units",'2 CON'!$A$4,"Status","01 Completion")</f>
        <v>259</v>
      </c>
      <c r="F98" s="3"/>
      <c r="G98" s="3"/>
      <c r="H98" s="3"/>
      <c r="I98" s="3"/>
      <c r="J98" s="3"/>
      <c r="K98" s="3"/>
      <c r="L98" s="3"/>
      <c r="M98" s="3"/>
      <c r="N98" s="3"/>
      <c r="O98" s="3"/>
      <c r="P98" s="2"/>
      <c r="Q98" s="2"/>
    </row>
    <row r="99" spans="1:17">
      <c r="A99" s="191" t="s">
        <v>17</v>
      </c>
      <c r="B99" s="191"/>
      <c r="C99" s="23">
        <f>SUM(C97:C98)</f>
        <v>3130</v>
      </c>
      <c r="D99" s="23">
        <f>SUM(D97:D98)</f>
        <v>3888</v>
      </c>
      <c r="E99" s="23">
        <f>SUM(E97:E98)</f>
        <v>1330</v>
      </c>
      <c r="F99" s="3"/>
      <c r="G99" s="3"/>
      <c r="H99" s="3"/>
      <c r="I99" s="3"/>
      <c r="J99" s="3"/>
      <c r="K99" s="3"/>
      <c r="L99" s="3"/>
      <c r="M99" s="3"/>
      <c r="N99" s="3"/>
      <c r="O99" s="3"/>
      <c r="P99" s="2"/>
      <c r="Q99" s="2"/>
    </row>
    <row r="100" spans="1:17">
      <c r="A100" s="3"/>
      <c r="B100" s="3"/>
      <c r="C100" s="3"/>
      <c r="D100" s="3"/>
      <c r="E100" s="3"/>
      <c r="F100" s="3"/>
      <c r="G100" s="3"/>
      <c r="H100" s="3"/>
      <c r="I100" s="3"/>
      <c r="J100" s="3"/>
      <c r="K100" s="3"/>
      <c r="L100" s="3"/>
      <c r="M100" s="3"/>
      <c r="N100" s="3"/>
      <c r="O100" s="3"/>
      <c r="P100" s="2"/>
      <c r="Q100" s="2"/>
    </row>
    <row r="101" spans="1:17">
      <c r="A101" s="7" t="s">
        <v>106</v>
      </c>
      <c r="B101" s="7" t="s">
        <v>107</v>
      </c>
      <c r="C101" s="2"/>
      <c r="D101" s="2"/>
      <c r="E101" s="2"/>
      <c r="F101" s="2"/>
      <c r="G101" s="2"/>
      <c r="H101" s="2"/>
      <c r="I101" s="2"/>
      <c r="J101" s="3"/>
      <c r="K101" s="3"/>
      <c r="L101" s="3"/>
      <c r="M101" s="3"/>
      <c r="N101" s="3"/>
      <c r="O101" s="3"/>
      <c r="P101" s="2"/>
      <c r="Q101" s="2"/>
    </row>
    <row r="102" spans="1:17">
      <c r="A102" s="291" t="s">
        <v>74</v>
      </c>
      <c r="B102" s="291"/>
      <c r="C102" s="291"/>
      <c r="D102" s="52" t="s">
        <v>103</v>
      </c>
      <c r="E102" s="52" t="s">
        <v>104</v>
      </c>
      <c r="F102" s="52" t="s">
        <v>105</v>
      </c>
      <c r="G102" s="2"/>
      <c r="H102" s="3"/>
      <c r="I102" s="3"/>
      <c r="J102" s="3"/>
      <c r="K102" s="3"/>
      <c r="L102" s="3"/>
      <c r="M102" s="3"/>
      <c r="N102" s="3"/>
      <c r="O102" s="3"/>
      <c r="P102" s="2"/>
      <c r="Q102" s="2"/>
    </row>
    <row r="103" spans="1:17">
      <c r="A103" s="199" t="s">
        <v>75</v>
      </c>
      <c r="B103" s="199"/>
      <c r="C103" s="199"/>
      <c r="D103" s="119">
        <f>GETPIVOTDATA("Phase Net Units",'7 Perm'!$A$3,"Tenure","Open Market")</f>
        <v>2562</v>
      </c>
      <c r="E103" s="119">
        <f>GETPIVOTDATA("Phase Net Units",'7 Star'!$A$3,"Tenure","Open Market")</f>
        <v>2884</v>
      </c>
      <c r="F103" s="119">
        <f>GETPIVOTDATA("Sum of Phase Net Units",'3'!$A$1,"Status","01 Completion","Tenure","Open Market")</f>
        <v>947</v>
      </c>
      <c r="G103" s="2"/>
      <c r="H103" s="3"/>
      <c r="I103" s="3"/>
      <c r="J103" s="3"/>
      <c r="K103" s="3"/>
      <c r="L103" s="3"/>
      <c r="M103" s="3"/>
      <c r="N103" s="3"/>
      <c r="O103" s="3"/>
      <c r="P103" s="2"/>
      <c r="Q103" s="2"/>
    </row>
    <row r="104" spans="1:17">
      <c r="A104" s="200" t="s">
        <v>76</v>
      </c>
      <c r="B104" s="199" t="s">
        <v>54</v>
      </c>
      <c r="C104" s="199"/>
      <c r="D104" s="119">
        <f>GETPIVOTDATA("Phase Net Units",'7 Perm'!$A$3,"Tenure","Intermediate")</f>
        <v>324</v>
      </c>
      <c r="E104" s="119">
        <f>GETPIVOTDATA("Phase Net Units",'7 Star'!$A$3,"Tenure","Intermediate")</f>
        <v>528</v>
      </c>
      <c r="F104" s="119">
        <f>GETPIVOTDATA("Sum of Phase Net Units",'3'!$A$1,"Status","01 Completion","Tenure","Intermediate")</f>
        <v>196</v>
      </c>
      <c r="G104" s="2"/>
      <c r="H104" s="3"/>
      <c r="I104" s="3"/>
      <c r="J104" s="3"/>
      <c r="K104" s="3"/>
      <c r="L104" s="3"/>
      <c r="M104" s="3"/>
      <c r="N104" s="3"/>
      <c r="O104" s="3"/>
      <c r="P104" s="2"/>
      <c r="Q104" s="2"/>
    </row>
    <row r="105" spans="1:17">
      <c r="A105" s="200"/>
      <c r="B105" s="199" t="s">
        <v>55</v>
      </c>
      <c r="C105" s="199"/>
      <c r="D105" s="119">
        <f>GETPIVOTDATA("Phase Net Units",'7 Perm'!$A$3,"Tenure","Social/Affordable Rent")</f>
        <v>244</v>
      </c>
      <c r="E105" s="119">
        <f>GETPIVOTDATA("Phase Net Units",'7 Star'!$A$3,"Tenure","Social/Affordable Rent")</f>
        <v>476</v>
      </c>
      <c r="F105" s="119">
        <f>GETPIVOTDATA("Sum of Phase Net Units",'3'!$A$1,"Status","01 Completion","Tenure","Social/Affordable Rent")</f>
        <v>187</v>
      </c>
      <c r="G105" s="2"/>
      <c r="H105" s="3"/>
      <c r="I105" s="3"/>
      <c r="J105" s="3"/>
      <c r="K105" s="3"/>
      <c r="L105" s="3"/>
      <c r="M105" s="3"/>
      <c r="N105" s="3"/>
      <c r="O105" s="3"/>
      <c r="P105" s="2"/>
      <c r="Q105" s="2"/>
    </row>
    <row r="106" spans="1:17">
      <c r="A106" s="200"/>
      <c r="B106" s="199" t="s">
        <v>17</v>
      </c>
      <c r="C106" s="199"/>
      <c r="D106" s="119">
        <f>D104+D105</f>
        <v>568</v>
      </c>
      <c r="E106" s="119">
        <f t="shared" ref="E106:F106" si="16">E104+E105</f>
        <v>1004</v>
      </c>
      <c r="F106" s="119">
        <f t="shared" si="16"/>
        <v>383</v>
      </c>
      <c r="G106" s="2"/>
      <c r="H106" s="3"/>
      <c r="I106" s="3"/>
      <c r="J106" s="3"/>
      <c r="K106" s="3"/>
      <c r="L106" s="3"/>
      <c r="M106" s="3"/>
      <c r="N106" s="3"/>
      <c r="O106" s="3"/>
      <c r="P106" s="2"/>
      <c r="Q106" s="2"/>
    </row>
    <row r="107" spans="1:17">
      <c r="A107" s="197" t="s">
        <v>17</v>
      </c>
      <c r="B107" s="197"/>
      <c r="C107" s="197"/>
      <c r="D107" s="23">
        <f>SUM(D103,D106)</f>
        <v>3130</v>
      </c>
      <c r="E107" s="23">
        <f t="shared" ref="E107:F107" si="17">SUM(E103,E106)</f>
        <v>3888</v>
      </c>
      <c r="F107" s="23">
        <f t="shared" si="17"/>
        <v>1330</v>
      </c>
      <c r="G107" s="2"/>
      <c r="H107" s="3"/>
      <c r="I107" s="3"/>
      <c r="J107" s="3"/>
      <c r="K107" s="3"/>
      <c r="L107" s="3"/>
      <c r="M107" s="3"/>
      <c r="N107" s="3"/>
      <c r="O107" s="3"/>
      <c r="P107" s="2"/>
      <c r="Q107" s="2"/>
    </row>
    <row r="108" spans="1:17">
      <c r="A108" s="3"/>
      <c r="B108" s="3"/>
      <c r="C108" s="3"/>
      <c r="D108" s="3"/>
      <c r="E108" s="3"/>
      <c r="F108" s="3"/>
      <c r="G108" s="3"/>
      <c r="H108" s="3"/>
      <c r="I108" s="3"/>
      <c r="J108" s="3"/>
      <c r="K108" s="3"/>
      <c r="L108" s="3"/>
      <c r="M108" s="3"/>
      <c r="N108" s="3"/>
      <c r="O108" s="3"/>
      <c r="P108" s="2"/>
      <c r="Q108" s="2"/>
    </row>
    <row r="109" spans="1:17" s="53" customFormat="1" ht="18">
      <c r="A109" s="129" t="s">
        <v>105</v>
      </c>
      <c r="B109" s="130"/>
      <c r="C109" s="130"/>
      <c r="D109" s="130"/>
      <c r="E109" s="130"/>
      <c r="F109" s="130"/>
      <c r="G109" s="130"/>
      <c r="H109" s="130"/>
      <c r="I109" s="130"/>
      <c r="J109" s="130"/>
      <c r="K109" s="130"/>
      <c r="L109" s="130"/>
      <c r="M109" s="130"/>
      <c r="N109" s="130"/>
      <c r="O109" s="130"/>
      <c r="P109" s="130"/>
      <c r="Q109" s="130"/>
    </row>
    <row r="110" spans="1:17">
      <c r="A110" s="2"/>
      <c r="B110" s="2"/>
      <c r="C110" s="2"/>
      <c r="D110" s="2"/>
      <c r="E110" s="2"/>
      <c r="F110" s="2"/>
      <c r="G110" s="2"/>
      <c r="H110" s="2"/>
      <c r="I110" s="2"/>
      <c r="J110" s="2"/>
      <c r="K110" s="2"/>
      <c r="L110" s="2"/>
      <c r="M110" s="2"/>
      <c r="N110" s="2"/>
      <c r="O110" s="2"/>
      <c r="P110" s="2"/>
      <c r="Q110" s="2"/>
    </row>
    <row r="111" spans="1:17">
      <c r="A111" s="131" t="s">
        <v>108</v>
      </c>
      <c r="B111" s="2"/>
      <c r="C111" s="2"/>
      <c r="D111" s="2"/>
      <c r="E111" s="2"/>
      <c r="F111" s="2"/>
      <c r="G111" s="2"/>
      <c r="H111" s="2"/>
      <c r="I111" s="2"/>
      <c r="J111" s="2"/>
      <c r="K111" s="2"/>
      <c r="L111" s="2"/>
      <c r="M111" s="2"/>
      <c r="N111" s="2"/>
      <c r="O111" s="2"/>
      <c r="P111" s="2"/>
      <c r="Q111" s="2"/>
    </row>
    <row r="112" spans="1:17">
      <c r="A112" s="7" t="s">
        <v>109</v>
      </c>
      <c r="B112" s="7" t="s">
        <v>110</v>
      </c>
      <c r="C112" s="3"/>
      <c r="D112" s="3"/>
      <c r="E112" s="3"/>
      <c r="F112" s="3"/>
      <c r="G112" s="3"/>
      <c r="H112" s="3"/>
      <c r="I112" s="3"/>
      <c r="J112" s="3"/>
      <c r="K112" s="3"/>
      <c r="L112" s="3"/>
      <c r="M112" s="3"/>
      <c r="N112" s="3"/>
      <c r="O112" s="3"/>
      <c r="P112" s="2"/>
      <c r="Q112" s="2"/>
    </row>
    <row r="113" spans="1:17">
      <c r="A113" s="190" t="s">
        <v>86</v>
      </c>
      <c r="B113" s="198" t="s">
        <v>111</v>
      </c>
      <c r="C113" s="198"/>
      <c r="D113" s="225" t="s">
        <v>112</v>
      </c>
      <c r="E113" s="225"/>
      <c r="F113" s="225" t="s">
        <v>113</v>
      </c>
      <c r="G113" s="225"/>
      <c r="H113" s="198" t="s">
        <v>78</v>
      </c>
      <c r="I113" s="198"/>
      <c r="J113" s="54" t="s">
        <v>17</v>
      </c>
      <c r="K113" s="3"/>
      <c r="L113" s="3"/>
      <c r="M113" s="3"/>
      <c r="N113" s="3"/>
      <c r="O113" s="3"/>
      <c r="P113" s="2"/>
      <c r="Q113" s="2"/>
    </row>
    <row r="114" spans="1:17">
      <c r="A114" s="190"/>
      <c r="B114" s="54" t="s">
        <v>114</v>
      </c>
      <c r="C114" s="54" t="s">
        <v>115</v>
      </c>
      <c r="D114" s="54" t="s">
        <v>114</v>
      </c>
      <c r="E114" s="54" t="s">
        <v>115</v>
      </c>
      <c r="F114" s="54" t="s">
        <v>114</v>
      </c>
      <c r="G114" s="54" t="s">
        <v>115</v>
      </c>
      <c r="H114" s="54" t="s">
        <v>114</v>
      </c>
      <c r="I114" s="54" t="s">
        <v>115</v>
      </c>
      <c r="J114" s="54" t="s">
        <v>114</v>
      </c>
      <c r="K114" s="3"/>
      <c r="L114" s="3"/>
      <c r="M114" s="3"/>
      <c r="N114" s="3"/>
      <c r="O114" s="3"/>
      <c r="P114" s="2"/>
      <c r="Q114" s="2"/>
    </row>
    <row r="115" spans="1:17">
      <c r="A115" s="76" t="s">
        <v>90</v>
      </c>
      <c r="B115" s="119">
        <v>1155</v>
      </c>
      <c r="C115" s="285">
        <v>0.88573619631901845</v>
      </c>
      <c r="D115" s="119">
        <v>93</v>
      </c>
      <c r="E115" s="285">
        <v>7.131901840490798E-2</v>
      </c>
      <c r="F115" s="119">
        <v>56</v>
      </c>
      <c r="G115" s="285">
        <v>4.2944785276073622E-2</v>
      </c>
      <c r="H115" s="119">
        <v>149</v>
      </c>
      <c r="I115" s="285">
        <v>0.1142638036809816</v>
      </c>
      <c r="J115" s="119">
        <v>1304</v>
      </c>
      <c r="K115" s="3"/>
      <c r="L115" s="3"/>
      <c r="M115" s="3"/>
      <c r="N115" s="3"/>
      <c r="O115" s="3"/>
      <c r="P115" s="2"/>
      <c r="Q115" s="2"/>
    </row>
    <row r="116" spans="1:17">
      <c r="A116" s="76" t="s">
        <v>91</v>
      </c>
      <c r="B116" s="119">
        <v>1039</v>
      </c>
      <c r="C116" s="285">
        <v>0.81298904538341155</v>
      </c>
      <c r="D116" s="119">
        <v>206</v>
      </c>
      <c r="E116" s="285">
        <v>0.16118935837245696</v>
      </c>
      <c r="F116" s="119">
        <v>33</v>
      </c>
      <c r="G116" s="285">
        <v>2.5821596244131457E-2</v>
      </c>
      <c r="H116" s="119">
        <v>239</v>
      </c>
      <c r="I116" s="285">
        <v>0.18701095461658843</v>
      </c>
      <c r="J116" s="119">
        <v>1278</v>
      </c>
      <c r="K116" s="3"/>
      <c r="L116" s="3"/>
      <c r="M116" s="3"/>
      <c r="N116" s="3"/>
      <c r="O116" s="3"/>
      <c r="P116" s="2"/>
      <c r="Q116" s="2"/>
    </row>
    <row r="117" spans="1:17">
      <c r="A117" s="76" t="s">
        <v>92</v>
      </c>
      <c r="B117" s="119">
        <v>728</v>
      </c>
      <c r="C117" s="285">
        <v>0.70611057225994178</v>
      </c>
      <c r="D117" s="119">
        <v>281</v>
      </c>
      <c r="E117" s="285">
        <v>0.27255092143549953</v>
      </c>
      <c r="F117" s="119">
        <v>22</v>
      </c>
      <c r="G117" s="285">
        <v>2.133850630455868E-2</v>
      </c>
      <c r="H117" s="119">
        <v>303</v>
      </c>
      <c r="I117" s="285">
        <v>0.29388942774005822</v>
      </c>
      <c r="J117" s="119">
        <v>1031</v>
      </c>
      <c r="K117" s="3"/>
      <c r="L117" s="3"/>
      <c r="M117" s="3"/>
      <c r="N117" s="3"/>
      <c r="O117" s="3"/>
      <c r="P117" s="2"/>
      <c r="Q117" s="2"/>
    </row>
    <row r="118" spans="1:17">
      <c r="A118" s="76" t="s">
        <v>93</v>
      </c>
      <c r="B118" s="119">
        <v>1079</v>
      </c>
      <c r="C118" s="285">
        <v>0.69166666666666665</v>
      </c>
      <c r="D118" s="119">
        <v>393</v>
      </c>
      <c r="E118" s="285">
        <v>0.25192307692307692</v>
      </c>
      <c r="F118" s="119">
        <v>88</v>
      </c>
      <c r="G118" s="285">
        <v>5.6410256410256411E-2</v>
      </c>
      <c r="H118" s="119">
        <v>481</v>
      </c>
      <c r="I118" s="285">
        <v>0.30833333333333335</v>
      </c>
      <c r="J118" s="119">
        <v>1560</v>
      </c>
      <c r="K118" s="3"/>
      <c r="L118" s="3"/>
      <c r="M118" s="3"/>
      <c r="N118" s="3"/>
      <c r="O118" s="3"/>
      <c r="P118" s="2"/>
      <c r="Q118" s="2"/>
    </row>
    <row r="119" spans="1:17">
      <c r="A119" s="76" t="s">
        <v>94</v>
      </c>
      <c r="B119" s="119">
        <v>1061</v>
      </c>
      <c r="C119" s="285">
        <v>0.68940870695256662</v>
      </c>
      <c r="D119" s="119">
        <v>453</v>
      </c>
      <c r="E119" s="285">
        <v>0.29434697855750486</v>
      </c>
      <c r="F119" s="119">
        <v>25</v>
      </c>
      <c r="G119" s="285">
        <v>1.62443144899285E-2</v>
      </c>
      <c r="H119" s="119">
        <v>478</v>
      </c>
      <c r="I119" s="285">
        <v>0.31059129304743338</v>
      </c>
      <c r="J119" s="119">
        <v>1539</v>
      </c>
      <c r="K119" s="3"/>
      <c r="L119" s="3"/>
      <c r="M119" s="3"/>
      <c r="N119" s="3"/>
      <c r="O119" s="3"/>
      <c r="P119" s="2"/>
      <c r="Q119" s="2"/>
    </row>
    <row r="120" spans="1:17">
      <c r="A120" s="76" t="s">
        <v>95</v>
      </c>
      <c r="B120" s="119">
        <v>371</v>
      </c>
      <c r="C120" s="285">
        <v>0.7713097713097713</v>
      </c>
      <c r="D120" s="119">
        <v>103</v>
      </c>
      <c r="E120" s="285">
        <v>0.21413721413721415</v>
      </c>
      <c r="F120" s="119">
        <v>7</v>
      </c>
      <c r="G120" s="285">
        <v>1.4553014553014554E-2</v>
      </c>
      <c r="H120" s="119">
        <v>110</v>
      </c>
      <c r="I120" s="285">
        <v>0.2286902286902287</v>
      </c>
      <c r="J120" s="119">
        <v>481</v>
      </c>
      <c r="K120" s="3"/>
      <c r="L120" s="3"/>
      <c r="M120" s="3"/>
      <c r="N120" s="3"/>
      <c r="O120" s="3"/>
      <c r="P120" s="2"/>
      <c r="Q120" s="2"/>
    </row>
    <row r="121" spans="1:17">
      <c r="A121" s="76" t="s">
        <v>96</v>
      </c>
      <c r="B121" s="119">
        <v>713</v>
      </c>
      <c r="C121" s="285">
        <v>0.72829417773238003</v>
      </c>
      <c r="D121" s="119">
        <v>198</v>
      </c>
      <c r="E121" s="285">
        <v>0.20224719101123595</v>
      </c>
      <c r="F121" s="119">
        <v>68</v>
      </c>
      <c r="G121" s="285">
        <v>6.945863125638406E-2</v>
      </c>
      <c r="H121" s="119">
        <v>266</v>
      </c>
      <c r="I121" s="285">
        <v>0.27170582226762002</v>
      </c>
      <c r="J121" s="119">
        <v>979</v>
      </c>
      <c r="K121" s="3"/>
      <c r="L121" s="3"/>
      <c r="M121" s="3"/>
      <c r="N121" s="3"/>
      <c r="O121" s="3"/>
      <c r="P121" s="2"/>
      <c r="Q121" s="2"/>
    </row>
    <row r="122" spans="1:17">
      <c r="A122" s="118" t="s">
        <v>97</v>
      </c>
      <c r="B122" s="18">
        <v>633</v>
      </c>
      <c r="C122" s="285">
        <v>0.75178147268408546</v>
      </c>
      <c r="D122" s="18">
        <v>118</v>
      </c>
      <c r="E122" s="285">
        <v>0.14014251781472684</v>
      </c>
      <c r="F122" s="18">
        <v>91</v>
      </c>
      <c r="G122" s="285">
        <v>0.10807600950118765</v>
      </c>
      <c r="H122" s="119">
        <v>209</v>
      </c>
      <c r="I122" s="285">
        <v>0.24821852731591448</v>
      </c>
      <c r="J122" s="18">
        <v>842</v>
      </c>
      <c r="K122" s="3"/>
      <c r="L122" s="3"/>
      <c r="M122" s="3"/>
      <c r="N122" s="3"/>
      <c r="O122" s="3"/>
      <c r="P122" s="2"/>
      <c r="Q122" s="2"/>
    </row>
    <row r="123" spans="1:17">
      <c r="A123" s="76" t="s">
        <v>98</v>
      </c>
      <c r="B123" s="119">
        <v>969</v>
      </c>
      <c r="C123" s="285">
        <v>0.80952380952380953</v>
      </c>
      <c r="D123" s="119">
        <v>175</v>
      </c>
      <c r="E123" s="285">
        <v>0.14619883040935672</v>
      </c>
      <c r="F123" s="119">
        <v>53</v>
      </c>
      <c r="G123" s="285">
        <v>4.4277360066833749E-2</v>
      </c>
      <c r="H123" s="119">
        <v>228</v>
      </c>
      <c r="I123" s="285">
        <v>0.19047619047619047</v>
      </c>
      <c r="J123" s="119">
        <v>1197</v>
      </c>
      <c r="K123" s="2"/>
      <c r="L123" s="2"/>
      <c r="M123" s="2"/>
      <c r="N123" s="2"/>
      <c r="O123" s="2"/>
      <c r="P123" s="2"/>
      <c r="Q123" s="2"/>
    </row>
    <row r="124" spans="1:17">
      <c r="A124" s="76" t="s">
        <v>99</v>
      </c>
      <c r="B124" s="18">
        <v>805</v>
      </c>
      <c r="C124" s="19">
        <v>0.8600427350427351</v>
      </c>
      <c r="D124" s="18">
        <v>109</v>
      </c>
      <c r="E124" s="19">
        <v>0.11645299145299146</v>
      </c>
      <c r="F124" s="18">
        <v>22</v>
      </c>
      <c r="G124" s="19">
        <v>2.3504273504273504E-2</v>
      </c>
      <c r="H124" s="18">
        <v>131</v>
      </c>
      <c r="I124" s="19">
        <v>0.13995726495726496</v>
      </c>
      <c r="J124" s="18">
        <v>936</v>
      </c>
      <c r="K124" s="2"/>
      <c r="L124" s="2"/>
      <c r="M124" s="2"/>
      <c r="N124" s="2"/>
      <c r="O124" s="2"/>
      <c r="P124" s="2"/>
      <c r="Q124" s="2"/>
    </row>
    <row r="125" spans="1:17">
      <c r="A125" s="76" t="s">
        <v>10</v>
      </c>
      <c r="B125" s="18">
        <v>2212</v>
      </c>
      <c r="C125" s="19">
        <v>0.79682997118155618</v>
      </c>
      <c r="D125" s="18">
        <v>325</v>
      </c>
      <c r="E125" s="19">
        <v>0.11707492795389049</v>
      </c>
      <c r="F125" s="18">
        <v>239</v>
      </c>
      <c r="G125" s="19">
        <v>8.6095100864553312E-2</v>
      </c>
      <c r="H125" s="18">
        <v>564</v>
      </c>
      <c r="I125" s="19">
        <v>0.20317002881844382</v>
      </c>
      <c r="J125" s="18">
        <v>2776</v>
      </c>
      <c r="K125" s="2"/>
      <c r="L125" s="2"/>
      <c r="M125" s="2"/>
      <c r="N125" s="2"/>
      <c r="O125" s="2"/>
      <c r="P125" s="2"/>
      <c r="Q125" s="2"/>
    </row>
    <row r="126" spans="1:17">
      <c r="A126" s="76" t="s">
        <v>11</v>
      </c>
      <c r="B126" s="18">
        <v>1968</v>
      </c>
      <c r="C126" s="19">
        <v>0.8392324093816631</v>
      </c>
      <c r="D126" s="76">
        <v>298</v>
      </c>
      <c r="E126" s="19">
        <v>0.12707889125799574</v>
      </c>
      <c r="F126" s="76">
        <v>79</v>
      </c>
      <c r="G126" s="19">
        <v>3.3688699360341148E-2</v>
      </c>
      <c r="H126" s="76">
        <v>377</v>
      </c>
      <c r="I126" s="19">
        <v>0.1607675906183369</v>
      </c>
      <c r="J126" s="18">
        <v>2345</v>
      </c>
      <c r="K126" s="2"/>
      <c r="L126" s="2"/>
      <c r="M126" s="2"/>
      <c r="N126" s="2"/>
      <c r="O126" s="2"/>
      <c r="P126" s="2"/>
      <c r="Q126" s="2"/>
    </row>
    <row r="127" spans="1:17">
      <c r="A127" s="118" t="s">
        <v>12</v>
      </c>
      <c r="B127" s="18">
        <v>1834</v>
      </c>
      <c r="C127" s="19">
        <f>B127/J127</f>
        <v>0.90078585461689586</v>
      </c>
      <c r="D127" s="18">
        <v>142</v>
      </c>
      <c r="E127" s="19">
        <f>D127/J127</f>
        <v>6.9744597249508836E-2</v>
      </c>
      <c r="F127" s="18">
        <v>60</v>
      </c>
      <c r="G127" s="19">
        <f>F127/J127</f>
        <v>2.9469548133595286E-2</v>
      </c>
      <c r="H127" s="18">
        <f>D127+F127</f>
        <v>202</v>
      </c>
      <c r="I127" s="19">
        <f>H127/J127</f>
        <v>9.9214145383104121E-2</v>
      </c>
      <c r="J127" s="18">
        <f>B127+D127+F127</f>
        <v>2036</v>
      </c>
      <c r="K127" s="2"/>
      <c r="L127" s="2"/>
      <c r="M127" s="2"/>
      <c r="N127" s="2"/>
      <c r="O127" s="2"/>
      <c r="P127" s="2"/>
      <c r="Q127" s="2"/>
    </row>
    <row r="128" spans="1:17">
      <c r="A128" s="118" t="s">
        <v>13</v>
      </c>
      <c r="B128" s="18">
        <v>1545</v>
      </c>
      <c r="C128" s="19">
        <f>B128/J128</f>
        <v>0.83468395461912481</v>
      </c>
      <c r="D128" s="18">
        <v>173</v>
      </c>
      <c r="E128" s="19">
        <f>D128/J128</f>
        <v>9.3462992976769313E-2</v>
      </c>
      <c r="F128" s="18">
        <v>133</v>
      </c>
      <c r="G128" s="19">
        <f>F128/J128</f>
        <v>7.1853052404105888E-2</v>
      </c>
      <c r="H128" s="18">
        <f>D128+F128</f>
        <v>306</v>
      </c>
      <c r="I128" s="19">
        <f>H128/J128</f>
        <v>0.16531604538087522</v>
      </c>
      <c r="J128" s="18">
        <f>B128+D128+F128</f>
        <v>1851</v>
      </c>
      <c r="K128" s="2"/>
      <c r="L128" s="2"/>
      <c r="M128" s="2"/>
      <c r="N128" s="2"/>
      <c r="O128" s="2"/>
      <c r="P128" s="2"/>
      <c r="Q128" s="2"/>
    </row>
    <row r="129" spans="1:17">
      <c r="A129" s="77" t="s">
        <v>14</v>
      </c>
      <c r="B129" s="20">
        <f>GETPIVOTDATA("Sum of Phase Net Units",'3'!$A$1,"Status","01 Completion","Tenure","Open Market")</f>
        <v>947</v>
      </c>
      <c r="C129" s="19">
        <f>B129/J129</f>
        <v>0.7120300751879699</v>
      </c>
      <c r="D129" s="20">
        <f>GETPIVOTDATA("Sum of Phase Net Units",'3'!$A$1,"Status","01 Completion","Tenure","Intermediate")</f>
        <v>196</v>
      </c>
      <c r="E129" s="19">
        <f>D129/J129</f>
        <v>0.14736842105263157</v>
      </c>
      <c r="F129" s="20">
        <f>GETPIVOTDATA("Sum of Phase Net Units",'3'!$A$1,"Status","01 Completion","Tenure","Social/Affordable Rent")</f>
        <v>187</v>
      </c>
      <c r="G129" s="19">
        <f>F129/J129</f>
        <v>0.14060150375939851</v>
      </c>
      <c r="H129" s="18">
        <f>D129+F129</f>
        <v>383</v>
      </c>
      <c r="I129" s="19">
        <f>H129/J129</f>
        <v>0.2879699248120301</v>
      </c>
      <c r="J129" s="18">
        <f>B129+D129+F129</f>
        <v>1330</v>
      </c>
      <c r="K129" s="2"/>
      <c r="L129" s="2"/>
      <c r="M129" s="2"/>
      <c r="N129" s="2"/>
      <c r="O129" s="2"/>
      <c r="P129" s="2"/>
      <c r="Q129" s="2"/>
    </row>
    <row r="130" spans="1:17">
      <c r="A130" s="55" t="s">
        <v>17</v>
      </c>
      <c r="B130" s="35">
        <f>SUM(B115:B129)</f>
        <v>17059</v>
      </c>
      <c r="C130" s="22">
        <f>B130/J130</f>
        <v>0.79399581103095185</v>
      </c>
      <c r="D130" s="35">
        <f>SUM(D115:D129)</f>
        <v>3263</v>
      </c>
      <c r="E130" s="22">
        <f>D130/J130</f>
        <v>0.15187340004654409</v>
      </c>
      <c r="F130" s="35">
        <f>SUM(F115:F129)</f>
        <v>1163</v>
      </c>
      <c r="G130" s="22">
        <f>F130/J130</f>
        <v>5.4130788922504072E-2</v>
      </c>
      <c r="H130" s="35">
        <f>SUM(H115:H129)</f>
        <v>4426</v>
      </c>
      <c r="I130" s="22">
        <f>H130/J130</f>
        <v>0.20600418896904818</v>
      </c>
      <c r="J130" s="35">
        <f>SUM(J115:J129)</f>
        <v>21485</v>
      </c>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131" t="s">
        <v>116</v>
      </c>
      <c r="B148" s="2"/>
      <c r="C148" s="2"/>
      <c r="D148" s="2"/>
      <c r="E148" s="2"/>
      <c r="F148" s="2"/>
      <c r="G148" s="2"/>
      <c r="H148" s="2"/>
      <c r="I148" s="2"/>
      <c r="J148" s="2"/>
      <c r="K148" s="2"/>
      <c r="L148" s="2"/>
      <c r="M148" s="2"/>
      <c r="N148" s="2"/>
      <c r="O148" s="2"/>
      <c r="P148" s="2"/>
      <c r="Q148" s="2"/>
    </row>
    <row r="149" spans="1:17">
      <c r="A149" s="7" t="s">
        <v>117</v>
      </c>
      <c r="B149" s="7" t="s">
        <v>118</v>
      </c>
      <c r="C149" s="2"/>
      <c r="D149" s="2"/>
      <c r="E149" s="2"/>
      <c r="F149" s="2"/>
      <c r="G149" s="2"/>
      <c r="H149" s="2"/>
      <c r="I149" s="2"/>
      <c r="J149" s="2"/>
      <c r="K149" s="2"/>
      <c r="L149" s="2"/>
      <c r="M149" s="2"/>
      <c r="N149" s="2"/>
      <c r="O149" s="2"/>
      <c r="P149" s="2"/>
      <c r="Q149" s="2"/>
    </row>
    <row r="150" spans="1:17">
      <c r="A150" s="226" t="s">
        <v>86</v>
      </c>
      <c r="B150" s="226"/>
      <c r="C150" s="198" t="s">
        <v>111</v>
      </c>
      <c r="D150" s="198"/>
      <c r="E150" s="225" t="s">
        <v>112</v>
      </c>
      <c r="F150" s="225"/>
      <c r="G150" s="225" t="s">
        <v>113</v>
      </c>
      <c r="H150" s="225"/>
      <c r="I150" s="198" t="s">
        <v>78</v>
      </c>
      <c r="J150" s="198"/>
      <c r="K150" s="54" t="s">
        <v>17</v>
      </c>
      <c r="L150" s="2"/>
      <c r="M150" s="2"/>
      <c r="N150" s="2"/>
      <c r="O150" s="2"/>
      <c r="P150" s="2"/>
      <c r="Q150" s="2"/>
    </row>
    <row r="151" spans="1:17">
      <c r="A151" s="226"/>
      <c r="B151" s="226"/>
      <c r="C151" s="54" t="s">
        <v>114</v>
      </c>
      <c r="D151" s="54" t="s">
        <v>115</v>
      </c>
      <c r="E151" s="54" t="s">
        <v>114</v>
      </c>
      <c r="F151" s="54" t="s">
        <v>115</v>
      </c>
      <c r="G151" s="54" t="s">
        <v>114</v>
      </c>
      <c r="H151" s="54" t="s">
        <v>115</v>
      </c>
      <c r="I151" s="54" t="s">
        <v>114</v>
      </c>
      <c r="J151" s="54" t="s">
        <v>115</v>
      </c>
      <c r="K151" s="54" t="s">
        <v>114</v>
      </c>
      <c r="L151" s="2"/>
      <c r="M151" s="2"/>
      <c r="N151" s="2"/>
      <c r="O151" s="2"/>
      <c r="P151" s="2"/>
      <c r="Q151" s="2"/>
    </row>
    <row r="152" spans="1:17">
      <c r="A152" s="191" t="s">
        <v>119</v>
      </c>
      <c r="B152" s="191"/>
      <c r="C152" s="24"/>
      <c r="D152" s="22"/>
      <c r="E152" s="24"/>
      <c r="F152" s="22">
        <v>0.4</v>
      </c>
      <c r="G152" s="24"/>
      <c r="H152" s="22">
        <v>0.6</v>
      </c>
      <c r="I152" s="24"/>
      <c r="J152" s="22">
        <v>0.15</v>
      </c>
      <c r="K152" s="24"/>
      <c r="L152" s="2"/>
      <c r="M152" s="2"/>
      <c r="N152" s="2"/>
      <c r="O152" s="2"/>
      <c r="P152" s="2"/>
      <c r="Q152" s="2"/>
    </row>
    <row r="153" spans="1:17">
      <c r="A153" s="284" t="s">
        <v>10</v>
      </c>
      <c r="B153" s="284"/>
      <c r="C153" s="18">
        <v>928</v>
      </c>
      <c r="D153" s="19">
        <f t="shared" ref="D153:D158" si="18">C153/K153</f>
        <v>0.90448343079922022</v>
      </c>
      <c r="E153" s="18">
        <v>98</v>
      </c>
      <c r="F153" s="21">
        <f t="shared" ref="F153:F158" si="19">E153/I153</f>
        <v>1</v>
      </c>
      <c r="G153" s="18">
        <v>0</v>
      </c>
      <c r="H153" s="21">
        <f t="shared" ref="H153:H158" si="20">G153/I153</f>
        <v>0</v>
      </c>
      <c r="I153" s="18">
        <f>E153+G153</f>
        <v>98</v>
      </c>
      <c r="J153" s="21">
        <f t="shared" ref="J153:J158" si="21">I153/K153</f>
        <v>9.5516569200779722E-2</v>
      </c>
      <c r="K153" s="18">
        <f>C153+E153+G153</f>
        <v>1026</v>
      </c>
      <c r="L153" s="2"/>
      <c r="M153" s="2"/>
      <c r="N153" s="2"/>
      <c r="O153" s="2"/>
      <c r="P153" s="2"/>
      <c r="Q153" s="2"/>
    </row>
    <row r="154" spans="1:17">
      <c r="A154" s="286" t="s">
        <v>11</v>
      </c>
      <c r="B154" s="286"/>
      <c r="C154" s="18">
        <v>604</v>
      </c>
      <c r="D154" s="19">
        <f t="shared" si="18"/>
        <v>0.80212483399734391</v>
      </c>
      <c r="E154" s="18">
        <v>126</v>
      </c>
      <c r="F154" s="21">
        <f t="shared" si="19"/>
        <v>0.84563758389261745</v>
      </c>
      <c r="G154" s="18">
        <v>23</v>
      </c>
      <c r="H154" s="21">
        <f t="shared" si="20"/>
        <v>0.15436241610738255</v>
      </c>
      <c r="I154" s="18">
        <f>E154+G154</f>
        <v>149</v>
      </c>
      <c r="J154" s="21">
        <f t="shared" si="21"/>
        <v>0.19787516600265603</v>
      </c>
      <c r="K154" s="18">
        <f>C154+E154+G154</f>
        <v>753</v>
      </c>
      <c r="L154" s="2"/>
      <c r="M154" s="2"/>
      <c r="N154" s="2"/>
      <c r="O154" s="2"/>
      <c r="P154" s="2"/>
      <c r="Q154" s="2"/>
    </row>
    <row r="155" spans="1:17">
      <c r="A155" s="269" t="s">
        <v>12</v>
      </c>
      <c r="B155" s="271"/>
      <c r="C155" s="18">
        <v>1181</v>
      </c>
      <c r="D155" s="19">
        <f t="shared" si="18"/>
        <v>0.92193598750975803</v>
      </c>
      <c r="E155" s="18">
        <v>100</v>
      </c>
      <c r="F155" s="21">
        <f t="shared" si="19"/>
        <v>1</v>
      </c>
      <c r="G155" s="18">
        <v>0</v>
      </c>
      <c r="H155" s="21">
        <f t="shared" si="20"/>
        <v>0</v>
      </c>
      <c r="I155" s="18">
        <f>E155+G155</f>
        <v>100</v>
      </c>
      <c r="J155" s="21">
        <f t="shared" si="21"/>
        <v>7.8064012490242002E-2</v>
      </c>
      <c r="K155" s="18">
        <f>C155+E155+G155</f>
        <v>1281</v>
      </c>
      <c r="L155" s="2"/>
      <c r="M155" s="2"/>
      <c r="N155" s="2"/>
      <c r="O155" s="2"/>
      <c r="P155" s="2"/>
      <c r="Q155" s="2"/>
    </row>
    <row r="156" spans="1:17">
      <c r="A156" s="269" t="s">
        <v>13</v>
      </c>
      <c r="B156" s="271"/>
      <c r="C156" s="18">
        <v>641</v>
      </c>
      <c r="D156" s="19">
        <f t="shared" si="18"/>
        <v>0.85924932975871315</v>
      </c>
      <c r="E156" s="18">
        <v>58</v>
      </c>
      <c r="F156" s="21">
        <f t="shared" si="19"/>
        <v>0.55238095238095242</v>
      </c>
      <c r="G156" s="18">
        <v>47</v>
      </c>
      <c r="H156" s="21">
        <f t="shared" si="20"/>
        <v>0.44761904761904764</v>
      </c>
      <c r="I156" s="18">
        <f>E156+G156</f>
        <v>105</v>
      </c>
      <c r="J156" s="21">
        <f t="shared" si="21"/>
        <v>0.14075067024128687</v>
      </c>
      <c r="K156" s="18">
        <f>C156+E156+G156</f>
        <v>746</v>
      </c>
      <c r="L156" s="2"/>
      <c r="M156" s="2"/>
      <c r="N156" s="2"/>
      <c r="O156" s="2"/>
      <c r="P156" s="2"/>
      <c r="Q156" s="2"/>
    </row>
    <row r="157" spans="1:17">
      <c r="A157" s="269" t="s">
        <v>14</v>
      </c>
      <c r="B157" s="271"/>
      <c r="C157" s="18">
        <f>GETPIVOTDATA("Phase Net Units",'8b and 8c'!$A$3,"Status","01 Completion","Tenure","Open Market","VNEB","Y")</f>
        <v>337</v>
      </c>
      <c r="D157" s="19">
        <f t="shared" si="18"/>
        <v>0.68775510204081636</v>
      </c>
      <c r="E157" s="18">
        <f>GETPIVOTDATA("Phase Net Units",'8b and 8c'!$A$3,"Status","01 Completion","Tenure","Intermediate","VNEB","Y")</f>
        <v>57</v>
      </c>
      <c r="F157" s="21">
        <f t="shared" si="19"/>
        <v>0.37254901960784315</v>
      </c>
      <c r="G157" s="18">
        <f>GETPIVOTDATA("Phase Net Units",'8b and 8c'!$A$3,"Status","01 Completion","Tenure","Social/Affordable Rent","VNEB","Y")</f>
        <v>96</v>
      </c>
      <c r="H157" s="21">
        <f t="shared" si="20"/>
        <v>0.62745098039215685</v>
      </c>
      <c r="I157" s="18">
        <f>E157+G157</f>
        <v>153</v>
      </c>
      <c r="J157" s="21">
        <f t="shared" si="21"/>
        <v>0.3122448979591837</v>
      </c>
      <c r="K157" s="18">
        <f>C157+E157+G157</f>
        <v>490</v>
      </c>
      <c r="L157" s="2"/>
      <c r="M157" s="2"/>
      <c r="N157" s="2"/>
      <c r="O157" s="2"/>
      <c r="P157" s="2"/>
      <c r="Q157" s="2"/>
    </row>
    <row r="158" spans="1:17">
      <c r="A158" s="292" t="s">
        <v>17</v>
      </c>
      <c r="B158" s="292"/>
      <c r="C158" s="35">
        <f>SUM(C153:C157)</f>
        <v>3691</v>
      </c>
      <c r="D158" s="22">
        <f t="shared" si="18"/>
        <v>0.85917132216014902</v>
      </c>
      <c r="E158" s="35">
        <f>SUM(E153:E157)</f>
        <v>439</v>
      </c>
      <c r="F158" s="22">
        <f t="shared" si="19"/>
        <v>0.72561983471074376</v>
      </c>
      <c r="G158" s="35">
        <f>SUM(G153:G157)</f>
        <v>166</v>
      </c>
      <c r="H158" s="22">
        <f t="shared" si="20"/>
        <v>0.27438016528925618</v>
      </c>
      <c r="I158" s="35">
        <f>SUM(I153:I157)</f>
        <v>605</v>
      </c>
      <c r="J158" s="22">
        <f t="shared" si="21"/>
        <v>0.14082867783985104</v>
      </c>
      <c r="K158" s="35">
        <f>SUM(K153:K157)</f>
        <v>4296</v>
      </c>
      <c r="L158" s="2"/>
      <c r="M158" s="2"/>
      <c r="N158" s="2"/>
      <c r="O158" s="2"/>
      <c r="P158" s="2"/>
      <c r="Q158" s="2"/>
    </row>
    <row r="159" spans="1:17">
      <c r="A159" s="64"/>
      <c r="B159" s="2"/>
      <c r="C159" s="2"/>
      <c r="D159" s="2"/>
      <c r="E159" s="2"/>
      <c r="F159" s="2"/>
      <c r="G159" s="2"/>
      <c r="H159" s="2"/>
      <c r="I159" s="2"/>
      <c r="J159" s="2"/>
      <c r="K159" s="2"/>
      <c r="L159" s="2"/>
      <c r="M159" s="2"/>
      <c r="N159" s="2"/>
      <c r="O159" s="2"/>
      <c r="P159" s="2"/>
      <c r="Q159" s="2"/>
    </row>
    <row r="160" spans="1:17">
      <c r="A160" s="7" t="s">
        <v>120</v>
      </c>
      <c r="B160" s="7" t="s">
        <v>121</v>
      </c>
      <c r="C160" s="2"/>
      <c r="D160" s="2"/>
      <c r="E160" s="2"/>
      <c r="F160" s="2"/>
      <c r="G160" s="2"/>
      <c r="H160" s="2"/>
      <c r="I160" s="2"/>
      <c r="J160" s="2"/>
      <c r="K160" s="2"/>
      <c r="L160" s="2"/>
      <c r="M160" s="2"/>
      <c r="N160" s="2"/>
      <c r="O160" s="2"/>
      <c r="P160" s="2"/>
      <c r="Q160" s="2"/>
    </row>
    <row r="161" spans="1:17">
      <c r="A161" s="195" t="s">
        <v>86</v>
      </c>
      <c r="B161" s="195"/>
      <c r="C161" s="198" t="s">
        <v>111</v>
      </c>
      <c r="D161" s="198"/>
      <c r="E161" s="225" t="s">
        <v>112</v>
      </c>
      <c r="F161" s="225"/>
      <c r="G161" s="225" t="s">
        <v>113</v>
      </c>
      <c r="H161" s="225"/>
      <c r="I161" s="198" t="s">
        <v>78</v>
      </c>
      <c r="J161" s="198"/>
      <c r="K161" s="54" t="s">
        <v>17</v>
      </c>
      <c r="L161" s="2"/>
      <c r="M161" s="2"/>
      <c r="N161" s="2"/>
      <c r="O161" s="2"/>
      <c r="P161" s="2"/>
      <c r="Q161" s="2"/>
    </row>
    <row r="162" spans="1:17">
      <c r="A162" s="195"/>
      <c r="B162" s="195"/>
      <c r="C162" s="54" t="s">
        <v>114</v>
      </c>
      <c r="D162" s="54" t="s">
        <v>115</v>
      </c>
      <c r="E162" s="54" t="s">
        <v>114</v>
      </c>
      <c r="F162" s="54" t="s">
        <v>115</v>
      </c>
      <c r="G162" s="54" t="s">
        <v>114</v>
      </c>
      <c r="H162" s="54" t="s">
        <v>115</v>
      </c>
      <c r="I162" s="54" t="s">
        <v>114</v>
      </c>
      <c r="J162" s="54" t="s">
        <v>115</v>
      </c>
      <c r="K162" s="54" t="s">
        <v>114</v>
      </c>
      <c r="L162" s="2"/>
      <c r="M162" s="2"/>
      <c r="N162" s="2"/>
      <c r="O162" s="2"/>
      <c r="P162" s="2"/>
      <c r="Q162" s="2"/>
    </row>
    <row r="163" spans="1:17">
      <c r="A163" s="292" t="s">
        <v>122</v>
      </c>
      <c r="B163" s="292"/>
      <c r="C163" s="24"/>
      <c r="D163" s="22"/>
      <c r="E163" s="24"/>
      <c r="F163" s="22">
        <v>0.4</v>
      </c>
      <c r="G163" s="24"/>
      <c r="H163" s="22">
        <v>0.6</v>
      </c>
      <c r="I163" s="24"/>
      <c r="J163" s="22">
        <v>0.33</v>
      </c>
      <c r="K163" s="24"/>
      <c r="L163" s="2"/>
      <c r="M163" s="2"/>
      <c r="N163" s="2"/>
      <c r="O163" s="2"/>
      <c r="P163" s="2"/>
      <c r="Q163" s="2"/>
    </row>
    <row r="164" spans="1:17">
      <c r="A164" s="284" t="s">
        <v>10</v>
      </c>
      <c r="B164" s="284"/>
      <c r="C164" s="18">
        <v>982</v>
      </c>
      <c r="D164" s="19">
        <f t="shared" ref="D164:D169" si="22">C164/K164</f>
        <v>0.68099861303744802</v>
      </c>
      <c r="E164" s="18">
        <v>227</v>
      </c>
      <c r="F164" s="21">
        <f t="shared" ref="F164:F169" si="23">E164/I164</f>
        <v>0.4934782608695652</v>
      </c>
      <c r="G164" s="18">
        <v>233</v>
      </c>
      <c r="H164" s="21">
        <f t="shared" ref="H164:H169" si="24">G164/I164</f>
        <v>0.50652173913043474</v>
      </c>
      <c r="I164" s="18">
        <f>E164+G164</f>
        <v>460</v>
      </c>
      <c r="J164" s="21">
        <f t="shared" ref="J164:J169" si="25">I164/K164</f>
        <v>0.31900138696255204</v>
      </c>
      <c r="K164" s="18">
        <f>C164+E164+G164</f>
        <v>1442</v>
      </c>
      <c r="L164" s="2"/>
      <c r="M164" s="2"/>
      <c r="N164" s="2"/>
      <c r="O164" s="2"/>
      <c r="P164" s="2"/>
      <c r="Q164" s="2"/>
    </row>
    <row r="165" spans="1:17">
      <c r="A165" s="286" t="s">
        <v>11</v>
      </c>
      <c r="B165" s="286"/>
      <c r="C165" s="18">
        <v>765</v>
      </c>
      <c r="D165" s="19">
        <f t="shared" si="22"/>
        <v>0.7766497461928934</v>
      </c>
      <c r="E165" s="18">
        <v>171</v>
      </c>
      <c r="F165" s="21">
        <f t="shared" si="23"/>
        <v>0.77727272727272723</v>
      </c>
      <c r="G165" s="18">
        <v>49</v>
      </c>
      <c r="H165" s="21">
        <f t="shared" si="24"/>
        <v>0.22272727272727272</v>
      </c>
      <c r="I165" s="18">
        <f>E165+G165</f>
        <v>220</v>
      </c>
      <c r="J165" s="21">
        <f t="shared" si="25"/>
        <v>0.2233502538071066</v>
      </c>
      <c r="K165" s="18">
        <f>C165+E165+G165</f>
        <v>985</v>
      </c>
      <c r="L165" s="2"/>
      <c r="M165" s="2"/>
      <c r="N165" s="2"/>
      <c r="O165" s="2"/>
      <c r="P165" s="2"/>
      <c r="Q165" s="2"/>
    </row>
    <row r="166" spans="1:17">
      <c r="A166" s="269" t="s">
        <v>12</v>
      </c>
      <c r="B166" s="271"/>
      <c r="C166" s="18">
        <v>653</v>
      </c>
      <c r="D166" s="19">
        <f t="shared" si="22"/>
        <v>0.91842475386779188</v>
      </c>
      <c r="E166" s="18">
        <v>42</v>
      </c>
      <c r="F166" s="21">
        <f t="shared" si="23"/>
        <v>0.72413793103448276</v>
      </c>
      <c r="G166" s="18">
        <v>16</v>
      </c>
      <c r="H166" s="21">
        <f t="shared" si="24"/>
        <v>0.27586206896551724</v>
      </c>
      <c r="I166" s="18">
        <f>E166+G166</f>
        <v>58</v>
      </c>
      <c r="J166" s="21">
        <f t="shared" si="25"/>
        <v>8.1575246132208151E-2</v>
      </c>
      <c r="K166" s="18">
        <f>C166+E166+G166</f>
        <v>711</v>
      </c>
      <c r="L166" s="2"/>
      <c r="M166" s="2"/>
      <c r="N166" s="2"/>
      <c r="O166" s="2"/>
      <c r="P166" s="2"/>
      <c r="Q166" s="2"/>
    </row>
    <row r="167" spans="1:17">
      <c r="A167" s="269" t="s">
        <v>13</v>
      </c>
      <c r="B167" s="271"/>
      <c r="C167" s="18">
        <v>675</v>
      </c>
      <c r="D167" s="19">
        <f t="shared" si="22"/>
        <v>0.78671328671328666</v>
      </c>
      <c r="E167" s="18">
        <v>119</v>
      </c>
      <c r="F167" s="21">
        <f t="shared" si="23"/>
        <v>0.65027322404371579</v>
      </c>
      <c r="G167" s="18">
        <v>64</v>
      </c>
      <c r="H167" s="21">
        <f t="shared" si="24"/>
        <v>0.34972677595628415</v>
      </c>
      <c r="I167" s="18">
        <f>E167+G167</f>
        <v>183</v>
      </c>
      <c r="J167" s="21">
        <f t="shared" si="25"/>
        <v>0.21328671328671328</v>
      </c>
      <c r="K167" s="18">
        <f>C167+E167+G167</f>
        <v>858</v>
      </c>
      <c r="L167" s="2"/>
      <c r="M167" s="2"/>
      <c r="N167" s="2"/>
      <c r="O167" s="2"/>
      <c r="P167" s="2"/>
      <c r="Q167" s="2"/>
    </row>
    <row r="168" spans="1:17">
      <c r="A168" s="269" t="s">
        <v>14</v>
      </c>
      <c r="B168" s="271"/>
      <c r="C168" s="18">
        <f>GETPIVOTDATA("Phase Net Units",'8b and 8c'!$A$3,"Status","01 Completion","Tenure","Open Market","VNEB",)</f>
        <v>375</v>
      </c>
      <c r="D168" s="19">
        <f t="shared" si="22"/>
        <v>0.62814070351758799</v>
      </c>
      <c r="E168" s="18">
        <f>GETPIVOTDATA("Phase Net Units",'8b and 8c'!$A$3,"Status","01 Completion","Tenure","Intermediate","VNEB",)</f>
        <v>139</v>
      </c>
      <c r="F168" s="21">
        <f t="shared" si="23"/>
        <v>0.62612612612612617</v>
      </c>
      <c r="G168" s="18">
        <f>GETPIVOTDATA("Phase Net Units",'8b and 8c'!$A$3,"Status","01 Completion","Tenure","Social/Affordable Rent","VNEB",)</f>
        <v>83</v>
      </c>
      <c r="H168" s="21">
        <f t="shared" si="24"/>
        <v>0.37387387387387389</v>
      </c>
      <c r="I168" s="18">
        <f>E168+G168</f>
        <v>222</v>
      </c>
      <c r="J168" s="21">
        <f t="shared" si="25"/>
        <v>0.37185929648241206</v>
      </c>
      <c r="K168" s="18">
        <f>C168+E168+G168</f>
        <v>597</v>
      </c>
      <c r="L168" s="2"/>
      <c r="M168" s="2"/>
      <c r="N168" s="2"/>
      <c r="O168" s="2"/>
      <c r="P168" s="2"/>
      <c r="Q168" s="2"/>
    </row>
    <row r="169" spans="1:17">
      <c r="A169" s="292" t="s">
        <v>17</v>
      </c>
      <c r="B169" s="292"/>
      <c r="C169" s="35">
        <f>SUM(C164:C168)</f>
        <v>3450</v>
      </c>
      <c r="D169" s="22">
        <f t="shared" si="22"/>
        <v>0.75114304376224694</v>
      </c>
      <c r="E169" s="35">
        <f>SUM(E164:E168)</f>
        <v>698</v>
      </c>
      <c r="F169" s="22">
        <f t="shared" si="23"/>
        <v>0.61067366579177607</v>
      </c>
      <c r="G169" s="35">
        <f>SUM(G164:G168)</f>
        <v>445</v>
      </c>
      <c r="H169" s="22">
        <f t="shared" si="24"/>
        <v>0.38932633420822399</v>
      </c>
      <c r="I169" s="35">
        <f>SUM(I164:I168)</f>
        <v>1143</v>
      </c>
      <c r="J169" s="22">
        <f t="shared" si="25"/>
        <v>0.24885695623775311</v>
      </c>
      <c r="K169" s="35">
        <f>SUM(K164:K168)</f>
        <v>4593</v>
      </c>
      <c r="L169" s="2"/>
      <c r="M169" s="2"/>
      <c r="N169" s="2"/>
      <c r="O169" s="2"/>
      <c r="P169" s="2"/>
      <c r="Q169" s="2"/>
    </row>
    <row r="170" spans="1:17">
      <c r="A170" s="64"/>
      <c r="B170" s="2"/>
      <c r="C170" s="2"/>
      <c r="D170" s="2"/>
      <c r="E170" s="2"/>
      <c r="F170" s="2"/>
      <c r="G170" s="2"/>
      <c r="H170" s="2"/>
      <c r="I170" s="2"/>
      <c r="J170" s="2"/>
      <c r="K170" s="2"/>
      <c r="L170" s="2"/>
      <c r="M170" s="2"/>
      <c r="N170" s="2"/>
      <c r="O170" s="2"/>
      <c r="P170" s="2"/>
      <c r="Q170" s="2"/>
    </row>
    <row r="171" spans="1:17">
      <c r="A171" s="131" t="s">
        <v>123</v>
      </c>
      <c r="B171" s="2"/>
      <c r="C171" s="2"/>
      <c r="D171" s="2"/>
      <c r="E171" s="2"/>
      <c r="F171" s="2"/>
      <c r="G171" s="2"/>
      <c r="H171" s="2"/>
      <c r="I171" s="2"/>
      <c r="J171" s="2"/>
      <c r="K171" s="2"/>
      <c r="L171" s="2"/>
      <c r="M171" s="2"/>
      <c r="N171" s="2"/>
      <c r="O171" s="2"/>
      <c r="P171" s="2"/>
      <c r="Q171" s="2"/>
    </row>
    <row r="172" spans="1:17">
      <c r="A172" s="7" t="s">
        <v>124</v>
      </c>
      <c r="B172" s="7" t="s">
        <v>125</v>
      </c>
      <c r="C172" s="3"/>
      <c r="D172" s="3"/>
      <c r="E172" s="3"/>
      <c r="F172" s="3"/>
      <c r="G172" s="3"/>
      <c r="H172" s="2"/>
      <c r="I172" s="2"/>
      <c r="J172" s="2"/>
      <c r="K172" s="2"/>
      <c r="L172" s="2"/>
      <c r="M172" s="2"/>
      <c r="N172" s="2"/>
      <c r="O172" s="2"/>
      <c r="P172" s="2"/>
      <c r="Q172" s="2"/>
    </row>
    <row r="173" spans="1:17">
      <c r="A173" s="206" t="s">
        <v>86</v>
      </c>
      <c r="B173" s="223" t="s">
        <v>59</v>
      </c>
      <c r="C173" s="224"/>
      <c r="D173" s="223" t="s">
        <v>60</v>
      </c>
      <c r="E173" s="224"/>
      <c r="F173" s="223" t="s">
        <v>17</v>
      </c>
      <c r="G173" s="224"/>
      <c r="H173" s="2"/>
      <c r="I173" s="2"/>
      <c r="J173" s="2"/>
      <c r="K173" s="2"/>
      <c r="L173" s="2"/>
      <c r="M173" s="2"/>
      <c r="N173" s="2"/>
      <c r="O173" s="2"/>
      <c r="P173" s="2"/>
      <c r="Q173" s="2"/>
    </row>
    <row r="174" spans="1:17">
      <c r="A174" s="208"/>
      <c r="B174" s="54" t="s">
        <v>80</v>
      </c>
      <c r="C174" s="54" t="s">
        <v>62</v>
      </c>
      <c r="D174" s="54" t="s">
        <v>80</v>
      </c>
      <c r="E174" s="54" t="s">
        <v>62</v>
      </c>
      <c r="F174" s="54" t="s">
        <v>80</v>
      </c>
      <c r="G174" s="54" t="s">
        <v>62</v>
      </c>
      <c r="H174" s="2"/>
      <c r="I174" s="2"/>
      <c r="J174" s="2"/>
      <c r="K174" s="2"/>
      <c r="L174" s="2"/>
      <c r="M174" s="2"/>
      <c r="N174" s="2"/>
      <c r="O174" s="2"/>
      <c r="P174" s="2"/>
      <c r="Q174" s="2"/>
    </row>
    <row r="175" spans="1:17">
      <c r="A175" s="76" t="s">
        <v>90</v>
      </c>
      <c r="B175" s="18">
        <v>1137</v>
      </c>
      <c r="C175" s="18">
        <v>1100</v>
      </c>
      <c r="D175" s="18">
        <v>366</v>
      </c>
      <c r="E175" s="18">
        <v>204</v>
      </c>
      <c r="F175" s="18">
        <v>1503</v>
      </c>
      <c r="G175" s="18">
        <v>1304</v>
      </c>
      <c r="H175" s="2"/>
      <c r="I175" s="2"/>
      <c r="J175" s="2"/>
      <c r="K175" s="2"/>
      <c r="L175" s="2"/>
      <c r="M175" s="2"/>
      <c r="N175" s="2"/>
      <c r="O175" s="2"/>
      <c r="P175" s="2"/>
      <c r="Q175" s="2"/>
    </row>
    <row r="176" spans="1:17">
      <c r="A176" s="76" t="s">
        <v>91</v>
      </c>
      <c r="B176" s="18">
        <v>1121</v>
      </c>
      <c r="C176" s="18">
        <v>1080</v>
      </c>
      <c r="D176" s="18">
        <v>401</v>
      </c>
      <c r="E176" s="18">
        <v>198</v>
      </c>
      <c r="F176" s="18">
        <v>1522</v>
      </c>
      <c r="G176" s="18">
        <v>1278</v>
      </c>
      <c r="H176" s="2"/>
      <c r="I176" s="2"/>
      <c r="J176" s="2"/>
      <c r="K176" s="2"/>
      <c r="L176" s="2"/>
      <c r="M176" s="2"/>
      <c r="N176" s="2"/>
      <c r="O176" s="2"/>
      <c r="P176" s="2"/>
      <c r="Q176" s="2"/>
    </row>
    <row r="177" spans="1:17">
      <c r="A177" s="76" t="s">
        <v>92</v>
      </c>
      <c r="B177" s="18">
        <v>885</v>
      </c>
      <c r="C177" s="18">
        <v>840</v>
      </c>
      <c r="D177" s="18">
        <v>385</v>
      </c>
      <c r="E177" s="18">
        <v>191</v>
      </c>
      <c r="F177" s="18">
        <v>1270</v>
      </c>
      <c r="G177" s="18">
        <v>1031</v>
      </c>
      <c r="H177" s="2"/>
      <c r="I177" s="2"/>
      <c r="J177" s="2"/>
      <c r="K177" s="2"/>
      <c r="L177" s="2"/>
      <c r="M177" s="2"/>
      <c r="N177" s="2"/>
      <c r="O177" s="2"/>
      <c r="P177" s="2"/>
      <c r="Q177" s="2"/>
    </row>
    <row r="178" spans="1:17">
      <c r="A178" s="76" t="s">
        <v>93</v>
      </c>
      <c r="B178" s="18">
        <v>1425</v>
      </c>
      <c r="C178" s="18">
        <v>1385</v>
      </c>
      <c r="D178" s="18">
        <v>430</v>
      </c>
      <c r="E178" s="18">
        <v>175</v>
      </c>
      <c r="F178" s="18">
        <v>1855</v>
      </c>
      <c r="G178" s="18">
        <v>1560</v>
      </c>
      <c r="H178" s="2"/>
      <c r="I178" s="2"/>
      <c r="J178" s="2"/>
      <c r="K178" s="2"/>
      <c r="L178" s="2"/>
      <c r="M178" s="2"/>
      <c r="N178" s="2"/>
      <c r="O178" s="2"/>
      <c r="P178" s="2"/>
      <c r="Q178" s="2"/>
    </row>
    <row r="179" spans="1:17">
      <c r="A179" s="76" t="s">
        <v>94</v>
      </c>
      <c r="B179" s="18">
        <v>1466</v>
      </c>
      <c r="C179" s="18">
        <v>1413</v>
      </c>
      <c r="D179" s="18">
        <v>279</v>
      </c>
      <c r="E179" s="18">
        <v>126</v>
      </c>
      <c r="F179" s="18">
        <v>1745</v>
      </c>
      <c r="G179" s="18">
        <v>1539</v>
      </c>
      <c r="H179" s="2"/>
      <c r="I179" s="2"/>
      <c r="J179" s="2"/>
      <c r="K179" s="2"/>
      <c r="L179" s="2"/>
      <c r="M179" s="2"/>
      <c r="N179" s="2"/>
      <c r="O179" s="2"/>
      <c r="P179" s="2"/>
      <c r="Q179" s="2"/>
    </row>
    <row r="180" spans="1:17">
      <c r="A180" s="76" t="s">
        <v>95</v>
      </c>
      <c r="B180" s="18">
        <v>375</v>
      </c>
      <c r="C180" s="18">
        <v>340</v>
      </c>
      <c r="D180" s="18">
        <v>295</v>
      </c>
      <c r="E180" s="18">
        <v>141</v>
      </c>
      <c r="F180" s="18">
        <v>670</v>
      </c>
      <c r="G180" s="18">
        <v>481</v>
      </c>
      <c r="H180" s="2"/>
      <c r="I180" s="2"/>
      <c r="J180" s="2"/>
      <c r="K180" s="2"/>
      <c r="L180" s="2"/>
      <c r="M180" s="2"/>
      <c r="N180" s="2"/>
      <c r="O180" s="2"/>
      <c r="P180" s="2"/>
      <c r="Q180" s="2"/>
    </row>
    <row r="181" spans="1:17">
      <c r="A181" s="76" t="s">
        <v>96</v>
      </c>
      <c r="B181" s="18">
        <v>889</v>
      </c>
      <c r="C181" s="18">
        <v>851</v>
      </c>
      <c r="D181" s="18">
        <v>250</v>
      </c>
      <c r="E181" s="18">
        <v>128</v>
      </c>
      <c r="F181" s="18">
        <v>1139</v>
      </c>
      <c r="G181" s="18">
        <v>979</v>
      </c>
      <c r="H181" s="2"/>
      <c r="I181" s="2"/>
      <c r="J181" s="2"/>
      <c r="K181" s="2"/>
      <c r="L181" s="2"/>
      <c r="M181" s="2"/>
      <c r="N181" s="2"/>
      <c r="O181" s="2"/>
      <c r="P181" s="2"/>
      <c r="Q181" s="2"/>
    </row>
    <row r="182" spans="1:17">
      <c r="A182" s="76" t="s">
        <v>97</v>
      </c>
      <c r="B182" s="18">
        <v>854</v>
      </c>
      <c r="C182" s="18">
        <v>721</v>
      </c>
      <c r="D182" s="18">
        <v>242</v>
      </c>
      <c r="E182" s="18">
        <v>121</v>
      </c>
      <c r="F182" s="18">
        <v>1096</v>
      </c>
      <c r="G182" s="18">
        <v>842</v>
      </c>
      <c r="H182" s="2"/>
      <c r="I182" s="2"/>
      <c r="J182" s="2"/>
      <c r="K182" s="2"/>
      <c r="L182" s="2"/>
      <c r="M182" s="2"/>
      <c r="N182" s="2"/>
      <c r="O182" s="2"/>
      <c r="P182" s="2"/>
      <c r="Q182" s="2"/>
    </row>
    <row r="183" spans="1:17">
      <c r="A183" s="76" t="s">
        <v>98</v>
      </c>
      <c r="B183" s="18">
        <v>1098</v>
      </c>
      <c r="C183" s="18">
        <v>1079</v>
      </c>
      <c r="D183" s="18">
        <v>226</v>
      </c>
      <c r="E183" s="18">
        <v>118</v>
      </c>
      <c r="F183" s="18">
        <v>1324</v>
      </c>
      <c r="G183" s="18">
        <v>1197</v>
      </c>
      <c r="H183" s="2"/>
      <c r="I183" s="2"/>
      <c r="J183" s="2"/>
      <c r="K183" s="2"/>
      <c r="L183" s="2"/>
      <c r="M183" s="2"/>
      <c r="N183" s="2"/>
      <c r="O183" s="2"/>
      <c r="P183" s="2"/>
      <c r="Q183" s="2"/>
    </row>
    <row r="184" spans="1:17">
      <c r="A184" s="76" t="s">
        <v>99</v>
      </c>
      <c r="B184" s="18">
        <v>868</v>
      </c>
      <c r="C184" s="18">
        <v>812</v>
      </c>
      <c r="D184" s="18">
        <v>217</v>
      </c>
      <c r="E184" s="18">
        <v>124</v>
      </c>
      <c r="F184" s="18">
        <v>1085</v>
      </c>
      <c r="G184" s="18">
        <v>936</v>
      </c>
      <c r="H184" s="2"/>
      <c r="I184" s="2"/>
      <c r="J184" s="2"/>
      <c r="K184" s="2"/>
      <c r="L184" s="2"/>
      <c r="M184" s="2"/>
      <c r="N184" s="2"/>
      <c r="O184" s="2"/>
      <c r="P184" s="2"/>
      <c r="Q184" s="2"/>
    </row>
    <row r="185" spans="1:17">
      <c r="A185" s="76" t="s">
        <v>10</v>
      </c>
      <c r="B185" s="18">
        <v>2753</v>
      </c>
      <c r="C185" s="18">
        <v>2639</v>
      </c>
      <c r="D185" s="18">
        <v>224</v>
      </c>
      <c r="E185" s="18">
        <v>137</v>
      </c>
      <c r="F185" s="18">
        <v>2977</v>
      </c>
      <c r="G185" s="18">
        <v>2776</v>
      </c>
      <c r="H185" s="2"/>
      <c r="I185" s="2"/>
      <c r="J185" s="2"/>
      <c r="K185" s="2"/>
      <c r="L185" s="2"/>
      <c r="M185" s="2"/>
      <c r="N185" s="2"/>
      <c r="O185" s="2"/>
      <c r="P185" s="2"/>
      <c r="Q185" s="2"/>
    </row>
    <row r="186" spans="1:17">
      <c r="A186" s="76" t="s">
        <v>11</v>
      </c>
      <c r="B186" s="18">
        <v>2047</v>
      </c>
      <c r="C186" s="18">
        <v>1968</v>
      </c>
      <c r="D186" s="18">
        <v>478</v>
      </c>
      <c r="E186" s="18">
        <v>377</v>
      </c>
      <c r="F186" s="18">
        <v>2525</v>
      </c>
      <c r="G186" s="18">
        <v>2345</v>
      </c>
      <c r="H186" s="2"/>
      <c r="I186" s="2"/>
      <c r="J186" s="2"/>
      <c r="K186" s="2"/>
      <c r="L186" s="2"/>
      <c r="M186" s="2"/>
      <c r="N186" s="2"/>
      <c r="O186" s="2"/>
      <c r="P186" s="2"/>
      <c r="Q186" s="2"/>
    </row>
    <row r="187" spans="1:17">
      <c r="A187" s="76" t="s">
        <v>12</v>
      </c>
      <c r="B187" s="18">
        <v>1943</v>
      </c>
      <c r="C187" s="18">
        <v>1912</v>
      </c>
      <c r="D187" s="18">
        <v>356</v>
      </c>
      <c r="E187" s="18">
        <v>124</v>
      </c>
      <c r="F187" s="18">
        <v>2299</v>
      </c>
      <c r="G187" s="18">
        <v>2036</v>
      </c>
      <c r="H187" s="2"/>
      <c r="I187" s="2"/>
      <c r="J187" s="2"/>
      <c r="K187" s="2"/>
      <c r="L187" s="2"/>
      <c r="M187" s="2"/>
      <c r="N187" s="2"/>
      <c r="O187" s="2"/>
      <c r="P187" s="2"/>
      <c r="Q187" s="2"/>
    </row>
    <row r="188" spans="1:17">
      <c r="A188" s="76" t="s">
        <v>13</v>
      </c>
      <c r="B188" s="18">
        <v>1672</v>
      </c>
      <c r="C188" s="18">
        <v>1623</v>
      </c>
      <c r="D188" s="18">
        <v>342</v>
      </c>
      <c r="E188" s="18">
        <v>228</v>
      </c>
      <c r="F188" s="18">
        <v>2014</v>
      </c>
      <c r="G188" s="18">
        <v>1851</v>
      </c>
      <c r="H188" s="2"/>
      <c r="I188" s="2"/>
      <c r="J188" s="2"/>
      <c r="K188" s="2"/>
      <c r="L188" s="2"/>
      <c r="M188" s="2"/>
      <c r="N188" s="2"/>
      <c r="O188" s="2"/>
      <c r="P188" s="2"/>
      <c r="Q188" s="2"/>
    </row>
    <row r="189" spans="1:17">
      <c r="A189" s="78" t="s">
        <v>14</v>
      </c>
      <c r="B189" s="20">
        <f>GETPIVOTDATA("Sum of Phase Proposed Units",'2 NB'!$A$4,"Status","01 Completion")</f>
        <v>1096</v>
      </c>
      <c r="C189" s="20">
        <f>GETPIVOTDATA("Sum of Phase Net Units",'2 NB'!$A$4,"Status","01 Completion")</f>
        <v>1071</v>
      </c>
      <c r="D189" s="20">
        <f>GETPIVOTDATA("Sum of Phase Proposed Units",'2 CON'!$A$4,"Status","01 Completion")</f>
        <v>325</v>
      </c>
      <c r="E189" s="20">
        <f>GETPIVOTDATA("Sum of Phase Net Units",'2 CON'!$A$4,"Status","01 Completion")</f>
        <v>259</v>
      </c>
      <c r="F189" s="20">
        <f>B189+D189</f>
        <v>1421</v>
      </c>
      <c r="G189" s="20">
        <f>C189+E189</f>
        <v>1330</v>
      </c>
      <c r="H189" s="2"/>
      <c r="I189" s="2"/>
      <c r="J189" s="2"/>
      <c r="K189" s="2"/>
      <c r="L189" s="2"/>
      <c r="M189" s="2"/>
      <c r="N189" s="2"/>
      <c r="O189" s="2"/>
      <c r="P189" s="2"/>
      <c r="Q189" s="2"/>
    </row>
    <row r="190" spans="1:17">
      <c r="A190" s="55" t="s">
        <v>17</v>
      </c>
      <c r="B190" s="35">
        <f t="shared" ref="B190:G190" si="26">SUM(B175:B189)</f>
        <v>19629</v>
      </c>
      <c r="C190" s="35">
        <f t="shared" si="26"/>
        <v>18834</v>
      </c>
      <c r="D190" s="35">
        <f t="shared" si="26"/>
        <v>4816</v>
      </c>
      <c r="E190" s="35">
        <f t="shared" si="26"/>
        <v>2651</v>
      </c>
      <c r="F190" s="35">
        <f t="shared" si="26"/>
        <v>24445</v>
      </c>
      <c r="G190" s="35">
        <f t="shared" si="26"/>
        <v>21485</v>
      </c>
      <c r="H190" s="2"/>
      <c r="I190" s="2"/>
      <c r="J190" s="2"/>
      <c r="K190" s="2"/>
      <c r="L190" s="2"/>
      <c r="M190" s="2"/>
      <c r="N190" s="2"/>
      <c r="O190" s="2"/>
      <c r="P190" s="2"/>
      <c r="Q190" s="2"/>
    </row>
    <row r="191" spans="1:17">
      <c r="A191" s="65"/>
      <c r="B191" s="12"/>
      <c r="C191" s="12"/>
      <c r="D191" s="12"/>
      <c r="E191" s="12"/>
      <c r="F191" s="12"/>
      <c r="G191" s="12"/>
      <c r="H191" s="2"/>
      <c r="I191" s="2"/>
      <c r="J191" s="2"/>
      <c r="K191" s="2"/>
      <c r="L191" s="2"/>
      <c r="M191" s="2"/>
      <c r="N191" s="2"/>
      <c r="O191" s="2"/>
      <c r="P191" s="2"/>
      <c r="Q191" s="2"/>
    </row>
    <row r="192" spans="1:17" ht="15.75">
      <c r="A192" s="133" t="s">
        <v>104</v>
      </c>
      <c r="B192" s="3"/>
      <c r="C192" s="3"/>
      <c r="D192" s="3"/>
      <c r="E192" s="3"/>
      <c r="F192" s="3"/>
      <c r="G192" s="3"/>
      <c r="H192" s="2"/>
      <c r="I192" s="2"/>
      <c r="J192" s="2"/>
      <c r="K192" s="2"/>
      <c r="L192" s="3"/>
      <c r="M192" s="3"/>
      <c r="N192" s="3"/>
      <c r="O192" s="3"/>
      <c r="P192" s="2"/>
      <c r="Q192" s="2"/>
    </row>
    <row r="193" spans="1:17">
      <c r="B193" s="2"/>
      <c r="C193" s="2"/>
      <c r="D193" s="2"/>
      <c r="E193" s="2"/>
      <c r="F193" s="2"/>
      <c r="G193" s="2"/>
      <c r="H193" s="2"/>
      <c r="I193" s="2"/>
      <c r="J193" s="2"/>
      <c r="K193" s="2"/>
      <c r="L193" s="3"/>
      <c r="M193" s="3"/>
      <c r="N193" s="3"/>
      <c r="O193" s="3"/>
      <c r="P193" s="2"/>
      <c r="Q193" s="2"/>
    </row>
    <row r="194" spans="1:17">
      <c r="A194" s="7" t="s">
        <v>126</v>
      </c>
      <c r="B194" s="7" t="s">
        <v>127</v>
      </c>
      <c r="C194" s="3"/>
      <c r="D194" s="3"/>
      <c r="E194" s="3"/>
      <c r="F194" s="3"/>
      <c r="G194" s="3"/>
      <c r="H194" s="3"/>
      <c r="I194" s="3"/>
      <c r="J194" s="3"/>
      <c r="K194" s="3"/>
      <c r="L194" s="3"/>
      <c r="M194" s="3"/>
      <c r="N194" s="3"/>
      <c r="O194" s="3"/>
      <c r="P194" s="2"/>
      <c r="Q194" s="2"/>
    </row>
    <row r="195" spans="1:17">
      <c r="A195" s="206" t="s">
        <v>86</v>
      </c>
      <c r="B195" s="198" t="s">
        <v>75</v>
      </c>
      <c r="C195" s="198"/>
      <c r="D195" s="198" t="s">
        <v>54</v>
      </c>
      <c r="E195" s="198"/>
      <c r="F195" s="198" t="s">
        <v>55</v>
      </c>
      <c r="G195" s="198"/>
      <c r="H195" s="198" t="s">
        <v>78</v>
      </c>
      <c r="I195" s="198"/>
      <c r="J195" s="54" t="s">
        <v>17</v>
      </c>
      <c r="K195" s="3"/>
      <c r="L195" s="3"/>
      <c r="M195" s="3"/>
      <c r="N195" s="3"/>
      <c r="O195" s="3"/>
      <c r="P195" s="2"/>
      <c r="Q195" s="2"/>
    </row>
    <row r="196" spans="1:17">
      <c r="A196" s="208"/>
      <c r="B196" s="54" t="s">
        <v>114</v>
      </c>
      <c r="C196" s="54" t="s">
        <v>115</v>
      </c>
      <c r="D196" s="54" t="s">
        <v>114</v>
      </c>
      <c r="E196" s="54" t="s">
        <v>115</v>
      </c>
      <c r="F196" s="54" t="s">
        <v>114</v>
      </c>
      <c r="G196" s="54" t="s">
        <v>115</v>
      </c>
      <c r="H196" s="54" t="s">
        <v>114</v>
      </c>
      <c r="I196" s="54" t="s">
        <v>115</v>
      </c>
      <c r="J196" s="54" t="s">
        <v>114</v>
      </c>
      <c r="K196" s="3"/>
      <c r="L196" s="3"/>
      <c r="M196" s="3"/>
      <c r="N196" s="3"/>
      <c r="O196" s="3"/>
      <c r="P196" s="2"/>
      <c r="Q196" s="2"/>
    </row>
    <row r="197" spans="1:17">
      <c r="A197" s="76" t="s">
        <v>90</v>
      </c>
      <c r="B197" s="18">
        <v>809</v>
      </c>
      <c r="C197" s="19">
        <v>0.80099009900990104</v>
      </c>
      <c r="D197" s="18">
        <v>168</v>
      </c>
      <c r="E197" s="19">
        <v>0.16633663366336635</v>
      </c>
      <c r="F197" s="18">
        <v>33</v>
      </c>
      <c r="G197" s="19">
        <v>3.2673267326732675E-2</v>
      </c>
      <c r="H197" s="18">
        <v>201</v>
      </c>
      <c r="I197" s="19">
        <v>0.19900990099009902</v>
      </c>
      <c r="J197" s="18">
        <v>1010</v>
      </c>
      <c r="K197" s="3"/>
      <c r="L197" s="3"/>
      <c r="M197" s="3"/>
      <c r="N197" s="3"/>
      <c r="O197" s="3"/>
      <c r="P197" s="2"/>
      <c r="Q197" s="2"/>
    </row>
    <row r="198" spans="1:17">
      <c r="A198" s="76" t="s">
        <v>91</v>
      </c>
      <c r="B198" s="18">
        <v>1300</v>
      </c>
      <c r="C198" s="19">
        <v>0.67567567567567566</v>
      </c>
      <c r="D198" s="18">
        <v>548</v>
      </c>
      <c r="E198" s="19">
        <v>0.28482328482328484</v>
      </c>
      <c r="F198" s="18">
        <v>76</v>
      </c>
      <c r="G198" s="19">
        <v>3.9501039501039503E-2</v>
      </c>
      <c r="H198" s="18">
        <v>624</v>
      </c>
      <c r="I198" s="19">
        <v>0.32432432432432434</v>
      </c>
      <c r="J198" s="18">
        <v>1924</v>
      </c>
      <c r="K198" s="3"/>
      <c r="L198" s="3"/>
      <c r="M198" s="3"/>
      <c r="N198" s="3"/>
      <c r="O198" s="3"/>
      <c r="P198" s="2"/>
      <c r="Q198" s="2"/>
    </row>
    <row r="199" spans="1:17">
      <c r="A199" s="76" t="s">
        <v>92</v>
      </c>
      <c r="B199" s="18">
        <v>974</v>
      </c>
      <c r="C199" s="19">
        <v>0.59535452322738391</v>
      </c>
      <c r="D199" s="18">
        <v>609</v>
      </c>
      <c r="E199" s="19">
        <v>0.37224938875305624</v>
      </c>
      <c r="F199" s="18">
        <v>53</v>
      </c>
      <c r="G199" s="19">
        <v>3.2396088019559899E-2</v>
      </c>
      <c r="H199" s="18">
        <v>662</v>
      </c>
      <c r="I199" s="19">
        <v>0.40464547677261614</v>
      </c>
      <c r="J199" s="18">
        <v>1636</v>
      </c>
      <c r="K199" s="3"/>
      <c r="L199" s="3"/>
      <c r="M199" s="3"/>
      <c r="N199" s="3"/>
      <c r="O199" s="3"/>
      <c r="P199" s="2"/>
      <c r="Q199" s="2"/>
    </row>
    <row r="200" spans="1:17">
      <c r="A200" s="76" t="s">
        <v>93</v>
      </c>
      <c r="B200" s="18">
        <v>482</v>
      </c>
      <c r="C200" s="19">
        <v>0.80199667221297832</v>
      </c>
      <c r="D200" s="18">
        <v>116</v>
      </c>
      <c r="E200" s="19">
        <v>0.1930116472545757</v>
      </c>
      <c r="F200" s="18">
        <v>3</v>
      </c>
      <c r="G200" s="19">
        <v>4.9916805324459234E-3</v>
      </c>
      <c r="H200" s="18">
        <v>119</v>
      </c>
      <c r="I200" s="19">
        <v>0.19800332778702162</v>
      </c>
      <c r="J200" s="18">
        <v>601</v>
      </c>
      <c r="K200" s="3"/>
      <c r="L200" s="3"/>
      <c r="M200" s="3"/>
      <c r="N200" s="3"/>
      <c r="O200" s="3"/>
      <c r="P200" s="2"/>
      <c r="Q200" s="2"/>
    </row>
    <row r="201" spans="1:17">
      <c r="A201" s="76" t="s">
        <v>94</v>
      </c>
      <c r="B201" s="18">
        <v>358</v>
      </c>
      <c r="C201" s="19">
        <v>0.77489177489177485</v>
      </c>
      <c r="D201" s="18">
        <v>63</v>
      </c>
      <c r="E201" s="19">
        <v>0.13636363636363635</v>
      </c>
      <c r="F201" s="18">
        <v>41</v>
      </c>
      <c r="G201" s="19">
        <v>8.8744588744588751E-2</v>
      </c>
      <c r="H201" s="18">
        <v>104</v>
      </c>
      <c r="I201" s="19">
        <v>0.22510822510822501</v>
      </c>
      <c r="J201" s="18">
        <v>462</v>
      </c>
      <c r="K201" s="3"/>
      <c r="L201" s="3"/>
      <c r="M201" s="3"/>
      <c r="N201" s="3"/>
      <c r="O201" s="3"/>
      <c r="P201" s="2"/>
      <c r="Q201" s="2"/>
    </row>
    <row r="202" spans="1:17">
      <c r="A202" s="76" t="s">
        <v>95</v>
      </c>
      <c r="B202" s="18">
        <v>1127</v>
      </c>
      <c r="C202" s="19">
        <v>0.73708306082406805</v>
      </c>
      <c r="D202" s="18">
        <v>215</v>
      </c>
      <c r="E202" s="19">
        <v>0.1406147809025507</v>
      </c>
      <c r="F202" s="18">
        <v>187</v>
      </c>
      <c r="G202" s="19">
        <v>0.1223021582733813</v>
      </c>
      <c r="H202" s="18">
        <v>402</v>
      </c>
      <c r="I202" s="19">
        <v>0.26291693917593201</v>
      </c>
      <c r="J202" s="18">
        <v>1529</v>
      </c>
      <c r="K202" s="2"/>
      <c r="L202" s="2"/>
      <c r="M202" s="2"/>
      <c r="N202" s="2"/>
      <c r="O202" s="2"/>
      <c r="P202" s="2"/>
      <c r="Q202" s="2"/>
    </row>
    <row r="203" spans="1:17">
      <c r="A203" s="76" t="s">
        <v>96</v>
      </c>
      <c r="B203" s="18">
        <v>1728</v>
      </c>
      <c r="C203" s="19">
        <v>0.8</v>
      </c>
      <c r="D203" s="18">
        <v>302</v>
      </c>
      <c r="E203" s="19">
        <v>0.13981481481481481</v>
      </c>
      <c r="F203" s="18">
        <v>130</v>
      </c>
      <c r="G203" s="19">
        <v>6.0185185185185182E-2</v>
      </c>
      <c r="H203" s="18">
        <v>432</v>
      </c>
      <c r="I203" s="19">
        <v>0.2</v>
      </c>
      <c r="J203" s="18">
        <v>2160</v>
      </c>
      <c r="K203" s="2"/>
      <c r="L203" s="2"/>
      <c r="M203" s="2"/>
      <c r="N203" s="2"/>
      <c r="O203" s="2"/>
      <c r="P203" s="2"/>
      <c r="Q203" s="2"/>
    </row>
    <row r="204" spans="1:17">
      <c r="A204" s="76" t="s">
        <v>97</v>
      </c>
      <c r="B204" s="18">
        <v>1075</v>
      </c>
      <c r="C204" s="19">
        <v>0.89807852965747703</v>
      </c>
      <c r="D204" s="18">
        <v>149</v>
      </c>
      <c r="E204" s="19">
        <v>0.12447786131996658</v>
      </c>
      <c r="F204" s="18">
        <v>-27</v>
      </c>
      <c r="G204" s="19">
        <v>-2.2556390977443608E-2</v>
      </c>
      <c r="H204" s="18">
        <v>122</v>
      </c>
      <c r="I204" s="19">
        <v>0.10192147034252297</v>
      </c>
      <c r="J204" s="18">
        <v>1197</v>
      </c>
      <c r="K204" s="3"/>
      <c r="L204" s="3"/>
      <c r="M204" s="3"/>
      <c r="N204" s="3"/>
      <c r="O204" s="3"/>
      <c r="P204" s="2"/>
      <c r="Q204" s="2"/>
    </row>
    <row r="205" spans="1:17">
      <c r="A205" s="76" t="s">
        <v>98</v>
      </c>
      <c r="B205" s="119">
        <v>2053</v>
      </c>
      <c r="C205" s="285">
        <v>0.85827759197324416</v>
      </c>
      <c r="D205" s="119">
        <v>223</v>
      </c>
      <c r="E205" s="285">
        <v>9.3227424749163873E-2</v>
      </c>
      <c r="F205" s="119">
        <v>116</v>
      </c>
      <c r="G205" s="285">
        <v>4.8494983277591976E-2</v>
      </c>
      <c r="H205" s="119">
        <v>339</v>
      </c>
      <c r="I205" s="285">
        <v>0.14172240802675584</v>
      </c>
      <c r="J205" s="119">
        <v>2392</v>
      </c>
      <c r="K205" s="2"/>
      <c r="L205" s="2"/>
      <c r="M205" s="2"/>
      <c r="N205" s="2"/>
      <c r="O205" s="2"/>
      <c r="P205" s="2"/>
      <c r="Q205" s="2"/>
    </row>
    <row r="206" spans="1:17">
      <c r="A206" s="76" t="s">
        <v>99</v>
      </c>
      <c r="B206" s="18">
        <v>914</v>
      </c>
      <c r="C206" s="19">
        <v>0.80599647266313934</v>
      </c>
      <c r="D206" s="18">
        <v>196</v>
      </c>
      <c r="E206" s="19">
        <v>0.1728395061728395</v>
      </c>
      <c r="F206" s="18">
        <v>24</v>
      </c>
      <c r="G206" s="19">
        <v>2.1164021164021163E-2</v>
      </c>
      <c r="H206" s="18">
        <v>220</v>
      </c>
      <c r="I206" s="19">
        <v>0.19400352733686066</v>
      </c>
      <c r="J206" s="18">
        <v>1134</v>
      </c>
      <c r="K206" s="2"/>
      <c r="L206" s="2"/>
      <c r="M206" s="2"/>
      <c r="N206" s="2"/>
      <c r="O206" s="2"/>
      <c r="P206" s="2"/>
      <c r="Q206" s="2"/>
    </row>
    <row r="207" spans="1:17">
      <c r="A207" s="76" t="s">
        <v>10</v>
      </c>
      <c r="B207" s="18">
        <v>1686</v>
      </c>
      <c r="C207" s="19">
        <v>0.87675507020280807</v>
      </c>
      <c r="D207" s="18">
        <v>146</v>
      </c>
      <c r="E207" s="19">
        <v>7.5923036921476852E-2</v>
      </c>
      <c r="F207" s="18">
        <v>91</v>
      </c>
      <c r="G207" s="19">
        <v>4.7321892875715026E-2</v>
      </c>
      <c r="H207" s="18">
        <v>237</v>
      </c>
      <c r="I207" s="19">
        <v>0.12324492979719189</v>
      </c>
      <c r="J207" s="18">
        <v>1923</v>
      </c>
      <c r="K207" s="3"/>
      <c r="L207" s="3"/>
      <c r="M207" s="3"/>
      <c r="N207" s="3"/>
      <c r="O207" s="3"/>
      <c r="P207" s="2"/>
      <c r="Q207" s="2"/>
    </row>
    <row r="208" spans="1:17">
      <c r="A208" s="76" t="s">
        <v>11</v>
      </c>
      <c r="B208" s="18">
        <v>2776</v>
      </c>
      <c r="C208" s="19">
        <v>0.85652576365319344</v>
      </c>
      <c r="D208" s="18">
        <v>233</v>
      </c>
      <c r="E208" s="19">
        <v>7.1891391545819194E-2</v>
      </c>
      <c r="F208" s="18">
        <v>232</v>
      </c>
      <c r="G208" s="19">
        <v>7.1582844800987352E-2</v>
      </c>
      <c r="H208" s="18">
        <v>465</v>
      </c>
      <c r="I208" s="19">
        <v>0.14347423634680653</v>
      </c>
      <c r="J208" s="18">
        <v>3241</v>
      </c>
      <c r="K208" s="3"/>
      <c r="L208" s="3"/>
      <c r="M208" s="3"/>
      <c r="N208" s="3"/>
      <c r="O208" s="3"/>
      <c r="P208" s="2"/>
      <c r="Q208" s="2"/>
    </row>
    <row r="209" spans="1:17">
      <c r="A209" s="76" t="s">
        <v>12</v>
      </c>
      <c r="B209" s="18">
        <v>1669</v>
      </c>
      <c r="C209" s="19">
        <f>B209/J209</f>
        <v>0.79476190476190478</v>
      </c>
      <c r="D209" s="18">
        <v>269</v>
      </c>
      <c r="E209" s="19">
        <f>D209/J209</f>
        <v>0.1280952380952381</v>
      </c>
      <c r="F209" s="18">
        <v>162</v>
      </c>
      <c r="G209" s="19">
        <f>F209/J209</f>
        <v>7.7142857142857138E-2</v>
      </c>
      <c r="H209" s="18">
        <f>F209+D209</f>
        <v>431</v>
      </c>
      <c r="I209" s="19">
        <f>H209/J209</f>
        <v>0.20523809523809525</v>
      </c>
      <c r="J209" s="18">
        <f>H209+B209</f>
        <v>2100</v>
      </c>
      <c r="K209" s="3"/>
      <c r="L209" s="3"/>
      <c r="M209" s="3"/>
      <c r="N209" s="3"/>
      <c r="O209" s="3"/>
      <c r="P209" s="2"/>
      <c r="Q209" s="2"/>
    </row>
    <row r="210" spans="1:17">
      <c r="A210" s="76" t="s">
        <v>13</v>
      </c>
      <c r="B210" s="18">
        <v>1276</v>
      </c>
      <c r="C210" s="19">
        <f>B210/J210</f>
        <v>0.68675995694294945</v>
      </c>
      <c r="D210" s="18">
        <v>509</v>
      </c>
      <c r="E210" s="19">
        <f>D210/J210</f>
        <v>0.27395048439181918</v>
      </c>
      <c r="F210" s="18">
        <v>73</v>
      </c>
      <c r="G210" s="19">
        <f>F210/J210</f>
        <v>3.9289558665231435E-2</v>
      </c>
      <c r="H210" s="18">
        <f>F210+D210</f>
        <v>582</v>
      </c>
      <c r="I210" s="19">
        <f>H210/J210</f>
        <v>0.31324004305705061</v>
      </c>
      <c r="J210" s="18">
        <f>H210+B210</f>
        <v>1858</v>
      </c>
      <c r="K210" s="3"/>
      <c r="L210" s="3"/>
      <c r="M210" s="3"/>
      <c r="N210" s="3"/>
      <c r="O210" s="3"/>
      <c r="P210" s="2"/>
      <c r="Q210" s="2"/>
    </row>
    <row r="211" spans="1:17">
      <c r="A211" s="78" t="s">
        <v>14</v>
      </c>
      <c r="B211" s="20">
        <f>GETPIVOTDATA("Phase Net Units",'7 Star'!$A$3,"Tenure","Open Market")</f>
        <v>2884</v>
      </c>
      <c r="C211" s="21">
        <f>B211/J211</f>
        <v>0.74176954732510292</v>
      </c>
      <c r="D211" s="20">
        <f>GETPIVOTDATA("Phase Net Units",'7 Star'!$A$3,"Tenure","Intermediate")</f>
        <v>528</v>
      </c>
      <c r="E211" s="21">
        <f>D211/J211</f>
        <v>0.13580246913580246</v>
      </c>
      <c r="F211" s="20">
        <f>GETPIVOTDATA("Phase Net Units",'7 Star'!$A$3,"Tenure","Social/Affordable Rent")</f>
        <v>476</v>
      </c>
      <c r="G211" s="21">
        <f>F211/J211</f>
        <v>0.12242798353909465</v>
      </c>
      <c r="H211" s="20">
        <f>F211+D211</f>
        <v>1004</v>
      </c>
      <c r="I211" s="21">
        <f>H211/J211</f>
        <v>0.25823045267489714</v>
      </c>
      <c r="J211" s="20">
        <f>H211+B211</f>
        <v>3888</v>
      </c>
      <c r="K211" s="3"/>
      <c r="L211" s="3"/>
      <c r="M211" s="3"/>
      <c r="N211" s="3"/>
      <c r="O211" s="3"/>
      <c r="P211" s="2"/>
      <c r="Q211" s="2"/>
    </row>
    <row r="212" spans="1:17">
      <c r="A212" s="55" t="s">
        <v>17</v>
      </c>
      <c r="B212" s="35">
        <f>SUM(B197:B211)</f>
        <v>21111</v>
      </c>
      <c r="C212" s="22">
        <f>B212/J212</f>
        <v>0.78029939013121419</v>
      </c>
      <c r="D212" s="35">
        <f>SUM(D197:D211)</f>
        <v>4274</v>
      </c>
      <c r="E212" s="22">
        <f>D212/J212</f>
        <v>0.1579744963962299</v>
      </c>
      <c r="F212" s="35">
        <f>SUM(F197:F211)</f>
        <v>1670</v>
      </c>
      <c r="G212" s="22">
        <f>F212/J212</f>
        <v>6.1726113472555903E-2</v>
      </c>
      <c r="H212" s="35">
        <f>SUM(H197:H211)</f>
        <v>5944</v>
      </c>
      <c r="I212" s="22">
        <f>H212/J212</f>
        <v>0.21970060986878581</v>
      </c>
      <c r="J212" s="35">
        <f>SUM(J197:J211)</f>
        <v>27055</v>
      </c>
      <c r="K212" s="3"/>
      <c r="L212" s="3"/>
      <c r="M212" s="3"/>
      <c r="N212" s="3"/>
      <c r="O212" s="3"/>
      <c r="P212" s="2"/>
      <c r="Q212" s="2"/>
    </row>
    <row r="213" spans="1:17">
      <c r="A213" s="2"/>
      <c r="B213" s="2"/>
      <c r="C213" s="2"/>
      <c r="D213" s="2"/>
      <c r="E213" s="2"/>
      <c r="F213" s="2"/>
      <c r="G213" s="2"/>
      <c r="H213" s="2"/>
      <c r="I213" s="2"/>
      <c r="J213" s="2"/>
      <c r="K213" s="2"/>
      <c r="L213" s="3"/>
      <c r="M213" s="3"/>
      <c r="N213" s="3"/>
      <c r="O213" s="3"/>
      <c r="P213" s="2"/>
      <c r="Q213" s="2"/>
    </row>
    <row r="214" spans="1:17" ht="15.75">
      <c r="A214" s="133" t="s">
        <v>128</v>
      </c>
      <c r="B214" s="3"/>
      <c r="C214" s="3"/>
      <c r="D214" s="3"/>
      <c r="E214" s="3"/>
      <c r="F214" s="3"/>
      <c r="G214" s="3"/>
      <c r="H214" s="3"/>
      <c r="I214" s="3"/>
      <c r="J214" s="3"/>
      <c r="K214" s="3"/>
      <c r="L214" s="3"/>
      <c r="M214" s="3"/>
      <c r="N214" s="3"/>
      <c r="O214" s="3"/>
      <c r="P214" s="2"/>
      <c r="Q214" s="2"/>
    </row>
    <row r="215" spans="1:17">
      <c r="A215" s="2"/>
      <c r="B215" s="2"/>
      <c r="C215" s="2"/>
      <c r="D215" s="2"/>
      <c r="E215" s="2"/>
      <c r="F215" s="2"/>
      <c r="G215" s="2"/>
      <c r="H215" s="2"/>
      <c r="I215" s="2"/>
      <c r="J215" s="2"/>
      <c r="K215" s="2"/>
      <c r="L215" s="3"/>
      <c r="M215" s="3"/>
      <c r="N215" s="3"/>
      <c r="O215" s="3"/>
      <c r="P215" s="2"/>
      <c r="Q215" s="2"/>
    </row>
    <row r="216" spans="1:17">
      <c r="A216" s="7" t="s">
        <v>129</v>
      </c>
      <c r="B216" s="7" t="s">
        <v>130</v>
      </c>
      <c r="C216" s="3"/>
      <c r="D216" s="3"/>
      <c r="E216" s="3"/>
      <c r="F216" s="3"/>
      <c r="G216" s="3"/>
      <c r="H216" s="3"/>
      <c r="I216" s="3"/>
      <c r="J216" s="3"/>
      <c r="K216" s="3"/>
      <c r="L216" s="3"/>
      <c r="M216" s="3"/>
      <c r="N216" s="3"/>
      <c r="O216" s="3"/>
      <c r="P216" s="2"/>
      <c r="Q216" s="2"/>
    </row>
    <row r="217" spans="1:17">
      <c r="A217" s="206" t="s">
        <v>86</v>
      </c>
      <c r="B217" s="198" t="s">
        <v>131</v>
      </c>
      <c r="C217" s="198"/>
      <c r="D217" s="198" t="s">
        <v>132</v>
      </c>
      <c r="E217" s="198"/>
      <c r="F217" s="198" t="s">
        <v>17</v>
      </c>
      <c r="G217" s="198"/>
      <c r="H217" s="3"/>
      <c r="I217" s="3"/>
      <c r="J217" s="3"/>
      <c r="K217" s="3"/>
      <c r="L217" s="3"/>
      <c r="M217" s="3"/>
      <c r="N217" s="3"/>
      <c r="O217" s="3"/>
      <c r="P217" s="2"/>
      <c r="Q217" s="2"/>
    </row>
    <row r="218" spans="1:17">
      <c r="A218" s="208"/>
      <c r="B218" s="54" t="s">
        <v>80</v>
      </c>
      <c r="C218" s="54" t="s">
        <v>62</v>
      </c>
      <c r="D218" s="54" t="s">
        <v>80</v>
      </c>
      <c r="E218" s="54" t="s">
        <v>62</v>
      </c>
      <c r="F218" s="54" t="s">
        <v>80</v>
      </c>
      <c r="G218" s="54" t="s">
        <v>62</v>
      </c>
      <c r="H218" s="3"/>
      <c r="I218" s="3"/>
      <c r="J218" s="3"/>
      <c r="K218" s="3"/>
      <c r="L218" s="3"/>
      <c r="M218" s="3"/>
      <c r="N218" s="3"/>
      <c r="O218" s="3"/>
      <c r="P218" s="2"/>
      <c r="Q218" s="2"/>
    </row>
    <row r="219" spans="1:17">
      <c r="A219" s="76" t="s">
        <v>90</v>
      </c>
      <c r="B219" s="18">
        <v>1682</v>
      </c>
      <c r="C219" s="18">
        <v>1591</v>
      </c>
      <c r="D219" s="18">
        <v>497</v>
      </c>
      <c r="E219" s="18">
        <v>294</v>
      </c>
      <c r="F219" s="18">
        <v>2179</v>
      </c>
      <c r="G219" s="18">
        <v>1885</v>
      </c>
      <c r="H219" s="3"/>
      <c r="I219" s="3"/>
      <c r="J219" s="3"/>
      <c r="K219" s="3"/>
      <c r="L219" s="3"/>
      <c r="M219" s="3"/>
      <c r="N219" s="3"/>
      <c r="O219" s="3"/>
      <c r="P219" s="2"/>
      <c r="Q219" s="2"/>
    </row>
    <row r="220" spans="1:17">
      <c r="A220" s="76" t="s">
        <v>91</v>
      </c>
      <c r="B220" s="18">
        <v>2464</v>
      </c>
      <c r="C220" s="18">
        <v>2423</v>
      </c>
      <c r="D220" s="18">
        <v>497</v>
      </c>
      <c r="E220" s="18">
        <v>229</v>
      </c>
      <c r="F220" s="18">
        <v>2961</v>
      </c>
      <c r="G220" s="18">
        <v>2652</v>
      </c>
      <c r="H220" s="3"/>
      <c r="I220" s="3"/>
      <c r="J220" s="3"/>
      <c r="K220" s="3"/>
      <c r="L220" s="3"/>
      <c r="M220" s="3"/>
      <c r="N220" s="3"/>
      <c r="O220" s="3"/>
      <c r="P220" s="2"/>
      <c r="Q220" s="2"/>
    </row>
    <row r="221" spans="1:17">
      <c r="A221" s="76" t="s">
        <v>92</v>
      </c>
      <c r="B221" s="18">
        <v>1920</v>
      </c>
      <c r="C221" s="18">
        <v>1798</v>
      </c>
      <c r="D221" s="18">
        <v>520</v>
      </c>
      <c r="E221" s="18">
        <v>239</v>
      </c>
      <c r="F221" s="18">
        <v>2440</v>
      </c>
      <c r="G221" s="18">
        <v>2037</v>
      </c>
      <c r="H221" s="3"/>
      <c r="I221" s="3"/>
      <c r="J221" s="3"/>
      <c r="K221" s="3"/>
      <c r="L221" s="3"/>
      <c r="M221" s="3"/>
      <c r="N221" s="3"/>
      <c r="O221" s="3"/>
      <c r="P221" s="2"/>
      <c r="Q221" s="2"/>
    </row>
    <row r="222" spans="1:17">
      <c r="A222" s="76" t="s">
        <v>93</v>
      </c>
      <c r="B222" s="18">
        <v>1547</v>
      </c>
      <c r="C222" s="18">
        <v>1486</v>
      </c>
      <c r="D222" s="18">
        <v>423</v>
      </c>
      <c r="E222" s="18">
        <v>219</v>
      </c>
      <c r="F222" s="18">
        <v>1970</v>
      </c>
      <c r="G222" s="18">
        <v>1705</v>
      </c>
      <c r="H222" s="3"/>
      <c r="I222" s="3"/>
      <c r="J222" s="3"/>
      <c r="K222" s="3"/>
      <c r="L222" s="3"/>
      <c r="M222" s="3"/>
      <c r="N222" s="3"/>
      <c r="O222" s="3"/>
      <c r="P222" s="2"/>
      <c r="Q222" s="2"/>
    </row>
    <row r="223" spans="1:17">
      <c r="A223" s="76" t="s">
        <v>94</v>
      </c>
      <c r="B223" s="18">
        <v>1162</v>
      </c>
      <c r="C223" s="18">
        <v>1131</v>
      </c>
      <c r="D223" s="18">
        <v>298</v>
      </c>
      <c r="E223" s="18">
        <v>139</v>
      </c>
      <c r="F223" s="18">
        <v>1460</v>
      </c>
      <c r="G223" s="18">
        <v>1270</v>
      </c>
      <c r="H223" s="3"/>
      <c r="I223" s="3"/>
      <c r="J223" s="3"/>
      <c r="K223" s="3"/>
      <c r="L223" s="3"/>
      <c r="M223" s="3"/>
      <c r="N223" s="3"/>
      <c r="O223" s="3"/>
      <c r="P223" s="2"/>
      <c r="Q223" s="2"/>
    </row>
    <row r="224" spans="1:17">
      <c r="A224" s="76" t="s">
        <v>95</v>
      </c>
      <c r="B224" s="18">
        <v>2807</v>
      </c>
      <c r="C224" s="18">
        <v>2756</v>
      </c>
      <c r="D224" s="18">
        <v>346</v>
      </c>
      <c r="E224" s="18">
        <v>178</v>
      </c>
      <c r="F224" s="18">
        <v>3153</v>
      </c>
      <c r="G224" s="18">
        <v>2934</v>
      </c>
      <c r="H224" s="3"/>
      <c r="I224" s="3"/>
      <c r="J224" s="3"/>
      <c r="K224" s="3"/>
      <c r="L224" s="3"/>
      <c r="M224" s="3"/>
      <c r="N224" s="3"/>
      <c r="O224" s="3"/>
      <c r="P224" s="2"/>
      <c r="Q224" s="2"/>
    </row>
    <row r="225" spans="1:17">
      <c r="A225" s="76" t="s">
        <v>96</v>
      </c>
      <c r="B225" s="18">
        <v>10369</v>
      </c>
      <c r="C225" s="18">
        <v>10302</v>
      </c>
      <c r="D225" s="18">
        <v>352</v>
      </c>
      <c r="E225" s="18">
        <v>196</v>
      </c>
      <c r="F225" s="18">
        <v>10721</v>
      </c>
      <c r="G225" s="18">
        <v>10498</v>
      </c>
      <c r="H225" s="3"/>
      <c r="I225" s="3"/>
      <c r="J225" s="3"/>
      <c r="K225" s="3"/>
      <c r="L225" s="3"/>
      <c r="M225" s="3"/>
      <c r="N225" s="3"/>
      <c r="O225" s="3"/>
      <c r="P225" s="2"/>
      <c r="Q225" s="2"/>
    </row>
    <row r="226" spans="1:17">
      <c r="A226" s="118" t="s">
        <v>97</v>
      </c>
      <c r="B226" s="18">
        <v>5033</v>
      </c>
      <c r="C226" s="18">
        <v>4632</v>
      </c>
      <c r="D226" s="18">
        <v>275</v>
      </c>
      <c r="E226" s="18">
        <v>143</v>
      </c>
      <c r="F226" s="18">
        <v>5308</v>
      </c>
      <c r="G226" s="18">
        <v>4775</v>
      </c>
      <c r="H226" s="3"/>
      <c r="I226" s="3"/>
      <c r="J226" s="3"/>
      <c r="K226" s="3"/>
      <c r="L226" s="3"/>
      <c r="M226" s="3"/>
      <c r="N226" s="3"/>
      <c r="O226" s="3"/>
      <c r="P226" s="2"/>
      <c r="Q226" s="2"/>
    </row>
    <row r="227" spans="1:17">
      <c r="A227" s="118" t="s">
        <v>98</v>
      </c>
      <c r="B227" s="18">
        <v>1690</v>
      </c>
      <c r="C227" s="18">
        <v>1590</v>
      </c>
      <c r="D227" s="18">
        <v>576</v>
      </c>
      <c r="E227" s="18">
        <v>416</v>
      </c>
      <c r="F227" s="18">
        <v>2266</v>
      </c>
      <c r="G227" s="18">
        <v>2006</v>
      </c>
      <c r="H227" s="3"/>
      <c r="I227" s="3"/>
      <c r="J227" s="3"/>
      <c r="K227" s="3"/>
      <c r="L227" s="3"/>
      <c r="M227" s="3"/>
      <c r="N227" s="3"/>
      <c r="O227" s="3"/>
      <c r="P227" s="2"/>
      <c r="Q227" s="2"/>
    </row>
    <row r="228" spans="1:17">
      <c r="A228" s="76" t="s">
        <v>99</v>
      </c>
      <c r="B228" s="18">
        <v>4598</v>
      </c>
      <c r="C228" s="18">
        <v>4512</v>
      </c>
      <c r="D228" s="18">
        <v>493</v>
      </c>
      <c r="E228" s="18">
        <v>460</v>
      </c>
      <c r="F228" s="18">
        <v>5091</v>
      </c>
      <c r="G228" s="18">
        <v>4972</v>
      </c>
      <c r="H228" s="3"/>
      <c r="I228" s="3"/>
      <c r="J228" s="3"/>
      <c r="K228" s="3"/>
      <c r="L228" s="3"/>
      <c r="M228" s="3"/>
      <c r="N228" s="3"/>
      <c r="O228" s="3"/>
      <c r="P228" s="2"/>
      <c r="Q228" s="2"/>
    </row>
    <row r="229" spans="1:17">
      <c r="A229" s="76" t="s">
        <v>10</v>
      </c>
      <c r="B229" s="18">
        <v>3250</v>
      </c>
      <c r="C229" s="18">
        <v>3107</v>
      </c>
      <c r="D229" s="18">
        <v>308</v>
      </c>
      <c r="E229" s="18">
        <v>232</v>
      </c>
      <c r="F229" s="18">
        <v>3558</v>
      </c>
      <c r="G229" s="18">
        <v>3339</v>
      </c>
      <c r="H229" s="3"/>
      <c r="I229" s="3"/>
      <c r="J229" s="3"/>
      <c r="K229" s="3"/>
      <c r="L229" s="3"/>
      <c r="M229" s="3"/>
      <c r="N229" s="3"/>
      <c r="O229" s="3"/>
      <c r="P229" s="2"/>
      <c r="Q229" s="2"/>
    </row>
    <row r="230" spans="1:17">
      <c r="A230" s="76" t="s">
        <v>11</v>
      </c>
      <c r="B230" s="18">
        <v>3068</v>
      </c>
      <c r="C230" s="18">
        <v>2785</v>
      </c>
      <c r="D230" s="18">
        <v>414</v>
      </c>
      <c r="E230" s="18">
        <v>343</v>
      </c>
      <c r="F230" s="18">
        <v>3482</v>
      </c>
      <c r="G230" s="18">
        <v>3128</v>
      </c>
      <c r="H230" s="3"/>
      <c r="I230" s="3"/>
      <c r="J230" s="3"/>
      <c r="K230" s="3"/>
      <c r="L230" s="3"/>
      <c r="M230" s="3"/>
      <c r="N230" s="3"/>
      <c r="O230" s="3"/>
      <c r="P230" s="2"/>
      <c r="Q230" s="2"/>
    </row>
    <row r="231" spans="1:17">
      <c r="A231" s="76" t="s">
        <v>12</v>
      </c>
      <c r="B231" s="18">
        <v>5485</v>
      </c>
      <c r="C231" s="18">
        <v>5457</v>
      </c>
      <c r="D231" s="18">
        <v>804</v>
      </c>
      <c r="E231" s="18">
        <v>626</v>
      </c>
      <c r="F231" s="18">
        <v>6289</v>
      </c>
      <c r="G231" s="18">
        <v>6083</v>
      </c>
      <c r="H231" s="3"/>
      <c r="I231" s="3"/>
      <c r="J231" s="3"/>
      <c r="K231" s="3"/>
      <c r="L231" s="3"/>
      <c r="M231" s="3"/>
      <c r="N231" s="3"/>
      <c r="O231" s="3"/>
      <c r="P231" s="2"/>
      <c r="Q231" s="2"/>
    </row>
    <row r="232" spans="1:17">
      <c r="A232" s="76" t="s">
        <v>13</v>
      </c>
      <c r="B232" s="18">
        <v>5966</v>
      </c>
      <c r="C232" s="18">
        <v>5625</v>
      </c>
      <c r="D232" s="18">
        <v>506</v>
      </c>
      <c r="E232" s="18">
        <v>366</v>
      </c>
      <c r="F232" s="18">
        <v>6472</v>
      </c>
      <c r="G232" s="18">
        <v>5991</v>
      </c>
      <c r="H232" s="3"/>
      <c r="I232" s="3"/>
      <c r="J232" s="3"/>
      <c r="K232" s="3"/>
      <c r="L232" s="3"/>
      <c r="M232" s="3"/>
      <c r="N232" s="3"/>
      <c r="O232" s="3"/>
      <c r="P232" s="2"/>
      <c r="Q232" s="2"/>
    </row>
    <row r="233" spans="1:17">
      <c r="A233" s="78" t="s">
        <v>14</v>
      </c>
      <c r="B233" s="20">
        <f>GETPIVOTDATA("Sum of Phase Proposed Units",'6 PeNB'!$A$5)</f>
        <v>2909</v>
      </c>
      <c r="C233" s="20">
        <f>GETPIVOTDATA("Sum of Phase Net Units",'6 PeNB'!$A$5)</f>
        <v>2888</v>
      </c>
      <c r="D233" s="20">
        <f>GETPIVOTDATA("Sum of Phase Proposed Units",'6 PeCO'!$A$5)</f>
        <v>388</v>
      </c>
      <c r="E233" s="20">
        <f>GETPIVOTDATA("Sum of Phase Net Units",'6 PeCO'!$A$5)</f>
        <v>242</v>
      </c>
      <c r="F233" s="20">
        <f>B233+D233</f>
        <v>3297</v>
      </c>
      <c r="G233" s="20">
        <f>C233+E233</f>
        <v>3130</v>
      </c>
      <c r="H233" s="3"/>
      <c r="I233" s="3"/>
      <c r="J233" s="3"/>
      <c r="K233" s="3"/>
      <c r="L233" s="3"/>
      <c r="M233" s="3"/>
      <c r="N233" s="3"/>
      <c r="O233" s="3"/>
      <c r="P233" s="2"/>
      <c r="Q233" s="2"/>
    </row>
    <row r="234" spans="1:17">
      <c r="A234" s="55" t="s">
        <v>17</v>
      </c>
      <c r="B234" s="35">
        <f t="shared" ref="B234:G234" si="27">SUM(B219:B233)</f>
        <v>53950</v>
      </c>
      <c r="C234" s="35">
        <f t="shared" si="27"/>
        <v>52083</v>
      </c>
      <c r="D234" s="35">
        <f t="shared" si="27"/>
        <v>6697</v>
      </c>
      <c r="E234" s="35">
        <f t="shared" si="27"/>
        <v>4322</v>
      </c>
      <c r="F234" s="35">
        <f t="shared" si="27"/>
        <v>60647</v>
      </c>
      <c r="G234" s="35">
        <f t="shared" si="27"/>
        <v>56405</v>
      </c>
      <c r="H234" s="3"/>
      <c r="I234" s="3"/>
      <c r="J234" s="3"/>
      <c r="K234" s="3"/>
      <c r="L234" s="3"/>
      <c r="M234" s="3"/>
      <c r="N234" s="3"/>
      <c r="O234" s="3"/>
      <c r="P234" s="2"/>
      <c r="Q234" s="2"/>
    </row>
    <row r="235" spans="1:17">
      <c r="A235" s="3"/>
      <c r="B235" s="3"/>
      <c r="C235" s="3"/>
      <c r="D235" s="3"/>
      <c r="E235" s="3"/>
      <c r="F235" s="3"/>
      <c r="G235" s="3"/>
      <c r="H235" s="3"/>
      <c r="I235" s="3"/>
      <c r="J235" s="3"/>
      <c r="K235" s="3"/>
      <c r="L235" s="3"/>
      <c r="M235" s="3"/>
      <c r="N235" s="3"/>
      <c r="O235" s="3"/>
      <c r="P235" s="2"/>
      <c r="Q235" s="2"/>
    </row>
    <row r="236" spans="1:17" ht="15.75">
      <c r="A236" s="129" t="s">
        <v>133</v>
      </c>
      <c r="B236" s="3"/>
      <c r="C236" s="3"/>
      <c r="D236" s="3"/>
      <c r="E236" s="3"/>
      <c r="F236" s="3"/>
      <c r="G236" s="3"/>
      <c r="H236" s="3"/>
      <c r="I236" s="3"/>
      <c r="J236" s="3"/>
      <c r="K236" s="3"/>
      <c r="L236" s="3"/>
      <c r="M236" s="3"/>
      <c r="N236" s="3"/>
      <c r="O236" s="3"/>
      <c r="P236" s="2"/>
      <c r="Q236" s="2"/>
    </row>
    <row r="237" spans="1:17">
      <c r="A237" s="66"/>
      <c r="B237" s="3"/>
      <c r="C237" s="3"/>
      <c r="D237" s="3"/>
      <c r="E237" s="3"/>
      <c r="F237" s="3"/>
      <c r="G237" s="3"/>
      <c r="H237" s="3"/>
      <c r="I237" s="3"/>
      <c r="J237" s="3"/>
      <c r="K237" s="3"/>
      <c r="L237" s="3"/>
      <c r="M237" s="3"/>
      <c r="N237" s="3"/>
      <c r="O237" s="3"/>
      <c r="P237" s="2"/>
      <c r="Q237" s="2"/>
    </row>
    <row r="238" spans="1:17">
      <c r="A238" s="138" t="s">
        <v>134</v>
      </c>
      <c r="B238" s="3"/>
      <c r="C238" s="3"/>
      <c r="D238" s="3"/>
      <c r="E238" s="3"/>
      <c r="F238" s="3"/>
      <c r="G238" s="3"/>
      <c r="H238" s="3"/>
      <c r="I238" s="3"/>
      <c r="J238" s="3"/>
      <c r="K238" s="3"/>
      <c r="L238" s="3"/>
      <c r="M238" s="3"/>
      <c r="N238" s="3"/>
      <c r="O238" s="3"/>
      <c r="P238" s="2"/>
      <c r="Q238" s="2"/>
    </row>
    <row r="239" spans="1:17">
      <c r="A239" s="7" t="s">
        <v>135</v>
      </c>
      <c r="B239" s="7" t="s">
        <v>136</v>
      </c>
      <c r="C239" s="3"/>
      <c r="D239" s="3"/>
      <c r="E239" s="3"/>
      <c r="F239" s="3"/>
      <c r="G239" s="3"/>
      <c r="H239" s="3"/>
      <c r="I239" s="3"/>
      <c r="J239" s="3"/>
      <c r="K239" s="3"/>
      <c r="L239" s="3"/>
      <c r="M239" s="3"/>
      <c r="N239" s="3"/>
      <c r="O239" s="3"/>
      <c r="P239" s="2"/>
      <c r="Q239" s="2"/>
    </row>
    <row r="240" spans="1:17">
      <c r="A240" s="291" t="s">
        <v>137</v>
      </c>
      <c r="B240" s="291"/>
      <c r="C240" s="54" t="s">
        <v>95</v>
      </c>
      <c r="D240" s="54" t="s">
        <v>96</v>
      </c>
      <c r="E240" s="54" t="s">
        <v>97</v>
      </c>
      <c r="F240" s="54" t="s">
        <v>98</v>
      </c>
      <c r="G240" s="54" t="s">
        <v>99</v>
      </c>
      <c r="H240" s="54" t="s">
        <v>10</v>
      </c>
      <c r="I240" s="54" t="s">
        <v>11</v>
      </c>
      <c r="J240" s="54" t="s">
        <v>12</v>
      </c>
      <c r="K240" s="54" t="s">
        <v>13</v>
      </c>
      <c r="L240" s="54" t="s">
        <v>14</v>
      </c>
      <c r="M240" s="54" t="s">
        <v>17</v>
      </c>
      <c r="P240" s="3"/>
      <c r="Q240" s="2"/>
    </row>
    <row r="241" spans="1:17">
      <c r="A241" s="286" t="s">
        <v>138</v>
      </c>
      <c r="B241" s="286"/>
      <c r="C241" s="18">
        <v>0</v>
      </c>
      <c r="D241" s="18">
        <v>2</v>
      </c>
      <c r="E241" s="18">
        <v>5</v>
      </c>
      <c r="F241" s="18">
        <v>10</v>
      </c>
      <c r="G241" s="18">
        <v>11</v>
      </c>
      <c r="H241" s="18">
        <v>8</v>
      </c>
      <c r="I241" s="18">
        <v>4</v>
      </c>
      <c r="J241" s="18">
        <v>5</v>
      </c>
      <c r="K241" s="18">
        <v>15</v>
      </c>
      <c r="L241" s="18">
        <f>GETPIVOTDATA("Phase Net Units",'12'!$A$3,"Town Centre","Balham")</f>
        <v>1</v>
      </c>
      <c r="M241" s="20">
        <f t="shared" ref="M241:M246" si="28">SUM(C241:L241)</f>
        <v>61</v>
      </c>
      <c r="P241" s="3"/>
      <c r="Q241" s="2"/>
    </row>
    <row r="242" spans="1:17">
      <c r="A242" s="286" t="s">
        <v>139</v>
      </c>
      <c r="B242" s="286"/>
      <c r="C242" s="18">
        <v>73</v>
      </c>
      <c r="D242" s="18">
        <v>4</v>
      </c>
      <c r="E242" s="18">
        <v>1</v>
      </c>
      <c r="F242" s="18">
        <v>11</v>
      </c>
      <c r="G242" s="18">
        <v>12</v>
      </c>
      <c r="H242" s="18">
        <v>16</v>
      </c>
      <c r="I242" s="18">
        <v>90</v>
      </c>
      <c r="J242" s="18">
        <v>9</v>
      </c>
      <c r="K242" s="18">
        <v>10</v>
      </c>
      <c r="L242" s="18">
        <f>GETPIVOTDATA("Phase Net Units",'12'!$A$3,"Town Centre","Clapham Junction")</f>
        <v>8</v>
      </c>
      <c r="M242" s="20">
        <f t="shared" si="28"/>
        <v>234</v>
      </c>
      <c r="P242" s="3"/>
      <c r="Q242" s="2"/>
    </row>
    <row r="243" spans="1:17">
      <c r="A243" s="286" t="s">
        <v>140</v>
      </c>
      <c r="B243" s="286"/>
      <c r="C243" s="18">
        <v>18</v>
      </c>
      <c r="D243" s="18">
        <v>9</v>
      </c>
      <c r="E243" s="18">
        <v>20</v>
      </c>
      <c r="F243" s="18">
        <v>56</v>
      </c>
      <c r="G243" s="18">
        <v>21</v>
      </c>
      <c r="H243" s="18">
        <v>13</v>
      </c>
      <c r="I243" s="18">
        <v>340</v>
      </c>
      <c r="J243" s="18">
        <v>11</v>
      </c>
      <c r="K243" s="18">
        <v>101</v>
      </c>
      <c r="L243" s="18">
        <f>GETPIVOTDATA("Phase Net Units",'12'!$A$3,"Town Centre","Putney")</f>
        <v>13</v>
      </c>
      <c r="M243" s="20">
        <f t="shared" si="28"/>
        <v>602</v>
      </c>
      <c r="P243" s="3"/>
      <c r="Q243" s="2"/>
    </row>
    <row r="244" spans="1:17">
      <c r="A244" s="286" t="s">
        <v>141</v>
      </c>
      <c r="B244" s="286"/>
      <c r="C244" s="18">
        <v>3</v>
      </c>
      <c r="D244" s="18">
        <v>2</v>
      </c>
      <c r="E244" s="18">
        <v>8</v>
      </c>
      <c r="F244" s="18">
        <v>4</v>
      </c>
      <c r="G244" s="18">
        <v>27</v>
      </c>
      <c r="H244" s="18">
        <v>19</v>
      </c>
      <c r="I244" s="18">
        <v>30</v>
      </c>
      <c r="J244" s="18">
        <v>34</v>
      </c>
      <c r="K244" s="18">
        <v>6</v>
      </c>
      <c r="L244" s="18">
        <f>GETPIVOTDATA("Phase Net Units",'12'!$A$3,"Town Centre","Tooting")</f>
        <v>2</v>
      </c>
      <c r="M244" s="20">
        <f t="shared" si="28"/>
        <v>135</v>
      </c>
      <c r="P244" s="3"/>
      <c r="Q244" s="2"/>
    </row>
    <row r="245" spans="1:17">
      <c r="A245" s="286" t="s">
        <v>142</v>
      </c>
      <c r="B245" s="286"/>
      <c r="C245" s="18">
        <v>1</v>
      </c>
      <c r="D245" s="18">
        <v>3</v>
      </c>
      <c r="E245" s="18">
        <v>4</v>
      </c>
      <c r="F245" s="18">
        <v>240</v>
      </c>
      <c r="G245" s="18">
        <v>2</v>
      </c>
      <c r="H245" s="18">
        <v>42</v>
      </c>
      <c r="I245" s="18">
        <v>18</v>
      </c>
      <c r="J245" s="18">
        <v>314</v>
      </c>
      <c r="K245" s="18">
        <v>136</v>
      </c>
      <c r="L245" s="18">
        <f>GETPIVOTDATA("Phase Net Units",'12'!$A$3,"Town Centre","Wandsworth")</f>
        <v>167</v>
      </c>
      <c r="M245" s="20">
        <f t="shared" si="28"/>
        <v>927</v>
      </c>
      <c r="P245" s="3"/>
      <c r="Q245" s="2"/>
    </row>
    <row r="246" spans="1:17">
      <c r="A246" s="292" t="s">
        <v>17</v>
      </c>
      <c r="B246" s="292"/>
      <c r="C246" s="35">
        <f t="shared" ref="C246:H246" si="29">SUM(C241:C245)</f>
        <v>95</v>
      </c>
      <c r="D246" s="35">
        <f t="shared" si="29"/>
        <v>20</v>
      </c>
      <c r="E246" s="35">
        <f t="shared" si="29"/>
        <v>38</v>
      </c>
      <c r="F246" s="35">
        <f t="shared" si="29"/>
        <v>321</v>
      </c>
      <c r="G246" s="35">
        <f t="shared" si="29"/>
        <v>73</v>
      </c>
      <c r="H246" s="35">
        <f t="shared" si="29"/>
        <v>98</v>
      </c>
      <c r="I246" s="35">
        <f t="shared" ref="I246:K246" si="30">SUM(I241:I245)</f>
        <v>482</v>
      </c>
      <c r="J246" s="35">
        <f t="shared" si="30"/>
        <v>373</v>
      </c>
      <c r="K246" s="35">
        <f t="shared" si="30"/>
        <v>268</v>
      </c>
      <c r="L246" s="35">
        <f>SUM(L241:L245)</f>
        <v>191</v>
      </c>
      <c r="M246" s="35">
        <f t="shared" si="28"/>
        <v>1959</v>
      </c>
      <c r="P246" s="3"/>
      <c r="Q246" s="2"/>
    </row>
    <row r="247" spans="1:17">
      <c r="A247" s="3"/>
      <c r="B247" s="3"/>
      <c r="C247" s="3"/>
      <c r="D247" s="3"/>
      <c r="E247" s="3"/>
      <c r="F247" s="3"/>
      <c r="G247" s="3"/>
      <c r="H247" s="3"/>
      <c r="I247" s="293"/>
      <c r="J247" s="3"/>
      <c r="K247" s="3"/>
      <c r="L247" s="3"/>
      <c r="M247" s="3"/>
      <c r="N247" s="3"/>
      <c r="O247" s="3"/>
      <c r="P247" s="2"/>
      <c r="Q247" s="2"/>
    </row>
    <row r="248" spans="1:17">
      <c r="A248" s="138" t="s">
        <v>143</v>
      </c>
      <c r="B248" s="3"/>
      <c r="C248" s="3"/>
      <c r="D248" s="3"/>
      <c r="E248" s="3"/>
      <c r="F248" s="3"/>
      <c r="G248" s="3"/>
      <c r="H248" s="3"/>
      <c r="I248" s="3"/>
      <c r="J248" s="3"/>
      <c r="K248" s="3"/>
      <c r="L248" s="3"/>
      <c r="M248" s="3"/>
      <c r="N248" s="3"/>
      <c r="O248" s="3"/>
      <c r="P248" s="2"/>
      <c r="Q248" s="2"/>
    </row>
    <row r="249" spans="1:17">
      <c r="A249" s="7" t="s">
        <v>144</v>
      </c>
      <c r="B249" s="7" t="s">
        <v>145</v>
      </c>
      <c r="C249" s="3"/>
      <c r="D249" s="3"/>
      <c r="E249" s="3"/>
      <c r="F249" s="3"/>
      <c r="G249" s="3"/>
      <c r="H249" s="3"/>
      <c r="I249" s="3"/>
      <c r="J249" s="3"/>
      <c r="K249" s="3"/>
      <c r="L249" s="3"/>
      <c r="M249" s="3"/>
      <c r="N249" s="3"/>
      <c r="O249" s="3"/>
      <c r="P249" s="2"/>
      <c r="Q249" s="2"/>
    </row>
    <row r="250" spans="1:17">
      <c r="A250" s="294" t="s">
        <v>146</v>
      </c>
      <c r="B250" s="295"/>
      <c r="C250" s="296"/>
      <c r="D250" s="54" t="s">
        <v>95</v>
      </c>
      <c r="E250" s="54" t="s">
        <v>96</v>
      </c>
      <c r="F250" s="54" t="s">
        <v>97</v>
      </c>
      <c r="G250" s="54" t="s">
        <v>98</v>
      </c>
      <c r="H250" s="54" t="s">
        <v>99</v>
      </c>
      <c r="I250" s="54" t="s">
        <v>10</v>
      </c>
      <c r="J250" s="54" t="s">
        <v>11</v>
      </c>
      <c r="K250" s="54" t="s">
        <v>12</v>
      </c>
      <c r="L250" s="54" t="s">
        <v>13</v>
      </c>
      <c r="M250" s="54" t="s">
        <v>14</v>
      </c>
      <c r="N250" s="54" t="s">
        <v>17</v>
      </c>
      <c r="Q250" s="2"/>
    </row>
    <row r="251" spans="1:17">
      <c r="A251" s="275" t="s">
        <v>147</v>
      </c>
      <c r="B251" s="276"/>
      <c r="C251" s="297"/>
      <c r="D251" s="18">
        <v>9</v>
      </c>
      <c r="E251" s="18">
        <v>27</v>
      </c>
      <c r="F251" s="18">
        <v>15</v>
      </c>
      <c r="G251" s="18">
        <v>63</v>
      </c>
      <c r="H251" s="18">
        <v>9</v>
      </c>
      <c r="I251" s="18">
        <v>151</v>
      </c>
      <c r="J251" s="18">
        <v>72</v>
      </c>
      <c r="K251" s="18">
        <v>37</v>
      </c>
      <c r="L251" s="18">
        <v>26</v>
      </c>
      <c r="M251" s="18">
        <f>GETPIVOTDATA("Phase Net Units",'13'!$A$3,"Ward","Latchmere")</f>
        <v>13</v>
      </c>
      <c r="N251" s="20">
        <f t="shared" ref="N251:N256" si="31">SUM(D251:M251)</f>
        <v>422</v>
      </c>
      <c r="Q251" s="2"/>
    </row>
    <row r="252" spans="1:17">
      <c r="A252" s="275" t="s">
        <v>148</v>
      </c>
      <c r="B252" s="276"/>
      <c r="C252" s="297"/>
      <c r="D252" s="18">
        <v>19</v>
      </c>
      <c r="E252" s="18">
        <v>71</v>
      </c>
      <c r="F252" s="18">
        <v>52</v>
      </c>
      <c r="G252" s="18">
        <v>25</v>
      </c>
      <c r="H252" s="18">
        <v>15</v>
      </c>
      <c r="I252" s="18">
        <v>1061</v>
      </c>
      <c r="J252" s="18">
        <v>786</v>
      </c>
      <c r="K252" s="18">
        <v>1337</v>
      </c>
      <c r="L252" s="18">
        <v>757</v>
      </c>
      <c r="M252" s="18">
        <f>GETPIVOTDATA("Phase Net Units",'13'!$A$3,"Ward","Queenstown")</f>
        <v>494</v>
      </c>
      <c r="N252" s="20">
        <f t="shared" si="31"/>
        <v>4617</v>
      </c>
      <c r="Q252" s="2"/>
    </row>
    <row r="253" spans="1:17">
      <c r="A253" s="275" t="s">
        <v>149</v>
      </c>
      <c r="B253" s="276"/>
      <c r="C253" s="297"/>
      <c r="D253" s="18">
        <v>3</v>
      </c>
      <c r="E253" s="18">
        <v>0</v>
      </c>
      <c r="F253" s="18">
        <v>0</v>
      </c>
      <c r="G253" s="18">
        <v>11</v>
      </c>
      <c r="H253" s="18">
        <v>1</v>
      </c>
      <c r="I253" s="18">
        <v>40</v>
      </c>
      <c r="J253" s="18">
        <v>27</v>
      </c>
      <c r="K253" s="18">
        <v>5</v>
      </c>
      <c r="L253" s="18">
        <v>10</v>
      </c>
      <c r="M253" s="18">
        <f>GETPIVOTDATA("Phase Net Units",'13'!$A$3,"Ward","Roehampton and Putney Heath")</f>
        <v>10</v>
      </c>
      <c r="N253" s="20">
        <f t="shared" si="31"/>
        <v>107</v>
      </c>
      <c r="Q253" s="2"/>
    </row>
    <row r="254" spans="1:17">
      <c r="A254" s="275" t="s">
        <v>141</v>
      </c>
      <c r="B254" s="276"/>
      <c r="C254" s="297"/>
      <c r="D254" s="18">
        <v>78</v>
      </c>
      <c r="E254" s="18">
        <v>34</v>
      </c>
      <c r="F254" s="18">
        <v>71</v>
      </c>
      <c r="G254" s="18">
        <v>75</v>
      </c>
      <c r="H254" s="18">
        <v>184</v>
      </c>
      <c r="I254" s="18">
        <v>141</v>
      </c>
      <c r="J254" s="18">
        <v>22</v>
      </c>
      <c r="K254" s="18">
        <v>38</v>
      </c>
      <c r="L254" s="18">
        <v>26</v>
      </c>
      <c r="M254" s="18">
        <f>GETPIVOTDATA("Phase Net Units",'13'!$A$3,"Ward","Tooting")</f>
        <v>23</v>
      </c>
      <c r="N254" s="20">
        <f t="shared" si="31"/>
        <v>692</v>
      </c>
      <c r="Q254" s="2"/>
    </row>
    <row r="255" spans="1:17">
      <c r="A255" s="275" t="s">
        <v>150</v>
      </c>
      <c r="B255" s="276"/>
      <c r="C255" s="297"/>
      <c r="D255" s="18">
        <v>372</v>
      </c>
      <c r="E255" s="18">
        <v>847</v>
      </c>
      <c r="F255" s="18">
        <v>636</v>
      </c>
      <c r="G255" s="18">
        <v>1023</v>
      </c>
      <c r="H255" s="18">
        <v>727</v>
      </c>
      <c r="I255" s="18">
        <v>1383</v>
      </c>
      <c r="J255" s="18">
        <v>1438</v>
      </c>
      <c r="K255" s="18">
        <v>619</v>
      </c>
      <c r="L255" s="18">
        <v>1032</v>
      </c>
      <c r="M255" s="18">
        <f>GETPIVOTDATA("Phase Net Units",'13'!$A$3)-SUM(M251:M254)</f>
        <v>790</v>
      </c>
      <c r="N255" s="20">
        <f t="shared" si="31"/>
        <v>8867</v>
      </c>
      <c r="Q255" s="2"/>
    </row>
    <row r="256" spans="1:17">
      <c r="A256" s="298" t="s">
        <v>17</v>
      </c>
      <c r="B256" s="299"/>
      <c r="C256" s="300"/>
      <c r="D256" s="35">
        <f>SUM(D251:D255)</f>
        <v>481</v>
      </c>
      <c r="E256" s="35">
        <f>SUM(E251:E255)</f>
        <v>979</v>
      </c>
      <c r="F256" s="35">
        <f>SUM(F251:F255)</f>
        <v>774</v>
      </c>
      <c r="G256" s="35">
        <f>SUM(G251:G255)</f>
        <v>1197</v>
      </c>
      <c r="H256" s="35">
        <v>936</v>
      </c>
      <c r="I256" s="35">
        <f>SUM(I251:I255)</f>
        <v>2776</v>
      </c>
      <c r="J256" s="35">
        <f>SUM(J251:J255)</f>
        <v>2345</v>
      </c>
      <c r="K256" s="35">
        <f>SUM(K251:K255)</f>
        <v>2036</v>
      </c>
      <c r="L256" s="35">
        <f>SUM(L251:L255)</f>
        <v>1851</v>
      </c>
      <c r="M256" s="35">
        <f>SUM(M251:M255)</f>
        <v>1330</v>
      </c>
      <c r="N256" s="35">
        <f t="shared" si="31"/>
        <v>14705</v>
      </c>
      <c r="Q256" s="2"/>
    </row>
    <row r="257" spans="1:17">
      <c r="A257" s="2"/>
      <c r="B257" s="2"/>
      <c r="C257" s="2"/>
      <c r="D257" s="2"/>
      <c r="E257" s="2"/>
      <c r="F257" s="2"/>
      <c r="G257" s="2"/>
      <c r="H257" s="2"/>
      <c r="I257" s="2"/>
      <c r="J257" s="2"/>
      <c r="K257" s="2"/>
      <c r="L257" s="3"/>
      <c r="M257" s="3"/>
      <c r="N257" s="3"/>
      <c r="O257" s="3"/>
      <c r="P257" s="2"/>
      <c r="Q257" s="2"/>
    </row>
    <row r="258" spans="1:17">
      <c r="A258" s="138" t="s">
        <v>151</v>
      </c>
      <c r="B258" s="2"/>
      <c r="C258" s="2"/>
      <c r="D258" s="2"/>
      <c r="E258" s="2"/>
      <c r="F258" s="2"/>
      <c r="G258" s="2"/>
      <c r="H258" s="2"/>
      <c r="I258" s="2"/>
      <c r="J258" s="2"/>
      <c r="K258" s="3"/>
      <c r="L258" s="3"/>
      <c r="M258" s="3"/>
      <c r="N258" s="3"/>
      <c r="O258" s="3"/>
      <c r="P258" s="2"/>
      <c r="Q258" s="2"/>
    </row>
    <row r="259" spans="1:17">
      <c r="A259" s="7" t="s">
        <v>152</v>
      </c>
      <c r="B259" s="7" t="s">
        <v>153</v>
      </c>
      <c r="C259" s="3"/>
      <c r="D259" s="3"/>
      <c r="E259" s="3"/>
      <c r="F259" s="3"/>
      <c r="G259" s="3"/>
      <c r="H259" s="3"/>
      <c r="I259" s="3"/>
      <c r="J259" s="3"/>
      <c r="K259" s="3"/>
      <c r="L259" s="3"/>
      <c r="M259" s="3"/>
      <c r="N259" s="3"/>
      <c r="O259" s="3"/>
      <c r="P259" s="2"/>
      <c r="Q259" s="2"/>
    </row>
    <row r="260" spans="1:17">
      <c r="A260" s="210" t="s">
        <v>154</v>
      </c>
      <c r="B260" s="233"/>
      <c r="C260" s="233"/>
      <c r="D260" s="211"/>
      <c r="E260" s="54" t="s">
        <v>98</v>
      </c>
      <c r="F260" s="54" t="s">
        <v>99</v>
      </c>
      <c r="G260" s="54" t="s">
        <v>10</v>
      </c>
      <c r="H260" s="54" t="s">
        <v>11</v>
      </c>
      <c r="I260" s="54" t="s">
        <v>12</v>
      </c>
      <c r="J260" s="54" t="s">
        <v>13</v>
      </c>
      <c r="K260" s="54" t="s">
        <v>14</v>
      </c>
      <c r="L260" s="54" t="s">
        <v>17</v>
      </c>
      <c r="Q260" s="2"/>
    </row>
    <row r="261" spans="1:17">
      <c r="A261" s="275" t="s">
        <v>155</v>
      </c>
      <c r="B261" s="276"/>
      <c r="C261" s="276"/>
      <c r="D261" s="297"/>
      <c r="E261" s="18">
        <v>544</v>
      </c>
      <c r="F261" s="18">
        <v>183</v>
      </c>
      <c r="G261" s="18">
        <v>485</v>
      </c>
      <c r="H261" s="18">
        <v>107</v>
      </c>
      <c r="I261" s="18">
        <v>317</v>
      </c>
      <c r="J261" s="18">
        <v>138</v>
      </c>
      <c r="K261" s="18">
        <f>GETPIVOTDATA("Phase Net Units",'14 Cent'!$A$4)</f>
        <v>425</v>
      </c>
      <c r="L261" s="20">
        <f t="shared" ref="L261:L268" si="32">SUM(E261:K261)</f>
        <v>2199</v>
      </c>
      <c r="Q261" s="2"/>
    </row>
    <row r="262" spans="1:17">
      <c r="A262" s="275" t="s">
        <v>156</v>
      </c>
      <c r="B262" s="276"/>
      <c r="C262" s="276"/>
      <c r="D262" s="297"/>
      <c r="E262" s="18">
        <v>6</v>
      </c>
      <c r="F262" s="18">
        <v>6</v>
      </c>
      <c r="G262" s="18">
        <v>159</v>
      </c>
      <c r="H262" s="18">
        <v>64</v>
      </c>
      <c r="I262" s="18">
        <v>0</v>
      </c>
      <c r="J262" s="18">
        <v>0</v>
      </c>
      <c r="K262" s="18">
        <f>GETPIVOTDATA("Phase Net Units",'14 Clap'!$A$4)</f>
        <v>0</v>
      </c>
      <c r="L262" s="20">
        <f t="shared" si="32"/>
        <v>235</v>
      </c>
      <c r="Q262" s="2"/>
    </row>
    <row r="263" spans="1:17">
      <c r="A263" s="275" t="s">
        <v>157</v>
      </c>
      <c r="B263" s="276"/>
      <c r="C263" s="276"/>
      <c r="D263" s="297"/>
      <c r="E263" s="18">
        <v>32</v>
      </c>
      <c r="F263" s="18">
        <v>3</v>
      </c>
      <c r="G263" s="18">
        <v>1026</v>
      </c>
      <c r="H263" s="18">
        <v>778</v>
      </c>
      <c r="I263" s="18">
        <v>1325</v>
      </c>
      <c r="J263" s="18">
        <v>746</v>
      </c>
      <c r="K263" s="18">
        <f>GETPIVOTDATA("Phase Net Units",'14 Nine'!$A$4)</f>
        <v>489</v>
      </c>
      <c r="L263" s="20">
        <f t="shared" si="32"/>
        <v>4399</v>
      </c>
      <c r="Q263" s="2"/>
    </row>
    <row r="264" spans="1:17">
      <c r="A264" s="275" t="s">
        <v>158</v>
      </c>
      <c r="B264" s="276"/>
      <c r="C264" s="276"/>
      <c r="D264" s="297"/>
      <c r="E264" s="18">
        <v>43</v>
      </c>
      <c r="F264" s="18">
        <v>101</v>
      </c>
      <c r="G264" s="18">
        <v>305</v>
      </c>
      <c r="H264" s="18">
        <v>184</v>
      </c>
      <c r="I264" s="18">
        <v>2036</v>
      </c>
      <c r="J264" s="18">
        <v>336</v>
      </c>
      <c r="K264" s="18">
        <f>GETPIVOTDATA("Phase Net Units",'14 Tham'!$A$4)</f>
        <v>39</v>
      </c>
      <c r="L264" s="20">
        <f t="shared" si="32"/>
        <v>3044</v>
      </c>
      <c r="Q264" s="2"/>
    </row>
    <row r="265" spans="1:17">
      <c r="A265" s="275" t="s">
        <v>159</v>
      </c>
      <c r="B265" s="276"/>
      <c r="C265" s="276"/>
      <c r="D265" s="297"/>
      <c r="E265" s="18">
        <v>15</v>
      </c>
      <c r="F265" s="18">
        <v>5</v>
      </c>
      <c r="G265" s="18">
        <v>199</v>
      </c>
      <c r="H265" s="18">
        <v>2</v>
      </c>
      <c r="I265" s="18">
        <v>9</v>
      </c>
      <c r="J265" s="18">
        <v>11</v>
      </c>
      <c r="K265" s="18">
        <f>GETPIVOTDATA("Phase Net Units",'14 Wand'!$A$4)</f>
        <v>30</v>
      </c>
      <c r="L265" s="20">
        <f t="shared" si="32"/>
        <v>271</v>
      </c>
      <c r="Q265" s="2"/>
    </row>
    <row r="266" spans="1:17">
      <c r="A266" s="275" t="s">
        <v>160</v>
      </c>
      <c r="B266" s="276"/>
      <c r="C266" s="276"/>
      <c r="D266" s="297"/>
      <c r="E266" s="18">
        <v>0</v>
      </c>
      <c r="F266" s="18">
        <v>0</v>
      </c>
      <c r="G266" s="18">
        <v>0</v>
      </c>
      <c r="H266" s="18">
        <v>0</v>
      </c>
      <c r="I266" s="18">
        <v>0</v>
      </c>
      <c r="J266" s="18">
        <v>0</v>
      </c>
      <c r="K266" s="18">
        <v>0</v>
      </c>
      <c r="L266" s="20">
        <f t="shared" si="32"/>
        <v>0</v>
      </c>
      <c r="Q266" s="2"/>
    </row>
    <row r="267" spans="1:17">
      <c r="A267" s="275" t="s">
        <v>161</v>
      </c>
      <c r="B267" s="276"/>
      <c r="C267" s="276"/>
      <c r="D267" s="297"/>
      <c r="E267" s="18">
        <v>50</v>
      </c>
      <c r="F267" s="18">
        <v>55</v>
      </c>
      <c r="G267" s="18">
        <v>0</v>
      </c>
      <c r="H267" s="18">
        <v>334</v>
      </c>
      <c r="I267" s="18">
        <v>0</v>
      </c>
      <c r="J267" s="18">
        <v>77</v>
      </c>
      <c r="K267" s="18">
        <f>GETPIVOTDATA("Phase Net Units",'14 East'!$A$4)</f>
        <v>0</v>
      </c>
      <c r="L267" s="20">
        <f t="shared" si="32"/>
        <v>516</v>
      </c>
      <c r="Q267" s="2"/>
    </row>
    <row r="268" spans="1:17">
      <c r="A268" s="215" t="s">
        <v>17</v>
      </c>
      <c r="B268" s="216"/>
      <c r="C268" s="216"/>
      <c r="D268" s="217"/>
      <c r="E268" s="35">
        <f>SUM(E261:E267)</f>
        <v>690</v>
      </c>
      <c r="F268" s="35">
        <f t="shared" ref="F268" si="33">SUM(F261:F267)</f>
        <v>353</v>
      </c>
      <c r="G268" s="35">
        <f>SUM(G261:G267)</f>
        <v>2174</v>
      </c>
      <c r="H268" s="35">
        <f>SUM(H261:H267)</f>
        <v>1469</v>
      </c>
      <c r="I268" s="35">
        <f>SUM(I261:I267)</f>
        <v>3687</v>
      </c>
      <c r="J268" s="35">
        <f>SUM(J261:J267)</f>
        <v>1308</v>
      </c>
      <c r="K268" s="35">
        <f>SUM(K261:K267)</f>
        <v>983</v>
      </c>
      <c r="L268" s="35">
        <f t="shared" si="32"/>
        <v>10664</v>
      </c>
      <c r="Q268" s="2"/>
    </row>
    <row r="269" spans="1:17">
      <c r="A269" s="3"/>
      <c r="B269" s="3"/>
      <c r="C269" s="2"/>
      <c r="D269" s="6"/>
      <c r="E269" s="6"/>
      <c r="F269" s="6"/>
      <c r="G269" s="6"/>
      <c r="H269" s="6"/>
      <c r="I269" s="6"/>
      <c r="J269" s="3"/>
      <c r="K269" s="3"/>
      <c r="L269" s="3"/>
      <c r="M269" s="3"/>
      <c r="N269" s="3"/>
      <c r="O269" s="3"/>
      <c r="P269" s="2"/>
      <c r="Q269" s="2"/>
    </row>
    <row r="270" spans="1:17">
      <c r="A270" s="134" t="s">
        <v>162</v>
      </c>
      <c r="B270" s="3"/>
      <c r="C270" s="2"/>
      <c r="D270" s="6"/>
      <c r="E270" s="6"/>
      <c r="F270" s="6"/>
      <c r="G270" s="6"/>
      <c r="H270" s="6"/>
      <c r="I270" s="6"/>
      <c r="J270" s="3"/>
      <c r="K270" s="3"/>
      <c r="L270" s="3"/>
      <c r="M270" s="3"/>
      <c r="N270" s="3"/>
      <c r="O270" s="3"/>
      <c r="P270" s="2"/>
      <c r="Q270" s="2"/>
    </row>
    <row r="271" spans="1:17">
      <c r="A271" s="7" t="s">
        <v>163</v>
      </c>
      <c r="B271" s="7" t="s">
        <v>164</v>
      </c>
      <c r="C271" s="2"/>
      <c r="D271" s="6"/>
      <c r="E271" s="6"/>
      <c r="F271" s="6"/>
      <c r="G271" s="6"/>
      <c r="H271" s="6"/>
      <c r="I271" s="6"/>
      <c r="J271" s="3"/>
      <c r="K271" s="3"/>
      <c r="L271" s="3"/>
      <c r="M271" s="3"/>
      <c r="N271" s="3"/>
      <c r="O271" s="3"/>
      <c r="P271" s="2"/>
      <c r="Q271" s="2"/>
    </row>
    <row r="272" spans="1:17" ht="12.75" customHeight="1">
      <c r="A272" s="195" t="s">
        <v>165</v>
      </c>
      <c r="B272" s="195"/>
      <c r="C272" s="195"/>
      <c r="D272" s="190" t="s">
        <v>166</v>
      </c>
      <c r="E272" s="190" t="s">
        <v>64</v>
      </c>
      <c r="F272" s="190"/>
      <c r="G272" s="190" t="s">
        <v>105</v>
      </c>
      <c r="H272" s="190"/>
      <c r="I272" s="6"/>
      <c r="J272" s="3"/>
      <c r="K272" s="3"/>
      <c r="L272" s="3"/>
      <c r="M272" s="3"/>
      <c r="N272" s="3"/>
      <c r="O272" s="3"/>
      <c r="P272" s="2"/>
      <c r="Q272" s="2"/>
    </row>
    <row r="273" spans="1:17" ht="12.75" customHeight="1">
      <c r="A273" s="195"/>
      <c r="B273" s="195"/>
      <c r="C273" s="195"/>
      <c r="D273" s="190"/>
      <c r="E273" s="190"/>
      <c r="F273" s="190"/>
      <c r="G273" s="190"/>
      <c r="H273" s="190"/>
      <c r="I273" s="6"/>
      <c r="J273" s="3"/>
      <c r="K273" s="3"/>
      <c r="L273" s="3"/>
      <c r="M273" s="3"/>
      <c r="N273" s="3"/>
      <c r="O273" s="3"/>
      <c r="P273" s="2"/>
      <c r="Q273" s="2"/>
    </row>
    <row r="274" spans="1:17">
      <c r="A274" s="227" t="s">
        <v>138</v>
      </c>
      <c r="B274" s="227"/>
      <c r="C274" s="227"/>
      <c r="D274" s="18">
        <f>GETPIVOTDATA("Phase Net Units",'15'!$A$1,"Status","03 Planning","Ward","Balham")</f>
        <v>38</v>
      </c>
      <c r="E274" s="301">
        <f>GETPIVOTDATA("Phase Net Units",'15'!$A$1,"Status","02 Under Construction","Ward","Balham")</f>
        <v>131</v>
      </c>
      <c r="F274" s="301"/>
      <c r="G274" s="301">
        <f>GETPIVOTDATA("Phase Net Units",'15'!$A$1,"Status","01 Completion","Ward","Balham")</f>
        <v>15</v>
      </c>
      <c r="H274" s="301"/>
      <c r="I274" s="6"/>
      <c r="J274" s="3"/>
      <c r="K274" s="3"/>
      <c r="L274" s="3"/>
      <c r="M274" s="3"/>
      <c r="N274" s="3"/>
      <c r="O274" s="3"/>
      <c r="P274" s="2"/>
      <c r="Q274" s="2"/>
    </row>
    <row r="275" spans="1:17">
      <c r="A275" s="227" t="s">
        <v>167</v>
      </c>
      <c r="B275" s="227"/>
      <c r="C275" s="227"/>
      <c r="D275" s="18">
        <f>GETPIVOTDATA("Phase Net Units",'15'!$A$1,"Status","03 Planning","Ward","Bedford")</f>
        <v>32</v>
      </c>
      <c r="E275" s="301">
        <f>GETPIVOTDATA("Phase Net Units",'15'!$A$1,"Status","02 Under Construction","Ward","Bedford")</f>
        <v>14</v>
      </c>
      <c r="F275" s="301"/>
      <c r="G275" s="301">
        <f>GETPIVOTDATA("Phase Net Units",'15'!$A$1,"Status","01 Completion","Ward","Bedford")</f>
        <v>6</v>
      </c>
      <c r="H275" s="301"/>
      <c r="I275" s="6"/>
      <c r="J275" s="3"/>
      <c r="K275" s="3"/>
      <c r="L275" s="3"/>
      <c r="M275" s="3"/>
      <c r="N275" s="3"/>
      <c r="O275" s="3"/>
      <c r="P275" s="2"/>
      <c r="Q275" s="2"/>
    </row>
    <row r="276" spans="1:17">
      <c r="A276" s="227" t="s">
        <v>168</v>
      </c>
      <c r="B276" s="227"/>
      <c r="C276" s="227"/>
      <c r="D276" s="18">
        <f>GETPIVOTDATA("Phase Net Units",'15'!$A$1,"Status","03 Planning","Ward","Earlsfield")</f>
        <v>36</v>
      </c>
      <c r="E276" s="301">
        <f>GETPIVOTDATA("Phase Net Units",'15'!$A$1,"Status","02 Under Construction","Ward","Earlsfield")</f>
        <v>25</v>
      </c>
      <c r="F276" s="301"/>
      <c r="G276" s="301">
        <f>GETPIVOTDATA("Phase Net Units",'15'!$A$1,"Status","01 Completion","Ward","Earlsfield")</f>
        <v>45</v>
      </c>
      <c r="H276" s="301"/>
      <c r="I276" s="6"/>
      <c r="J276" s="3"/>
      <c r="K276" s="3"/>
      <c r="L276" s="3"/>
      <c r="M276" s="3"/>
      <c r="N276" s="3"/>
      <c r="O276" s="3"/>
      <c r="P276" s="2"/>
      <c r="Q276" s="2"/>
    </row>
    <row r="277" spans="1:17">
      <c r="A277" s="227" t="s">
        <v>169</v>
      </c>
      <c r="B277" s="227"/>
      <c r="C277" s="227"/>
      <c r="D277" s="18">
        <f>GETPIVOTDATA("Phase Net Units",'15'!$A$1,"Status","03 Planning","Ward","East Putney")</f>
        <v>58</v>
      </c>
      <c r="E277" s="301">
        <f>GETPIVOTDATA("Phase Net Units",'15'!$A$1,"Status","02 Under Construction","Ward","East Putney")</f>
        <v>21</v>
      </c>
      <c r="F277" s="301"/>
      <c r="G277" s="301">
        <f>GETPIVOTDATA("Phase Net Units",'15'!$A$1,"Status","01 Completion","Ward","East Putney")</f>
        <v>18</v>
      </c>
      <c r="H277" s="301"/>
      <c r="I277" s="6"/>
      <c r="J277" s="3"/>
      <c r="K277" s="3"/>
      <c r="L277" s="3"/>
      <c r="M277" s="3"/>
      <c r="N277" s="3"/>
      <c r="O277" s="3"/>
      <c r="P277" s="2"/>
      <c r="Q277" s="2"/>
    </row>
    <row r="278" spans="1:17">
      <c r="A278" s="227" t="s">
        <v>170</v>
      </c>
      <c r="B278" s="227"/>
      <c r="C278" s="227"/>
      <c r="D278" s="18">
        <f>GETPIVOTDATA("Phase Net Units",'15'!$A$1,"Status","03 Planning","Ward","Fairfield")</f>
        <v>1340</v>
      </c>
      <c r="E278" s="301">
        <f>GETPIVOTDATA("Phase Net Units",'15'!$A$1,"Status","02 Under Construction","Ward","Fairfield")</f>
        <v>141</v>
      </c>
      <c r="F278" s="301"/>
      <c r="G278" s="301">
        <f>GETPIVOTDATA("Phase Net Units",'15'!$A$1,"Status","01 Completion","Ward","Fairfield")</f>
        <v>104</v>
      </c>
      <c r="H278" s="301"/>
      <c r="I278" s="6"/>
      <c r="J278" s="3"/>
      <c r="K278" s="3"/>
      <c r="L278" s="3"/>
      <c r="M278" s="3"/>
      <c r="N278" s="3"/>
      <c r="O278" s="3"/>
      <c r="P278" s="2"/>
      <c r="Q278" s="2"/>
    </row>
    <row r="279" spans="1:17">
      <c r="A279" s="227" t="s">
        <v>171</v>
      </c>
      <c r="B279" s="227"/>
      <c r="C279" s="227"/>
      <c r="D279" s="18">
        <f>GETPIVOTDATA("Phase Net Units",'15'!$A$1,"Status","03 Planning","Ward","Furzedown")</f>
        <v>25</v>
      </c>
      <c r="E279" s="301">
        <f>GETPIVOTDATA("Phase Net Units",'15'!$A$1,"Status","02 Under Construction","Ward","Furzedown")</f>
        <v>21</v>
      </c>
      <c r="F279" s="301"/>
      <c r="G279" s="301">
        <f>GETPIVOTDATA("Phase Net Units",'15'!$A$1,"Status","01 Completion","Ward","Furzedown")</f>
        <v>7</v>
      </c>
      <c r="H279" s="301"/>
      <c r="I279" s="6"/>
      <c r="J279" s="3"/>
      <c r="K279" s="3"/>
      <c r="L279" s="3"/>
      <c r="M279" s="3"/>
      <c r="N279" s="3"/>
      <c r="O279" s="3"/>
      <c r="P279" s="2"/>
      <c r="Q279" s="2"/>
    </row>
    <row r="280" spans="1:17">
      <c r="A280" s="227" t="s">
        <v>172</v>
      </c>
      <c r="B280" s="227"/>
      <c r="C280" s="227"/>
      <c r="D280" s="18">
        <f>GETPIVOTDATA("Phase Net Units",'15'!$A$1,"Status","03 Planning","Ward","Graveney")</f>
        <v>23</v>
      </c>
      <c r="E280" s="301">
        <f>GETPIVOTDATA("Phase Net Units",'15'!$A$1,"Status","02 Under Construction","Ward","Graveney")</f>
        <v>39</v>
      </c>
      <c r="F280" s="301"/>
      <c r="G280" s="301">
        <f>GETPIVOTDATA("Phase Net Units",'15'!$A$1,"Status","01 Completion","Ward","Graveney")</f>
        <v>66</v>
      </c>
      <c r="H280" s="301"/>
      <c r="I280" s="6"/>
      <c r="J280" s="3"/>
      <c r="K280" s="3"/>
      <c r="L280" s="3"/>
      <c r="M280" s="3"/>
      <c r="N280" s="3"/>
      <c r="O280" s="3"/>
      <c r="P280" s="2"/>
      <c r="Q280" s="2"/>
    </row>
    <row r="281" spans="1:17">
      <c r="A281" s="227" t="s">
        <v>147</v>
      </c>
      <c r="B281" s="227"/>
      <c r="C281" s="227"/>
      <c r="D281" s="18">
        <f>GETPIVOTDATA("Phase Net Units",'15'!$A$1,"Status","03 Planning","Ward","Latchmere")</f>
        <v>13</v>
      </c>
      <c r="E281" s="301">
        <f>GETPIVOTDATA("Phase Net Units",'15'!$A$1,"Status","02 Under Construction","Ward","Latchmere")</f>
        <v>209</v>
      </c>
      <c r="F281" s="301"/>
      <c r="G281" s="301">
        <f>GETPIVOTDATA("Phase Net Units",'15'!$A$1,"Status","01 Completion","Ward","Latchmere")</f>
        <v>13</v>
      </c>
      <c r="H281" s="301"/>
      <c r="I281" s="6"/>
      <c r="J281" s="3"/>
      <c r="K281" s="3"/>
      <c r="L281" s="3"/>
      <c r="M281" s="3"/>
      <c r="N281" s="3"/>
      <c r="O281" s="3"/>
      <c r="P281" s="2"/>
      <c r="Q281" s="2"/>
    </row>
    <row r="282" spans="1:17">
      <c r="A282" s="227" t="s">
        <v>173</v>
      </c>
      <c r="B282" s="227"/>
      <c r="C282" s="227"/>
      <c r="D282" s="18">
        <f>GETPIVOTDATA("Phase Net Units",'15'!$A$1,"Status","03 Planning","Ward","Nightingale")</f>
        <v>96</v>
      </c>
      <c r="E282" s="301">
        <f>GETPIVOTDATA("Phase Net Units",'15'!$A$1,"Status","02 Under Construction","Ward","Nightingale")</f>
        <v>51</v>
      </c>
      <c r="F282" s="301"/>
      <c r="G282" s="301">
        <f>GETPIVOTDATA("Phase Net Units",'15'!$A$1,"Status","01 Completion","Ward","Nightingale")</f>
        <v>78</v>
      </c>
      <c r="H282" s="301"/>
      <c r="I282" s="6"/>
      <c r="J282" s="3"/>
      <c r="K282" s="3"/>
      <c r="L282" s="3"/>
      <c r="M282" s="3"/>
      <c r="N282" s="3"/>
      <c r="O282" s="3"/>
      <c r="P282" s="2"/>
      <c r="Q282" s="2"/>
    </row>
    <row r="283" spans="1:17">
      <c r="A283" s="227" t="s">
        <v>174</v>
      </c>
      <c r="B283" s="227"/>
      <c r="C283" s="227"/>
      <c r="D283" s="18">
        <f>GETPIVOTDATA("Phase Net Units",'15'!$A$1,"Status","03 Planning","Ward","Northcote")</f>
        <v>206</v>
      </c>
      <c r="E283" s="301">
        <f>GETPIVOTDATA("Phase Net Units",'15'!$A$1,"Status","02 Under Construction","Ward","Northcote")</f>
        <v>89</v>
      </c>
      <c r="F283" s="301"/>
      <c r="G283" s="301">
        <f>GETPIVOTDATA("Phase Net Units",'15'!$A$1,"Status","01 Completion","Ward","Northcote")</f>
        <v>17</v>
      </c>
      <c r="H283" s="301"/>
      <c r="I283" s="6"/>
      <c r="J283" s="3"/>
      <c r="K283" s="3"/>
      <c r="L283" s="3"/>
      <c r="M283" s="3"/>
      <c r="N283" s="3"/>
      <c r="O283" s="3"/>
      <c r="P283" s="2"/>
      <c r="Q283" s="2"/>
    </row>
    <row r="284" spans="1:17">
      <c r="A284" s="227" t="s">
        <v>148</v>
      </c>
      <c r="B284" s="227"/>
      <c r="C284" s="227"/>
      <c r="D284" s="18">
        <f>GETPIVOTDATA("Phase Net Units",'15'!$A$1,"Status","03 Planning","Ward","Queenstown")</f>
        <v>4467</v>
      </c>
      <c r="E284" s="301">
        <f>GETPIVOTDATA("Phase Net Units",'15'!$A$1,"Status","02 Under Construction","Ward","Queenstown")</f>
        <v>5996</v>
      </c>
      <c r="F284" s="301"/>
      <c r="G284" s="301">
        <f>GETPIVOTDATA("Phase Net Units",'15'!$A$1,"Status","01 Completion","Ward","Queenstown")</f>
        <v>494</v>
      </c>
      <c r="H284" s="301"/>
      <c r="I284" s="6"/>
      <c r="J284" s="3"/>
      <c r="K284" s="3"/>
      <c r="L284" s="3"/>
      <c r="M284" s="3"/>
      <c r="N284" s="3"/>
      <c r="O284" s="3"/>
      <c r="P284" s="2"/>
      <c r="Q284" s="2"/>
    </row>
    <row r="285" spans="1:17">
      <c r="A285" s="227" t="s">
        <v>149</v>
      </c>
      <c r="B285" s="227"/>
      <c r="C285" s="227"/>
      <c r="D285" s="18">
        <f>GETPIVOTDATA("Phase Net Units",'15'!$A$1,"Status","03 Planning","Ward","Roehampton and Putney Heath")</f>
        <v>51</v>
      </c>
      <c r="E285" s="301">
        <f>GETPIVOTDATA("Phase Net Units",'15'!$A$1,"Status","02 Under Construction","Ward","Roehampton and Putney Heath")</f>
        <v>33</v>
      </c>
      <c r="F285" s="301"/>
      <c r="G285" s="301">
        <f>GETPIVOTDATA("Phase Net Units",'15'!$A$1,"Status","01 Completion","Ward","Roehampton and Putney Heath")</f>
        <v>10</v>
      </c>
      <c r="H285" s="301"/>
      <c r="I285" s="6"/>
      <c r="J285" s="3"/>
      <c r="K285" s="3"/>
      <c r="L285" s="3"/>
      <c r="M285" s="3"/>
      <c r="N285" s="3"/>
      <c r="O285" s="3"/>
      <c r="P285" s="2"/>
      <c r="Q285" s="2"/>
    </row>
    <row r="286" spans="1:17">
      <c r="A286" s="227" t="s">
        <v>175</v>
      </c>
      <c r="B286" s="227"/>
      <c r="C286" s="227"/>
      <c r="D286" s="18">
        <f>GETPIVOTDATA("Phase Net Units",'15'!$A$1,"Status","03 Planning","Ward","Shaftesbury")</f>
        <v>17</v>
      </c>
      <c r="E286" s="301">
        <f>GETPIVOTDATA("Phase Net Units",'15'!$A$1,"Status","02 Under Construction","Ward","Shaftesbury")</f>
        <v>42</v>
      </c>
      <c r="F286" s="301"/>
      <c r="G286" s="301">
        <f>GETPIVOTDATA("Phase Net Units",'15'!$A$1,"Status","01 Completion","Ward","Shaftesbury")</f>
        <v>15</v>
      </c>
      <c r="H286" s="301"/>
      <c r="I286" s="6"/>
      <c r="J286" s="3"/>
      <c r="K286" s="3"/>
      <c r="L286" s="3"/>
      <c r="M286" s="3"/>
      <c r="N286" s="3"/>
      <c r="O286" s="3"/>
      <c r="P286" s="2"/>
      <c r="Q286" s="2"/>
    </row>
    <row r="287" spans="1:17">
      <c r="A287" s="227" t="s">
        <v>176</v>
      </c>
      <c r="B287" s="227"/>
      <c r="C287" s="227"/>
      <c r="D287" s="18">
        <f>GETPIVOTDATA("Phase Net Units",'15'!$A$1,"Status","03 Planning","Ward","Southfields")</f>
        <v>42</v>
      </c>
      <c r="E287" s="301">
        <f>GETPIVOTDATA("Phase Net Units",'15'!$A$1,"Status","02 Under Construction","Ward","Southfields")</f>
        <v>83</v>
      </c>
      <c r="F287" s="301"/>
      <c r="G287" s="301">
        <f>GETPIVOTDATA("Phase Net Units",'15'!$A$1,"Status","01 Completion","Ward","Southfields")</f>
        <v>78</v>
      </c>
      <c r="H287" s="301"/>
      <c r="I287" s="6"/>
      <c r="J287" s="3"/>
      <c r="K287" s="3"/>
      <c r="L287" s="3"/>
      <c r="M287" s="3"/>
      <c r="N287" s="3"/>
      <c r="O287" s="3"/>
      <c r="P287" s="2"/>
      <c r="Q287" s="2"/>
    </row>
    <row r="288" spans="1:17">
      <c r="A288" s="227" t="s">
        <v>177</v>
      </c>
      <c r="B288" s="227"/>
      <c r="C288" s="227"/>
      <c r="D288" s="18">
        <f>GETPIVOTDATA("Phase Net Units",'15'!$A$1,"Status","03 Planning","Ward","St Mary's Park")</f>
        <v>519</v>
      </c>
      <c r="E288" s="301">
        <f>GETPIVOTDATA("Phase Net Units",'15'!$A$1,"Status","02 Under Construction","Ward","St Mary's Park")</f>
        <v>482</v>
      </c>
      <c r="F288" s="301"/>
      <c r="G288" s="301">
        <f>GETPIVOTDATA("Phase Net Units",'15'!$A$1,"Status","01 Completion","Ward","St Mary's Park")</f>
        <v>27</v>
      </c>
      <c r="H288" s="301"/>
      <c r="I288" s="6"/>
      <c r="J288" s="3"/>
      <c r="K288" s="3"/>
      <c r="L288" s="3"/>
      <c r="M288" s="3"/>
      <c r="N288" s="3"/>
      <c r="O288" s="3"/>
      <c r="P288" s="2"/>
      <c r="Q288" s="2"/>
    </row>
    <row r="289" spans="1:17">
      <c r="A289" s="227" t="s">
        <v>178</v>
      </c>
      <c r="B289" s="227"/>
      <c r="C289" s="227"/>
      <c r="D289" s="18">
        <f>GETPIVOTDATA("Phase Net Units",'15'!$A$1,"Status","03 Planning","Ward","Thamesfield")</f>
        <v>172</v>
      </c>
      <c r="E289" s="301">
        <f>GETPIVOTDATA("Phase Net Units",'15'!$A$1,"Status","02 Under Construction","Ward","Thamesfield")</f>
        <v>394</v>
      </c>
      <c r="F289" s="301"/>
      <c r="G289" s="301">
        <f>GETPIVOTDATA("Phase Net Units",'15'!$A$1,"Status","01 Completion","Ward","Thamesfield")</f>
        <v>289</v>
      </c>
      <c r="H289" s="301"/>
      <c r="I289" s="6"/>
      <c r="J289" s="3"/>
      <c r="K289" s="3"/>
      <c r="L289" s="3"/>
      <c r="M289" s="3"/>
      <c r="N289" s="3"/>
      <c r="O289" s="3"/>
      <c r="P289" s="2"/>
      <c r="Q289" s="2"/>
    </row>
    <row r="290" spans="1:17">
      <c r="A290" s="227" t="s">
        <v>141</v>
      </c>
      <c r="B290" s="227"/>
      <c r="C290" s="227"/>
      <c r="D290" s="18">
        <f>GETPIVOTDATA("Phase Net Units",'15'!$A$1,"Status","03 Planning","Ward","Tooting")</f>
        <v>80</v>
      </c>
      <c r="E290" s="301">
        <f>GETPIVOTDATA("Phase Net Units",'15'!$A$1,"Status","02 Under Construction","Ward","Tooting")</f>
        <v>97</v>
      </c>
      <c r="F290" s="301"/>
      <c r="G290" s="301">
        <f>GETPIVOTDATA("Phase Net Units",'15'!$A$1,"Status","01 Completion","Ward","Tooting")</f>
        <v>23</v>
      </c>
      <c r="H290" s="301"/>
      <c r="I290" s="6"/>
      <c r="J290" s="3"/>
      <c r="K290" s="3"/>
      <c r="L290" s="3"/>
      <c r="M290" s="3"/>
      <c r="N290" s="3"/>
      <c r="O290" s="3"/>
      <c r="P290" s="2"/>
      <c r="Q290" s="2"/>
    </row>
    <row r="291" spans="1:17">
      <c r="A291" s="227" t="s">
        <v>179</v>
      </c>
      <c r="B291" s="227"/>
      <c r="C291" s="227"/>
      <c r="D291" s="18">
        <f>GETPIVOTDATA("Phase Net Units",'15'!$A$1,"Status","03 Planning","Ward","Wandsworth Common")</f>
        <v>824</v>
      </c>
      <c r="E291" s="301">
        <f>GETPIVOTDATA("Phase Net Units",'15'!$A$1,"Status","02 Under Construction","Ward","Wandsworth Common")</f>
        <v>13</v>
      </c>
      <c r="F291" s="301"/>
      <c r="G291" s="301">
        <f>GETPIVOTDATA("Phase Net Units",'15'!$A$1,"Status","01 Completion","Ward","Wandsworth Common")</f>
        <v>19</v>
      </c>
      <c r="H291" s="301"/>
      <c r="I291" s="6"/>
      <c r="J291" s="3"/>
      <c r="K291" s="3"/>
      <c r="L291" s="3"/>
      <c r="M291" s="3"/>
      <c r="N291" s="3"/>
      <c r="O291" s="3"/>
      <c r="P291" s="2"/>
      <c r="Q291" s="2"/>
    </row>
    <row r="292" spans="1:17">
      <c r="A292" s="227" t="s">
        <v>180</v>
      </c>
      <c r="B292" s="227"/>
      <c r="C292" s="227"/>
      <c r="D292" s="18">
        <f>GETPIVOTDATA("Phase Net Units",'15'!$A$1,"Status","03 Planning","Ward","West Hill")</f>
        <v>16</v>
      </c>
      <c r="E292" s="301">
        <f>GETPIVOTDATA("Phase Net Units",'15'!$A$1,"Status","02 Under Construction","Ward","West Hill")</f>
        <v>49</v>
      </c>
      <c r="F292" s="301"/>
      <c r="G292" s="301">
        <f>GETPIVOTDATA("Phase Net Units",'15'!$A$1,"Status","01 Completion","Ward","West Hill")</f>
        <v>2</v>
      </c>
      <c r="H292" s="301"/>
      <c r="I292" s="6"/>
      <c r="J292" s="3"/>
      <c r="K292" s="3"/>
      <c r="L292" s="3"/>
      <c r="M292" s="3"/>
      <c r="N292" s="3"/>
      <c r="O292" s="3"/>
      <c r="P292" s="2"/>
      <c r="Q292" s="2"/>
    </row>
    <row r="293" spans="1:17">
      <c r="A293" s="227" t="s">
        <v>181</v>
      </c>
      <c r="B293" s="227"/>
      <c r="C293" s="227"/>
      <c r="D293" s="18">
        <f>GETPIVOTDATA("Phase Net Units",'15'!$A$1,"Status","03 Planning","Ward","West Putney")</f>
        <v>14</v>
      </c>
      <c r="E293" s="301">
        <f>GETPIVOTDATA("Phase Net Units",'15'!$A$1,"Status","02 Under Construction","Ward","West Putney")</f>
        <v>-1</v>
      </c>
      <c r="F293" s="301"/>
      <c r="G293" s="301">
        <f>GETPIVOTDATA("Phase Net Units",'15'!$A$1,"Status","01 Completion","Ward","West Putney")</f>
        <v>4</v>
      </c>
      <c r="H293" s="301"/>
      <c r="I293" s="6"/>
      <c r="J293" s="3"/>
      <c r="K293" s="3"/>
      <c r="L293" s="3"/>
      <c r="M293" s="3"/>
      <c r="N293" s="3"/>
      <c r="O293" s="3"/>
      <c r="P293" s="2"/>
      <c r="Q293" s="2"/>
    </row>
    <row r="294" spans="1:17">
      <c r="A294" s="214" t="s">
        <v>17</v>
      </c>
      <c r="B294" s="214"/>
      <c r="C294" s="214"/>
      <c r="D294" s="35">
        <f>SUM(D274:D293)</f>
        <v>8069</v>
      </c>
      <c r="E294" s="213">
        <f t="shared" ref="E294" si="34">SUM(E274:E293)</f>
        <v>7929</v>
      </c>
      <c r="F294" s="213"/>
      <c r="G294" s="213">
        <f>SUM(G274:G293)</f>
        <v>1330</v>
      </c>
      <c r="H294" s="213"/>
      <c r="I294" s="6"/>
      <c r="J294" s="3"/>
      <c r="K294" s="3"/>
      <c r="L294" s="3"/>
      <c r="M294" s="3"/>
      <c r="N294" s="3"/>
      <c r="O294" s="3"/>
      <c r="P294" s="2"/>
      <c r="Q294" s="2"/>
    </row>
    <row r="295" spans="1:17">
      <c r="A295" s="3"/>
      <c r="B295" s="3"/>
      <c r="C295" s="2"/>
      <c r="D295" s="6"/>
      <c r="E295" s="6"/>
      <c r="F295" s="6"/>
      <c r="G295" s="6"/>
      <c r="H295" s="6"/>
      <c r="I295" s="6"/>
      <c r="J295" s="3"/>
      <c r="K295" s="3"/>
      <c r="L295" s="3"/>
      <c r="M295" s="3"/>
      <c r="N295" s="3"/>
      <c r="O295" s="3"/>
      <c r="P295" s="2"/>
      <c r="Q295" s="2"/>
    </row>
    <row r="296" spans="1:17">
      <c r="A296" s="132" t="s">
        <v>182</v>
      </c>
      <c r="B296" s="3"/>
      <c r="C296" s="2"/>
      <c r="D296" s="6"/>
      <c r="E296" s="6"/>
      <c r="F296" s="6"/>
      <c r="G296" s="6"/>
      <c r="H296" s="6"/>
      <c r="I296" s="6"/>
      <c r="J296" s="3"/>
      <c r="K296" s="3"/>
      <c r="L296" s="3"/>
      <c r="M296" s="3"/>
      <c r="N296" s="3"/>
      <c r="O296" s="3"/>
      <c r="P296" s="2"/>
      <c r="Q296" s="2"/>
    </row>
    <row r="297" spans="1:17">
      <c r="A297" s="7" t="s">
        <v>183</v>
      </c>
      <c r="B297" s="7" t="s">
        <v>184</v>
      </c>
      <c r="C297" s="2"/>
      <c r="D297" s="6"/>
      <c r="E297" s="6"/>
      <c r="F297" s="6"/>
      <c r="G297" s="6"/>
      <c r="H297" s="6"/>
      <c r="I297" s="6"/>
      <c r="J297" s="3"/>
      <c r="K297" s="3"/>
      <c r="L297" s="3"/>
      <c r="M297" s="3"/>
      <c r="N297" s="3"/>
      <c r="O297" s="3"/>
      <c r="P297" s="2"/>
      <c r="Q297" s="2"/>
    </row>
    <row r="298" spans="1:17">
      <c r="A298" s="291"/>
      <c r="B298" s="291"/>
      <c r="C298" s="198" t="s">
        <v>166</v>
      </c>
      <c r="D298" s="302"/>
      <c r="E298" s="302"/>
      <c r="F298" s="218" t="s">
        <v>64</v>
      </c>
      <c r="G298" s="218"/>
      <c r="H298" s="218"/>
      <c r="I298" s="218" t="s">
        <v>105</v>
      </c>
      <c r="J298" s="218"/>
      <c r="K298" s="218"/>
      <c r="L298" s="3"/>
      <c r="M298" s="3"/>
      <c r="N298" s="3"/>
      <c r="O298" s="3"/>
      <c r="P298" s="2"/>
      <c r="Q298" s="2"/>
    </row>
    <row r="299" spans="1:17">
      <c r="A299" s="303"/>
      <c r="B299" s="303"/>
      <c r="C299" s="54" t="s">
        <v>185</v>
      </c>
      <c r="D299" s="54" t="s">
        <v>76</v>
      </c>
      <c r="E299" s="54" t="s">
        <v>17</v>
      </c>
      <c r="F299" s="54" t="s">
        <v>185</v>
      </c>
      <c r="G299" s="54" t="s">
        <v>76</v>
      </c>
      <c r="H299" s="54" t="s">
        <v>17</v>
      </c>
      <c r="I299" s="54" t="s">
        <v>185</v>
      </c>
      <c r="J299" s="54" t="s">
        <v>76</v>
      </c>
      <c r="K299" s="54" t="s">
        <v>17</v>
      </c>
      <c r="L299" s="3"/>
      <c r="M299" s="3"/>
      <c r="N299" s="3"/>
      <c r="O299" s="3"/>
      <c r="P299" s="2"/>
      <c r="Q299" s="2"/>
    </row>
    <row r="300" spans="1:17">
      <c r="A300" s="304" t="s">
        <v>186</v>
      </c>
      <c r="B300" s="304"/>
      <c r="C300" s="18">
        <f>GETPIVOTDATA("Phase Net Units",'16'!$A$1,"Status","03 Planning","Tenure","Open Market","VNEB","Y")</f>
        <v>3682</v>
      </c>
      <c r="D300" s="18">
        <f>GETPIVOTDATA("Phase Net Units",'16'!$A$1,"Status","03 Planning","Tenure","Intermediate","VNEB","Y")+GETPIVOTDATA("Phase Net Units",'16'!$A$1,"Status","03 Planning","Tenure","Social/Affordable Rent","VNEB","Y")</f>
        <v>781</v>
      </c>
      <c r="E300" s="18">
        <f>C300+D300</f>
        <v>4463</v>
      </c>
      <c r="F300" s="18">
        <f>GETPIVOTDATA("Phase Net Units",'16'!$A$1,"Status","02 Under Construction","Tenure","Open Market","VNEB","Y")</f>
        <v>4895</v>
      </c>
      <c r="G300" s="18">
        <f>GETPIVOTDATA("Phase Net Units",'16'!$A$1,"Status","02 Under Construction","Tenure","Intermediate","VNEB","Y")+GETPIVOTDATA("Phase Net Units",'16'!$A$1,"Status","02 Under Construction","Tenure","Social/Affordable Rent","VNEB","Y")</f>
        <v>1089</v>
      </c>
      <c r="H300" s="18">
        <f>F300+G300</f>
        <v>5984</v>
      </c>
      <c r="I300" s="18">
        <f>GETPIVOTDATA("Phase Net Units",'16'!$A$1,"Status","01 Completion","Tenure","Open Market","VNEB","Y")</f>
        <v>336</v>
      </c>
      <c r="J300" s="18">
        <f>GETPIVOTDATA("Phase Net Units",'16'!$A$1,"Status","01 Completion","Tenure","Intermediate","VNEB","Y")+GETPIVOTDATA("Phase Net Units",'16'!$A$1,"Status","01 Completion","Tenure","Social/Affordable Rent","VNEB","Y")</f>
        <v>153</v>
      </c>
      <c r="K300" s="18">
        <f>I300+J300</f>
        <v>489</v>
      </c>
      <c r="L300" s="3"/>
      <c r="M300" s="3"/>
      <c r="N300" s="3"/>
      <c r="O300" s="3"/>
      <c r="P300" s="2"/>
      <c r="Q300" s="2"/>
    </row>
    <row r="301" spans="1:17">
      <c r="A301" s="76" t="s">
        <v>150</v>
      </c>
      <c r="B301" s="76"/>
      <c r="C301" s="18">
        <f>GETPIVOTDATA("Phase Net Units",'16'!$A$1,"Status","03 Planning","Tenure","Open Market","VNEB",)</f>
        <v>2841</v>
      </c>
      <c r="D301" s="18">
        <f>GETPIVOTDATA("Phase Net Units",'16'!$A$1,"Status","03 Planning","Tenure","Intermediate","VNEB",)+GETPIVOTDATA("Phase Net Units",'16'!$A$1,"Status","03 Planning","Tenure","Social/Affordable Rent","VNEB",)</f>
        <v>765</v>
      </c>
      <c r="E301" s="18">
        <f>C301+D301</f>
        <v>3606</v>
      </c>
      <c r="F301" s="18">
        <f>GETPIVOTDATA("Phase Net Units",'16'!$A$1,"Status","02 Under Construction","Tenure","Open Market","VNEB",)</f>
        <v>1313</v>
      </c>
      <c r="G301" s="18">
        <f>GETPIVOTDATA("Phase Net Units",'16'!$A$1,"Status","02 Under Construction","Tenure","Intermediate","VNEB",)+GETPIVOTDATA("Phase Net Units",'16'!$A$1,"Status","02 Under Construction","Tenure","Social/Affordable Rent","VNEB",)</f>
        <v>632</v>
      </c>
      <c r="H301" s="18">
        <f>F301+G301</f>
        <v>1945</v>
      </c>
      <c r="I301" s="18">
        <f>GETPIVOTDATA("Phase Net Units",'16'!$A$1,"Status","01 Completion","Tenure","Open Market","VNEB",)</f>
        <v>611</v>
      </c>
      <c r="J301" s="18">
        <f>GETPIVOTDATA("Phase Net Units",'16'!$A$1,"Status","01 Completion","Tenure","Intermediate","VNEB",)+GETPIVOTDATA("Phase Net Units",'16'!$A$1,"Status","01 Completion","Tenure","Social/Affordable Rent","VNEB",)</f>
        <v>230</v>
      </c>
      <c r="K301" s="18">
        <f>I301+J301</f>
        <v>841</v>
      </c>
      <c r="L301" s="3"/>
      <c r="M301" s="3"/>
      <c r="N301" s="3"/>
      <c r="O301" s="3"/>
      <c r="P301" s="2"/>
      <c r="Q301" s="2"/>
    </row>
    <row r="302" spans="1:17">
      <c r="A302" s="292" t="s">
        <v>17</v>
      </c>
      <c r="B302" s="292"/>
      <c r="C302" s="35">
        <f t="shared" ref="C302:J302" si="35">SUM(C300:C301)</f>
        <v>6523</v>
      </c>
      <c r="D302" s="35">
        <f t="shared" si="35"/>
        <v>1546</v>
      </c>
      <c r="E302" s="35">
        <f t="shared" si="35"/>
        <v>8069</v>
      </c>
      <c r="F302" s="35">
        <f t="shared" si="35"/>
        <v>6208</v>
      </c>
      <c r="G302" s="35">
        <f t="shared" si="35"/>
        <v>1721</v>
      </c>
      <c r="H302" s="35">
        <f t="shared" si="35"/>
        <v>7929</v>
      </c>
      <c r="I302" s="35">
        <f t="shared" si="35"/>
        <v>947</v>
      </c>
      <c r="J302" s="35">
        <f t="shared" si="35"/>
        <v>383</v>
      </c>
      <c r="K302" s="35">
        <f>SUM(K300:K301)</f>
        <v>1330</v>
      </c>
      <c r="L302" s="3"/>
      <c r="M302" s="3"/>
      <c r="N302" s="3"/>
      <c r="O302" s="3"/>
      <c r="P302" s="2"/>
      <c r="Q302" s="2"/>
    </row>
    <row r="303" spans="1:17">
      <c r="A303" s="65"/>
      <c r="B303" s="65"/>
      <c r="C303" s="12"/>
      <c r="D303" s="12"/>
      <c r="E303" s="12"/>
      <c r="F303" s="12"/>
      <c r="G303" s="12"/>
      <c r="H303" s="12"/>
      <c r="I303" s="12"/>
      <c r="J303" s="12"/>
      <c r="K303" s="12"/>
      <c r="L303" s="3"/>
      <c r="M303" s="3"/>
      <c r="N303" s="3"/>
      <c r="O303" s="3"/>
      <c r="P303" s="2"/>
      <c r="Q303" s="2"/>
    </row>
    <row r="304" spans="1:17" ht="15.75">
      <c r="A304" s="129" t="s">
        <v>187</v>
      </c>
      <c r="B304" s="3"/>
      <c r="C304" s="3"/>
      <c r="D304" s="3"/>
      <c r="E304" s="3"/>
      <c r="F304" s="3"/>
      <c r="G304" s="3"/>
      <c r="H304" s="3"/>
      <c r="I304" s="3"/>
      <c r="J304" s="3"/>
      <c r="K304" s="3"/>
      <c r="L304" s="13"/>
      <c r="M304" s="3"/>
      <c r="N304" s="3"/>
      <c r="O304" s="3"/>
      <c r="P304" s="2"/>
      <c r="Q304" s="2"/>
    </row>
    <row r="305" spans="1:17">
      <c r="A305" s="3"/>
      <c r="B305" s="3"/>
      <c r="C305" s="3"/>
      <c r="D305" s="3"/>
      <c r="E305" s="3"/>
      <c r="F305" s="3"/>
      <c r="G305" s="3"/>
      <c r="H305" s="3"/>
      <c r="I305" s="3"/>
      <c r="J305" s="3"/>
      <c r="K305" s="3"/>
      <c r="L305" s="3"/>
      <c r="M305" s="3"/>
      <c r="N305" s="3"/>
      <c r="O305" s="3"/>
      <c r="P305" s="2"/>
      <c r="Q305" s="2"/>
    </row>
    <row r="306" spans="1:17">
      <c r="A306" s="7" t="s">
        <v>188</v>
      </c>
      <c r="B306" s="7" t="s">
        <v>189</v>
      </c>
      <c r="C306" s="3"/>
      <c r="D306" s="3"/>
      <c r="E306" s="3"/>
      <c r="F306" s="3"/>
      <c r="G306" s="3"/>
      <c r="H306" s="3"/>
      <c r="I306" s="3"/>
      <c r="K306" s="3"/>
      <c r="M306" s="3"/>
      <c r="N306" s="3"/>
      <c r="O306" s="3"/>
      <c r="P306" s="2"/>
      <c r="Q306" s="2"/>
    </row>
    <row r="307" spans="1:17">
      <c r="A307" s="210" t="s">
        <v>50</v>
      </c>
      <c r="B307" s="211"/>
      <c r="C307" s="54" t="s">
        <v>190</v>
      </c>
      <c r="D307" s="54" t="s">
        <v>191</v>
      </c>
      <c r="E307" s="54" t="s">
        <v>192</v>
      </c>
      <c r="F307" s="54" t="s">
        <v>193</v>
      </c>
      <c r="G307" s="54" t="s">
        <v>194</v>
      </c>
      <c r="H307" s="54" t="s">
        <v>195</v>
      </c>
      <c r="I307" s="54" t="s">
        <v>196</v>
      </c>
      <c r="J307" s="54" t="s">
        <v>17</v>
      </c>
      <c r="K307" s="3"/>
      <c r="L307" s="3"/>
      <c r="M307" s="3"/>
      <c r="N307" s="3"/>
      <c r="O307" s="3"/>
      <c r="P307" s="2"/>
      <c r="Q307" s="2"/>
    </row>
    <row r="308" spans="1:17">
      <c r="A308" s="212" t="s">
        <v>185</v>
      </c>
      <c r="B308" s="212"/>
      <c r="C308" s="18">
        <f>GETPIVOTDATA("Sum of Net Studio Units",'17'!$A$1,"Tenure","Open Market")</f>
        <v>1</v>
      </c>
      <c r="D308" s="18">
        <f>GETPIVOTDATA("Sum of Net 1 Bed Units",'17'!$A$1,"Tenure","Open Market")</f>
        <v>163</v>
      </c>
      <c r="E308" s="18">
        <f>GETPIVOTDATA("Sum of Net 2 Bed Units",'17'!$A$1,"Tenure","Open Market")</f>
        <v>480</v>
      </c>
      <c r="F308" s="18">
        <f>GETPIVOTDATA("Sum of Net 3 Bed Units",'17'!$A$1,"Tenure","Open Market")</f>
        <v>82</v>
      </c>
      <c r="G308" s="18">
        <f>GETPIVOTDATA("Sum of Net 4 Bed Units",'17'!$A$1,"Tenure","Open Market")</f>
        <v>8</v>
      </c>
      <c r="H308" s="18">
        <f>GETPIVOTDATA("Sum of Net 5+ Bed Units",'17'!$A$1,"Tenure","Open Market")</f>
        <v>5</v>
      </c>
      <c r="I308" s="18">
        <f>GETPIVOTDATA("Sum of Net Not Known Bed Units",'17'!$A$1,"Tenure","Open Market")</f>
        <v>0</v>
      </c>
      <c r="J308" s="18">
        <f t="shared" ref="J308:J315" si="36">SUM(C308:I308)</f>
        <v>739</v>
      </c>
      <c r="K308" s="3"/>
      <c r="L308" s="3"/>
      <c r="M308" s="3"/>
      <c r="N308" s="3"/>
      <c r="O308" s="3"/>
      <c r="P308" s="2"/>
      <c r="Q308" s="2"/>
    </row>
    <row r="309" spans="1:17">
      <c r="A309" s="212"/>
      <c r="B309" s="212"/>
      <c r="C309" s="19">
        <f t="shared" ref="C309:I309" si="37">C308/$J$308</f>
        <v>1.3531799729364006E-3</v>
      </c>
      <c r="D309" s="19">
        <f t="shared" si="37"/>
        <v>0.22056833558863329</v>
      </c>
      <c r="E309" s="19">
        <f t="shared" si="37"/>
        <v>0.64952638700947229</v>
      </c>
      <c r="F309" s="19">
        <f t="shared" si="37"/>
        <v>0.11096075778078485</v>
      </c>
      <c r="G309" s="19">
        <f t="shared" si="37"/>
        <v>1.0825439783491205E-2</v>
      </c>
      <c r="H309" s="19">
        <f t="shared" si="37"/>
        <v>6.7658998646820028E-3</v>
      </c>
      <c r="I309" s="19">
        <f t="shared" si="37"/>
        <v>0</v>
      </c>
      <c r="J309" s="19">
        <f t="shared" si="36"/>
        <v>1</v>
      </c>
      <c r="K309" s="3"/>
      <c r="L309" s="3"/>
      <c r="M309" s="3"/>
      <c r="N309" s="3"/>
      <c r="O309" s="3"/>
      <c r="P309" s="2"/>
      <c r="Q309" s="2"/>
    </row>
    <row r="310" spans="1:17">
      <c r="A310" s="212" t="s">
        <v>54</v>
      </c>
      <c r="B310" s="212"/>
      <c r="C310" s="18">
        <f>GETPIVOTDATA("Sum of Net Studio Units",'17'!$A$1,"Tenure","Intermediate")</f>
        <v>3</v>
      </c>
      <c r="D310" s="18">
        <f>GETPIVOTDATA("Sum of Net 1 Bed Units",'17'!$A$1,"Tenure","Intermediate")</f>
        <v>64</v>
      </c>
      <c r="E310" s="18">
        <f>GETPIVOTDATA("Sum of Net 2 Bed Units",'17'!$A$1,"Tenure","Intermediate")</f>
        <v>124</v>
      </c>
      <c r="F310" s="18">
        <f>GETPIVOTDATA("Sum of Net 3 Bed Units",'17'!$A$1,"Tenure","Intermediate")</f>
        <v>5</v>
      </c>
      <c r="G310" s="18">
        <f>GETPIVOTDATA("Sum of Net 4 Bed Units",'17'!$A$1,"Tenure","Intermediate")</f>
        <v>0</v>
      </c>
      <c r="H310" s="18">
        <f>GETPIVOTDATA("Sum of Net 5+ Bed Units",'17'!$A$1,"Tenure","Intermediate")</f>
        <v>0</v>
      </c>
      <c r="I310" s="18">
        <f>GETPIVOTDATA("Sum of Net Not Known Bed Units",'17'!$A$1,"Tenure","Intermediate")</f>
        <v>0</v>
      </c>
      <c r="J310" s="18">
        <f t="shared" si="36"/>
        <v>196</v>
      </c>
      <c r="K310" s="3"/>
      <c r="L310" s="2"/>
      <c r="M310" s="2"/>
      <c r="N310" s="2"/>
      <c r="O310" s="2"/>
      <c r="P310" s="2"/>
      <c r="Q310" s="2"/>
    </row>
    <row r="311" spans="1:17">
      <c r="A311" s="212"/>
      <c r="B311" s="212"/>
      <c r="C311" s="19">
        <f t="shared" ref="C311:I311" si="38">C310/$J$310</f>
        <v>1.5306122448979591E-2</v>
      </c>
      <c r="D311" s="19">
        <f t="shared" si="38"/>
        <v>0.32653061224489793</v>
      </c>
      <c r="E311" s="19">
        <f t="shared" si="38"/>
        <v>0.63265306122448983</v>
      </c>
      <c r="F311" s="19">
        <f t="shared" si="38"/>
        <v>2.5510204081632654E-2</v>
      </c>
      <c r="G311" s="19">
        <f t="shared" si="38"/>
        <v>0</v>
      </c>
      <c r="H311" s="19">
        <f t="shared" si="38"/>
        <v>0</v>
      </c>
      <c r="I311" s="19">
        <f t="shared" si="38"/>
        <v>0</v>
      </c>
      <c r="J311" s="19">
        <f>SUM(C311:I311)</f>
        <v>1</v>
      </c>
      <c r="K311" s="3"/>
      <c r="L311" s="3"/>
      <c r="M311" s="3"/>
      <c r="N311" s="3"/>
      <c r="O311" s="3"/>
      <c r="P311" s="2"/>
      <c r="Q311" s="2"/>
    </row>
    <row r="312" spans="1:17">
      <c r="A312" s="212" t="s">
        <v>55</v>
      </c>
      <c r="B312" s="212"/>
      <c r="C312" s="18">
        <f>GETPIVOTDATA("Sum of Net Studio Units",'17'!$A$1,"Tenure","Social/Affordable Rent")</f>
        <v>0</v>
      </c>
      <c r="D312" s="18">
        <f>GETPIVOTDATA("Sum of Net 1 Bed Units",'17'!$A$1,"Tenure","Social/Affordable Rent")</f>
        <v>21</v>
      </c>
      <c r="E312" s="18">
        <f>GETPIVOTDATA("Sum of Net 2 Bed Units",'17'!$A$1,"Tenure","Social/Affordable Rent")</f>
        <v>55</v>
      </c>
      <c r="F312" s="18">
        <f>GETPIVOTDATA("Sum of Net 3 Bed Units",'17'!$A$1,"Tenure","Social/Affordable Rent")</f>
        <v>41</v>
      </c>
      <c r="G312" s="18">
        <f>GETPIVOTDATA("Sum of Net 4 Bed Units",'17'!$A$1,"Tenure","Social/Affordable Rent")</f>
        <v>19</v>
      </c>
      <c r="H312" s="18">
        <f>GETPIVOTDATA("Sum of Net 5+ Bed Units",'17'!$A$1,"Tenure","Social/Affordable Rent")</f>
        <v>0</v>
      </c>
      <c r="I312" s="18">
        <f>GETPIVOTDATA("Sum of Net Not Known Bed Units",'17'!$A$1,"Tenure","Social/Affordable Rent")</f>
        <v>0</v>
      </c>
      <c r="J312" s="18">
        <f t="shared" si="36"/>
        <v>136</v>
      </c>
      <c r="K312" s="3"/>
      <c r="L312" s="3"/>
      <c r="M312" s="3"/>
      <c r="N312" s="3"/>
      <c r="O312" s="3"/>
      <c r="P312" s="2"/>
      <c r="Q312" s="2"/>
    </row>
    <row r="313" spans="1:17">
      <c r="A313" s="212"/>
      <c r="B313" s="212"/>
      <c r="C313" s="19">
        <f t="shared" ref="C313:I313" si="39">C312/$J$312</f>
        <v>0</v>
      </c>
      <c r="D313" s="19">
        <f t="shared" si="39"/>
        <v>0.15441176470588236</v>
      </c>
      <c r="E313" s="19">
        <f t="shared" si="39"/>
        <v>0.40441176470588236</v>
      </c>
      <c r="F313" s="19">
        <f t="shared" si="39"/>
        <v>0.3014705882352941</v>
      </c>
      <c r="G313" s="19">
        <f t="shared" si="39"/>
        <v>0.13970588235294118</v>
      </c>
      <c r="H313" s="19">
        <f t="shared" si="39"/>
        <v>0</v>
      </c>
      <c r="I313" s="19">
        <f t="shared" si="39"/>
        <v>0</v>
      </c>
      <c r="J313" s="19">
        <f t="shared" si="36"/>
        <v>1</v>
      </c>
      <c r="K313" s="3"/>
      <c r="L313" s="3"/>
      <c r="M313" s="3"/>
      <c r="N313" s="3"/>
      <c r="O313" s="3"/>
      <c r="P313" s="2"/>
      <c r="Q313" s="2"/>
    </row>
    <row r="314" spans="1:17">
      <c r="A314" s="209" t="s">
        <v>17</v>
      </c>
      <c r="B314" s="209"/>
      <c r="C314" s="35">
        <f>SUM(C308,C310,C312)</f>
        <v>4</v>
      </c>
      <c r="D314" s="35">
        <f t="shared" ref="D314:I314" si="40">SUM(D308,D310,D312)</f>
        <v>248</v>
      </c>
      <c r="E314" s="35">
        <f t="shared" si="40"/>
        <v>659</v>
      </c>
      <c r="F314" s="35">
        <f t="shared" si="40"/>
        <v>128</v>
      </c>
      <c r="G314" s="35">
        <f t="shared" si="40"/>
        <v>27</v>
      </c>
      <c r="H314" s="35">
        <f t="shared" si="40"/>
        <v>5</v>
      </c>
      <c r="I314" s="35">
        <f t="shared" si="40"/>
        <v>0</v>
      </c>
      <c r="J314" s="35">
        <f>SUM(C314:I314)</f>
        <v>1071</v>
      </c>
      <c r="K314" s="3"/>
      <c r="L314" s="3"/>
      <c r="M314" s="3"/>
      <c r="N314" s="3"/>
      <c r="O314" s="3"/>
      <c r="P314" s="2"/>
      <c r="Q314" s="2"/>
    </row>
    <row r="315" spans="1:17">
      <c r="A315" s="209"/>
      <c r="B315" s="209"/>
      <c r="C315" s="14">
        <f t="shared" ref="C315:I315" si="41">C314/$J$314</f>
        <v>3.7348272642390291E-3</v>
      </c>
      <c r="D315" s="22">
        <f t="shared" si="41"/>
        <v>0.2315592903828198</v>
      </c>
      <c r="E315" s="22">
        <f t="shared" si="41"/>
        <v>0.61531279178338005</v>
      </c>
      <c r="F315" s="22">
        <f t="shared" si="41"/>
        <v>0.11951447245564893</v>
      </c>
      <c r="G315" s="22">
        <f t="shared" si="41"/>
        <v>2.5210084033613446E-2</v>
      </c>
      <c r="H315" s="22">
        <f t="shared" si="41"/>
        <v>4.6685340802987861E-3</v>
      </c>
      <c r="I315" s="22">
        <f t="shared" si="41"/>
        <v>0</v>
      </c>
      <c r="J315" s="22">
        <f t="shared" si="36"/>
        <v>1.0000000000000002</v>
      </c>
      <c r="K315" s="3"/>
      <c r="L315" s="3"/>
      <c r="M315" s="3"/>
      <c r="N315" s="3"/>
      <c r="O315" s="3"/>
      <c r="P315" s="2"/>
      <c r="Q315" s="2"/>
    </row>
    <row r="316" spans="1:17">
      <c r="A316" s="3"/>
      <c r="B316" s="8"/>
      <c r="C316" s="8"/>
      <c r="D316" s="8"/>
      <c r="E316" s="8"/>
      <c r="F316" s="8"/>
      <c r="G316" s="8"/>
      <c r="H316" s="8"/>
      <c r="I316" s="3"/>
      <c r="J316" s="3"/>
      <c r="K316" s="3"/>
      <c r="L316" s="3"/>
      <c r="M316" s="3"/>
      <c r="N316" s="3"/>
      <c r="O316" s="3"/>
      <c r="P316" s="2"/>
      <c r="Q316" s="2"/>
    </row>
    <row r="317" spans="1:17">
      <c r="A317" s="2"/>
      <c r="B317" s="2"/>
      <c r="C317" s="2"/>
      <c r="D317" s="2"/>
      <c r="E317" s="2"/>
      <c r="F317" s="2"/>
      <c r="G317" s="2"/>
      <c r="H317" s="2"/>
      <c r="I317" s="2"/>
      <c r="J317" s="2"/>
      <c r="K317" s="2"/>
      <c r="L317" s="3"/>
      <c r="M317" s="3"/>
      <c r="N317" s="3"/>
      <c r="O317" s="3"/>
      <c r="P317" s="2"/>
      <c r="Q317" s="2"/>
    </row>
    <row r="318" spans="1:17">
      <c r="A318" s="7" t="s">
        <v>197</v>
      </c>
      <c r="B318" s="7" t="s">
        <v>198</v>
      </c>
      <c r="C318" s="3"/>
      <c r="D318" s="3"/>
      <c r="E318" s="3"/>
      <c r="F318" s="3"/>
      <c r="G318" s="3"/>
      <c r="H318" s="3"/>
      <c r="I318" s="3"/>
      <c r="K318" s="3"/>
      <c r="L318" s="13"/>
      <c r="M318" s="3"/>
      <c r="N318" s="3"/>
      <c r="O318" s="3"/>
      <c r="P318" s="2"/>
      <c r="Q318" s="2"/>
    </row>
    <row r="319" spans="1:17">
      <c r="A319" s="210" t="s">
        <v>50</v>
      </c>
      <c r="B319" s="211"/>
      <c r="C319" s="54" t="s">
        <v>190</v>
      </c>
      <c r="D319" s="54" t="s">
        <v>191</v>
      </c>
      <c r="E319" s="54" t="s">
        <v>192</v>
      </c>
      <c r="F319" s="54" t="s">
        <v>193</v>
      </c>
      <c r="G319" s="54" t="s">
        <v>194</v>
      </c>
      <c r="H319" s="54" t="s">
        <v>195</v>
      </c>
      <c r="I319" s="54" t="s">
        <v>196</v>
      </c>
      <c r="J319" s="54" t="s">
        <v>17</v>
      </c>
      <c r="K319" s="3"/>
      <c r="L319" s="3"/>
      <c r="M319" s="3"/>
      <c r="N319" s="3"/>
      <c r="O319" s="3"/>
      <c r="P319" s="2"/>
      <c r="Q319" s="2"/>
    </row>
    <row r="320" spans="1:17">
      <c r="A320" s="212" t="s">
        <v>185</v>
      </c>
      <c r="B320" s="212"/>
      <c r="C320" s="18">
        <f>GETPIVOTDATA("Sum of Net Studio Units",'18'!$A$1,"Tenure","Open Market")</f>
        <v>693</v>
      </c>
      <c r="D320" s="18">
        <f>GETPIVOTDATA("Sum of Net 1 Bed Units",'18'!$A$1,"Tenure","Open Market")</f>
        <v>2796</v>
      </c>
      <c r="E320" s="18">
        <f>GETPIVOTDATA("Sum of Net 2 Bed Units",'18'!$A$1,"Tenure","Open Market")</f>
        <v>5447</v>
      </c>
      <c r="F320" s="18">
        <f>GETPIVOTDATA("Sum of Net 3 Bed Units",'18'!$A$1,"Tenure","Open Market")</f>
        <v>2102</v>
      </c>
      <c r="G320" s="18">
        <f>GETPIVOTDATA("Sum of Net 4 Bed Units",'18'!$A$1,"Tenure","Open Market")</f>
        <v>261</v>
      </c>
      <c r="H320" s="18">
        <f>GETPIVOTDATA("Sum of Net 5+ Bed Units",'18'!$A$1,"Tenure","Open Market")</f>
        <v>238</v>
      </c>
      <c r="I320" s="18">
        <f>GETPIVOTDATA("Sum of Net Not Known Bed Units",'18'!$A$1,"Tenure","Open Market")</f>
        <v>-6</v>
      </c>
      <c r="J320" s="18">
        <f>SUM(C320:I320)</f>
        <v>11531</v>
      </c>
      <c r="K320" s="3"/>
      <c r="L320" s="3"/>
      <c r="M320" s="3"/>
      <c r="N320" s="3"/>
      <c r="O320" s="3"/>
      <c r="P320" s="2"/>
      <c r="Q320" s="2"/>
    </row>
    <row r="321" spans="1:17">
      <c r="A321" s="212"/>
      <c r="B321" s="212"/>
      <c r="C321" s="19">
        <f t="shared" ref="C321:I321" si="42">C320/$J$320</f>
        <v>6.0098863932009368E-2</v>
      </c>
      <c r="D321" s="19">
        <f t="shared" si="42"/>
        <v>0.24247680166507676</v>
      </c>
      <c r="E321" s="19">
        <f t="shared" si="42"/>
        <v>0.47237880496054113</v>
      </c>
      <c r="F321" s="19">
        <f t="shared" si="42"/>
        <v>0.18229121498569076</v>
      </c>
      <c r="G321" s="19">
        <f t="shared" si="42"/>
        <v>2.2634637065302228E-2</v>
      </c>
      <c r="H321" s="19">
        <f t="shared" si="42"/>
        <v>2.064001387563958E-2</v>
      </c>
      <c r="I321" s="19">
        <f t="shared" si="42"/>
        <v>-5.203364842598213E-4</v>
      </c>
      <c r="J321" s="19">
        <f>SUM(C321:I321)</f>
        <v>1</v>
      </c>
      <c r="K321" s="3"/>
      <c r="L321" s="3"/>
      <c r="M321" s="3"/>
      <c r="N321" s="3"/>
      <c r="O321" s="3"/>
      <c r="P321" s="2"/>
      <c r="Q321" s="2"/>
    </row>
    <row r="322" spans="1:17">
      <c r="A322" s="212" t="s">
        <v>54</v>
      </c>
      <c r="B322" s="212"/>
      <c r="C322" s="18">
        <f>GETPIVOTDATA("Sum of Net Studio Units",'18'!$A$1,"Tenure","Intermediate")</f>
        <v>6</v>
      </c>
      <c r="D322" s="18">
        <f>GETPIVOTDATA("Sum of Net 1 Bed Units",'18'!$A$1,"Tenure","Intermediate")</f>
        <v>804</v>
      </c>
      <c r="E322" s="18">
        <f>GETPIVOTDATA("Sum of Net 2 Bed Units",'18'!$A$1,"Tenure","Intermediate")</f>
        <v>992</v>
      </c>
      <c r="F322" s="18">
        <f>GETPIVOTDATA("Sum of Net 3 Bed Units",'18'!$A$1,"Tenure","Intermediate")</f>
        <v>220</v>
      </c>
      <c r="G322" s="18">
        <f>GETPIVOTDATA("Sum of Net 4 Bed Units",'18'!$A$1,"Tenure","Intermediate")</f>
        <v>47</v>
      </c>
      <c r="H322" s="18">
        <f>GETPIVOTDATA("Sum of Net 5+ Bed Units",'18'!$A$1,"Tenure","Intermediate")</f>
        <v>0</v>
      </c>
      <c r="I322" s="18">
        <f>GETPIVOTDATA("Sum of Net Not Known Bed Units",'18'!$A$1,"Tenure","Intermediate")</f>
        <v>0</v>
      </c>
      <c r="J322" s="18">
        <f>SUM(C322:I322)</f>
        <v>2069</v>
      </c>
      <c r="K322" s="3"/>
      <c r="L322" s="3"/>
      <c r="M322" s="3"/>
      <c r="N322" s="3"/>
      <c r="O322" s="3"/>
      <c r="P322" s="2"/>
      <c r="Q322" s="2"/>
    </row>
    <row r="323" spans="1:17">
      <c r="A323" s="212"/>
      <c r="B323" s="212"/>
      <c r="C323" s="19">
        <f t="shared" ref="C323:I323" si="43">C322/$J$322</f>
        <v>2.8999516674722086E-3</v>
      </c>
      <c r="D323" s="19">
        <f t="shared" si="43"/>
        <v>0.38859352344127596</v>
      </c>
      <c r="E323" s="19">
        <f t="shared" si="43"/>
        <v>0.47945867568873851</v>
      </c>
      <c r="F323" s="19">
        <f t="shared" si="43"/>
        <v>0.10633156114064765</v>
      </c>
      <c r="G323" s="19">
        <f t="shared" si="43"/>
        <v>2.2716288061865635E-2</v>
      </c>
      <c r="H323" s="19">
        <f t="shared" si="43"/>
        <v>0</v>
      </c>
      <c r="I323" s="19">
        <f t="shared" si="43"/>
        <v>0</v>
      </c>
      <c r="J323" s="19">
        <f>SUM(C323:I323)</f>
        <v>1</v>
      </c>
      <c r="K323" s="3"/>
      <c r="L323" s="3"/>
      <c r="M323" s="3"/>
      <c r="N323" s="3"/>
      <c r="O323" s="3"/>
      <c r="P323" s="2"/>
      <c r="Q323" s="2"/>
    </row>
    <row r="324" spans="1:17">
      <c r="A324" s="212" t="s">
        <v>55</v>
      </c>
      <c r="B324" s="212"/>
      <c r="C324" s="18">
        <f>GETPIVOTDATA("Sum of Net Studio Units",'18'!$A$1,"Tenure","Social/Affordable Rent")</f>
        <v>-55</v>
      </c>
      <c r="D324" s="18">
        <f>GETPIVOTDATA("Sum of Net 1 Bed Units",'18'!$A$1,"Tenure","Social/Affordable Rent")</f>
        <v>468</v>
      </c>
      <c r="E324" s="18">
        <f>GETPIVOTDATA("Sum of Net 2 Bed Units",'18'!$A$1,"Tenure","Social/Affordable Rent")</f>
        <v>485</v>
      </c>
      <c r="F324" s="18">
        <f>GETPIVOTDATA("Sum of Net 3 Bed Units",'18'!$A$1,"Tenure","Social/Affordable Rent")</f>
        <v>220</v>
      </c>
      <c r="G324" s="18">
        <f>GETPIVOTDATA("Sum of Net 4 Bed Units",'18'!$A$1,"Tenure","Social/Affordable Rent")</f>
        <v>44</v>
      </c>
      <c r="H324" s="18">
        <f>GETPIVOTDATA("Sum of Net 5+ Bed Units",'18'!$A$1,"Tenure","Social/Affordable Rent")</f>
        <v>2</v>
      </c>
      <c r="I324" s="18">
        <f>GETPIVOTDATA("Sum of Net Not Known Bed Units",'18'!$A$1,"Tenure","Social/Affordable Rent")</f>
        <v>0</v>
      </c>
      <c r="J324" s="18">
        <f>SUM(C324:I324)</f>
        <v>1164</v>
      </c>
      <c r="K324" s="3"/>
      <c r="L324" s="3"/>
      <c r="M324" s="3"/>
      <c r="N324" s="3"/>
      <c r="O324" s="3"/>
      <c r="P324" s="2"/>
      <c r="Q324" s="2"/>
    </row>
    <row r="325" spans="1:17">
      <c r="A325" s="212"/>
      <c r="B325" s="212"/>
      <c r="C325" s="19">
        <f t="shared" ref="C325:I325" si="44">C324/$J$324</f>
        <v>-4.7250859106529208E-2</v>
      </c>
      <c r="D325" s="19">
        <f t="shared" si="44"/>
        <v>0.40206185567010311</v>
      </c>
      <c r="E325" s="19">
        <f t="shared" si="44"/>
        <v>0.41666666666666669</v>
      </c>
      <c r="F325" s="19">
        <f t="shared" si="44"/>
        <v>0.18900343642611683</v>
      </c>
      <c r="G325" s="19">
        <f t="shared" si="44"/>
        <v>3.7800687285223365E-2</v>
      </c>
      <c r="H325" s="19">
        <f t="shared" si="44"/>
        <v>1.718213058419244E-3</v>
      </c>
      <c r="I325" s="19">
        <f t="shared" si="44"/>
        <v>0</v>
      </c>
      <c r="J325" s="19">
        <v>1</v>
      </c>
      <c r="K325" s="3"/>
      <c r="L325" s="3"/>
      <c r="M325" s="3"/>
      <c r="N325" s="3"/>
      <c r="O325" s="3"/>
      <c r="P325" s="2"/>
      <c r="Q325" s="2"/>
    </row>
    <row r="326" spans="1:17">
      <c r="A326" s="209" t="s">
        <v>17</v>
      </c>
      <c r="B326" s="209"/>
      <c r="C326" s="35">
        <f>SUM(C320,C322,C324)</f>
        <v>644</v>
      </c>
      <c r="D326" s="35">
        <f t="shared" ref="D326:I326" si="45">SUM(D320,D322,D324)</f>
        <v>4068</v>
      </c>
      <c r="E326" s="35">
        <f t="shared" si="45"/>
        <v>6924</v>
      </c>
      <c r="F326" s="35">
        <f t="shared" si="45"/>
        <v>2542</v>
      </c>
      <c r="G326" s="35">
        <f t="shared" si="45"/>
        <v>352</v>
      </c>
      <c r="H326" s="35">
        <f t="shared" si="45"/>
        <v>240</v>
      </c>
      <c r="I326" s="35">
        <f t="shared" si="45"/>
        <v>-6</v>
      </c>
      <c r="J326" s="35">
        <f>SUM(C326:I326)</f>
        <v>14764</v>
      </c>
      <c r="K326" s="3"/>
      <c r="L326" s="3"/>
      <c r="M326" s="3"/>
      <c r="N326" s="3"/>
      <c r="O326" s="3"/>
      <c r="P326" s="2"/>
      <c r="Q326" s="2"/>
    </row>
    <row r="327" spans="1:17">
      <c r="A327" s="209"/>
      <c r="B327" s="209"/>
      <c r="C327" s="22">
        <f t="shared" ref="C327:I327" si="46">C326/$J$326</f>
        <v>4.3619615280411812E-2</v>
      </c>
      <c r="D327" s="22">
        <f t="shared" si="46"/>
        <v>0.27553508534272553</v>
      </c>
      <c r="E327" s="22">
        <f t="shared" si="46"/>
        <v>0.46897859658629099</v>
      </c>
      <c r="F327" s="22">
        <f t="shared" si="46"/>
        <v>0.17217556217827146</v>
      </c>
      <c r="G327" s="22">
        <f t="shared" si="46"/>
        <v>2.3841777296125712E-2</v>
      </c>
      <c r="H327" s="22">
        <f t="shared" si="46"/>
        <v>1.6255757247358438E-2</v>
      </c>
      <c r="I327" s="22">
        <f t="shared" si="46"/>
        <v>-4.06393931183961E-4</v>
      </c>
      <c r="J327" s="22">
        <f>SUM(C327:I327)</f>
        <v>1</v>
      </c>
      <c r="K327" s="3"/>
      <c r="L327" s="3"/>
      <c r="M327" s="3"/>
      <c r="N327" s="3"/>
      <c r="O327" s="3"/>
      <c r="P327" s="2"/>
      <c r="Q327" s="2"/>
    </row>
    <row r="328" spans="1:17">
      <c r="A328" s="3"/>
      <c r="B328" s="8"/>
      <c r="C328" s="8"/>
      <c r="D328" s="8"/>
      <c r="E328" s="8"/>
      <c r="F328" s="8"/>
      <c r="G328" s="8"/>
      <c r="H328" s="8"/>
      <c r="I328" s="3"/>
      <c r="J328" s="3"/>
      <c r="K328" s="3"/>
      <c r="L328" s="3"/>
      <c r="M328" s="3"/>
      <c r="N328" s="3"/>
      <c r="O328" s="3"/>
      <c r="P328" s="2"/>
      <c r="Q328" s="2"/>
    </row>
    <row r="329" spans="1:17" ht="15.75">
      <c r="A329" s="129" t="s">
        <v>60</v>
      </c>
      <c r="B329" s="3"/>
      <c r="C329" s="3"/>
      <c r="D329" s="3"/>
      <c r="E329" s="3"/>
      <c r="F329" s="3"/>
      <c r="G329" s="3"/>
      <c r="H329" s="3"/>
      <c r="I329" s="3"/>
      <c r="J329" s="3"/>
      <c r="K329" s="3"/>
      <c r="L329" s="3"/>
      <c r="M329" s="3"/>
      <c r="N329" s="3"/>
      <c r="O329" s="3"/>
      <c r="P329" s="2"/>
      <c r="Q329" s="2"/>
    </row>
    <row r="330" spans="1:17">
      <c r="A330" s="67"/>
      <c r="B330" s="3"/>
      <c r="C330" s="3"/>
      <c r="D330" s="3"/>
      <c r="E330" s="3"/>
      <c r="F330" s="3"/>
      <c r="G330" s="3"/>
      <c r="H330" s="3"/>
      <c r="I330" s="3"/>
      <c r="J330" s="3"/>
      <c r="K330" s="3"/>
      <c r="L330" s="3"/>
      <c r="M330" s="3"/>
      <c r="N330" s="3"/>
      <c r="O330" s="3"/>
      <c r="P330" s="2"/>
      <c r="Q330" s="2"/>
    </row>
    <row r="331" spans="1:17">
      <c r="A331" s="7" t="s">
        <v>199</v>
      </c>
      <c r="B331" s="7" t="s">
        <v>200</v>
      </c>
      <c r="C331" s="3"/>
      <c r="D331" s="3"/>
      <c r="E331" s="3"/>
      <c r="F331" s="3"/>
      <c r="G331" s="3"/>
      <c r="H331" s="3"/>
      <c r="I331" s="3"/>
      <c r="J331" s="3"/>
      <c r="K331" s="3"/>
      <c r="L331" s="3"/>
      <c r="M331" s="3"/>
      <c r="N331" s="3"/>
      <c r="O331" s="3"/>
      <c r="P331" s="2"/>
      <c r="Q331" s="2"/>
    </row>
    <row r="332" spans="1:17">
      <c r="A332" s="291"/>
      <c r="B332" s="291"/>
      <c r="C332" s="54" t="s">
        <v>11</v>
      </c>
      <c r="D332" s="54" t="s">
        <v>12</v>
      </c>
      <c r="E332" s="54" t="s">
        <v>13</v>
      </c>
      <c r="F332" s="54" t="s">
        <v>14</v>
      </c>
      <c r="G332" s="54" t="s">
        <v>17</v>
      </c>
      <c r="I332" s="3"/>
      <c r="J332" s="3"/>
      <c r="K332" s="3"/>
      <c r="L332" s="2"/>
      <c r="M332" s="2"/>
      <c r="N332" s="2"/>
      <c r="O332" s="2"/>
      <c r="P332" s="2"/>
      <c r="Q332" s="2"/>
    </row>
    <row r="333" spans="1:17">
      <c r="A333" s="284" t="s">
        <v>201</v>
      </c>
      <c r="B333" s="284"/>
      <c r="C333" s="18">
        <v>59</v>
      </c>
      <c r="D333" s="18">
        <v>69</v>
      </c>
      <c r="E333" s="18">
        <v>78</v>
      </c>
      <c r="F333" s="18">
        <f>GETPIVOTDATA("Phase Proposed Units",'19'!$A$1,"Minor Residential Development Type","a")</f>
        <v>42</v>
      </c>
      <c r="G333" s="18">
        <f t="shared" ref="G333:G339" si="47">SUM(C333:F333)</f>
        <v>248</v>
      </c>
      <c r="I333" s="3"/>
      <c r="J333" s="3"/>
      <c r="K333" s="3"/>
      <c r="L333" s="3"/>
      <c r="M333" s="3"/>
      <c r="N333" s="3"/>
      <c r="O333" s="3"/>
      <c r="P333" s="2"/>
      <c r="Q333" s="2"/>
    </row>
    <row r="334" spans="1:17">
      <c r="A334" s="284" t="s">
        <v>202</v>
      </c>
      <c r="B334" s="284"/>
      <c r="C334" s="18">
        <v>12</v>
      </c>
      <c r="D334" s="18">
        <v>29</v>
      </c>
      <c r="E334" s="18">
        <v>11</v>
      </c>
      <c r="F334" s="18">
        <f>GETPIVOTDATA("Phase Proposed Units",'19'!$A$1,"Minor Residential Development Type","b")</f>
        <v>8</v>
      </c>
      <c r="G334" s="18">
        <f t="shared" si="47"/>
        <v>60</v>
      </c>
      <c r="I334" s="3"/>
      <c r="J334" s="3"/>
      <c r="K334" s="3"/>
      <c r="L334" s="3"/>
      <c r="M334" s="3"/>
      <c r="N334" s="3"/>
      <c r="O334" s="3"/>
      <c r="P334" s="2"/>
      <c r="Q334" s="2"/>
    </row>
    <row r="335" spans="1:17">
      <c r="A335" s="284" t="s">
        <v>203</v>
      </c>
      <c r="B335" s="284"/>
      <c r="C335" s="18">
        <v>111</v>
      </c>
      <c r="D335" s="18">
        <v>95</v>
      </c>
      <c r="E335" s="18">
        <v>96</v>
      </c>
      <c r="F335" s="18">
        <f>GETPIVOTDATA("Phase Proposed Units",'19'!$A$1,"Minor Residential Development Type","c-")+GETPIVOTDATA("Phase Proposed Units",'19'!$A$1,"Minor Residential Development Type","c+")</f>
        <v>52</v>
      </c>
      <c r="G335" s="18">
        <f t="shared" si="47"/>
        <v>354</v>
      </c>
      <c r="I335" s="3"/>
      <c r="J335" s="3"/>
      <c r="K335" s="3"/>
      <c r="L335" s="3"/>
      <c r="M335" s="3"/>
      <c r="N335" s="3"/>
      <c r="O335" s="3"/>
      <c r="P335" s="2"/>
      <c r="Q335" s="2"/>
    </row>
    <row r="336" spans="1:17">
      <c r="A336" s="275" t="s">
        <v>204</v>
      </c>
      <c r="B336" s="297"/>
      <c r="C336" s="18"/>
      <c r="D336" s="18">
        <v>2</v>
      </c>
      <c r="E336" s="18">
        <v>0</v>
      </c>
      <c r="F336" s="18">
        <v>0</v>
      </c>
      <c r="G336" s="18">
        <f t="shared" si="47"/>
        <v>2</v>
      </c>
      <c r="I336" s="3"/>
      <c r="J336" s="3"/>
      <c r="K336" s="3"/>
      <c r="L336" s="3"/>
      <c r="M336" s="3"/>
      <c r="N336" s="3"/>
      <c r="O336" s="3"/>
      <c r="P336" s="2"/>
      <c r="Q336" s="2"/>
    </row>
    <row r="337" spans="1:17" ht="12.75" customHeight="1">
      <c r="A337" s="284" t="s">
        <v>205</v>
      </c>
      <c r="B337" s="284"/>
      <c r="C337" s="18">
        <v>290</v>
      </c>
      <c r="D337" s="18">
        <v>148</v>
      </c>
      <c r="E337" s="18">
        <v>134</v>
      </c>
      <c r="F337" s="18">
        <f>GETPIVOTDATA("Phase Proposed Units",'19'!$A$3,"Large Residential Development Type","n/a","Minor Residential Development Type","d")+GETPIVOTDATA("Phase Proposed Units",'19'!$A$3,"Large Residential Development Type","n/a","Minor Residential Development Type","e")+GETPIVOTDATA("Phase Proposed Units",'19'!$A$3,"Large Residential Development Type","n/a","Minor Residential Development Type","f")+GETPIVOTDATA("Phase Proposed Units",'19'!$A$3,"Large Residential Development Type","n/a","Minor Residential Development Type","g")+GETPIVOTDATA("Phase Proposed Units",'19'!$A$3,"Large Residential Development Type","n/a","Minor Residential Development Type","h")</f>
        <v>59</v>
      </c>
      <c r="G337" s="18">
        <f t="shared" si="47"/>
        <v>631</v>
      </c>
      <c r="I337" s="3"/>
      <c r="J337" s="3"/>
      <c r="K337" s="3"/>
      <c r="L337" s="3"/>
      <c r="M337" s="3"/>
      <c r="N337" s="3"/>
      <c r="O337" s="3"/>
      <c r="P337" s="2"/>
      <c r="Q337" s="2"/>
    </row>
    <row r="338" spans="1:17" ht="12.75" customHeight="1">
      <c r="A338" s="275" t="s">
        <v>206</v>
      </c>
      <c r="B338" s="297"/>
      <c r="C338" s="18">
        <v>6</v>
      </c>
      <c r="D338" s="18">
        <v>13</v>
      </c>
      <c r="E338" s="18">
        <v>23</v>
      </c>
      <c r="F338" s="18">
        <f>GETPIVOTDATA("Phase Proposed Units",'19'!$A$1,"Minor Residential Development Type","k")</f>
        <v>37</v>
      </c>
      <c r="G338" s="18">
        <f t="shared" si="47"/>
        <v>79</v>
      </c>
      <c r="I338" s="3"/>
      <c r="J338" s="3"/>
      <c r="K338" s="3"/>
      <c r="L338" s="3"/>
      <c r="M338" s="3"/>
      <c r="N338" s="3"/>
      <c r="O338" s="3"/>
      <c r="P338" s="2"/>
      <c r="Q338" s="2"/>
    </row>
    <row r="339" spans="1:17" ht="12.75" customHeight="1">
      <c r="A339" s="292" t="s">
        <v>17</v>
      </c>
      <c r="B339" s="292"/>
      <c r="C339" s="35">
        <f>SUM(C333:C338)</f>
        <v>478</v>
      </c>
      <c r="D339" s="35">
        <f>SUM(D333:D338)</f>
        <v>356</v>
      </c>
      <c r="E339" s="35">
        <f>SUM(E333:E338)</f>
        <v>342</v>
      </c>
      <c r="F339" s="35">
        <f>SUM(F333:F338)</f>
        <v>198</v>
      </c>
      <c r="G339" s="35">
        <f t="shared" si="47"/>
        <v>1374</v>
      </c>
      <c r="I339" s="3"/>
      <c r="J339" s="3"/>
      <c r="K339" s="3"/>
      <c r="L339" s="3"/>
      <c r="M339" s="3"/>
      <c r="N339" s="3"/>
      <c r="O339" s="3"/>
      <c r="P339" s="2"/>
      <c r="Q339" s="2"/>
    </row>
    <row r="340" spans="1:17" ht="12.75" customHeight="1">
      <c r="A340" s="3"/>
      <c r="B340" s="3"/>
      <c r="C340" s="3"/>
      <c r="D340" s="3"/>
      <c r="F340" s="3"/>
      <c r="G340" s="29"/>
      <c r="H340" s="29"/>
      <c r="I340" s="3"/>
      <c r="J340" s="3"/>
      <c r="K340" s="3"/>
      <c r="L340" s="3"/>
      <c r="M340" s="3"/>
      <c r="N340" s="3"/>
      <c r="O340" s="3"/>
      <c r="P340" s="2"/>
      <c r="Q340" s="2"/>
    </row>
    <row r="341" spans="1:17">
      <c r="A341" s="7" t="s">
        <v>207</v>
      </c>
      <c r="B341" s="7" t="s">
        <v>208</v>
      </c>
      <c r="I341" s="2"/>
      <c r="J341" s="2"/>
      <c r="K341" s="2"/>
      <c r="L341" s="3"/>
      <c r="M341" s="3"/>
      <c r="N341" s="3"/>
      <c r="O341" s="3"/>
      <c r="P341" s="3"/>
      <c r="Q341" s="3"/>
    </row>
    <row r="342" spans="1:17" ht="12.75" customHeight="1">
      <c r="A342" s="291"/>
      <c r="B342" s="291"/>
      <c r="C342" s="54" t="s">
        <v>11</v>
      </c>
      <c r="D342" s="54" t="s">
        <v>12</v>
      </c>
      <c r="E342" s="54" t="s">
        <v>13</v>
      </c>
      <c r="F342" s="54" t="s">
        <v>14</v>
      </c>
      <c r="G342" s="54" t="s">
        <v>17</v>
      </c>
      <c r="I342" s="3"/>
      <c r="J342" s="3"/>
      <c r="K342" s="3"/>
      <c r="L342" s="2"/>
      <c r="M342" s="2"/>
      <c r="N342" s="2"/>
      <c r="O342" s="2"/>
      <c r="P342" s="2"/>
      <c r="Q342" s="3"/>
    </row>
    <row r="343" spans="1:17" ht="12.75" customHeight="1">
      <c r="A343" s="284" t="s">
        <v>201</v>
      </c>
      <c r="B343" s="284"/>
      <c r="C343" s="18">
        <v>131</v>
      </c>
      <c r="D343" s="18">
        <v>129</v>
      </c>
      <c r="E343" s="18">
        <v>97</v>
      </c>
      <c r="F343" s="18">
        <f>GETPIVOTDATA("Phase Proposed Units",'20'!$A$1,"Minor Residential Development Type","a")</f>
        <v>115</v>
      </c>
      <c r="G343" s="18">
        <f t="shared" ref="G343:G349" si="48">SUM(C343:F343)</f>
        <v>472</v>
      </c>
      <c r="I343" s="3"/>
      <c r="J343" s="3"/>
      <c r="K343" s="3"/>
      <c r="L343" s="3"/>
      <c r="M343" s="3"/>
      <c r="N343" s="3"/>
      <c r="O343" s="3"/>
      <c r="P343" s="3"/>
      <c r="Q343" s="3"/>
    </row>
    <row r="344" spans="1:17" ht="12.75" customHeight="1">
      <c r="A344" s="284" t="s">
        <v>202</v>
      </c>
      <c r="B344" s="284"/>
      <c r="C344" s="18">
        <v>42</v>
      </c>
      <c r="D344" s="18">
        <v>26</v>
      </c>
      <c r="E344" s="18">
        <v>25</v>
      </c>
      <c r="F344" s="18">
        <f>GETPIVOTDATA("Phase Proposed Units",'20'!$A$1,"Minor Residential Development Type","b")</f>
        <v>24</v>
      </c>
      <c r="G344" s="18">
        <f t="shared" si="48"/>
        <v>117</v>
      </c>
      <c r="I344" s="3"/>
      <c r="J344" s="3"/>
      <c r="K344" s="3"/>
      <c r="L344" s="3"/>
      <c r="M344" s="3"/>
      <c r="N344" s="3"/>
      <c r="O344" s="3"/>
      <c r="P344" s="3"/>
      <c r="Q344" s="3"/>
    </row>
    <row r="345" spans="1:17" ht="12.75" customHeight="1">
      <c r="A345" s="284" t="s">
        <v>203</v>
      </c>
      <c r="B345" s="284"/>
      <c r="C345" s="18">
        <v>234</v>
      </c>
      <c r="D345" s="18">
        <v>247</v>
      </c>
      <c r="E345" s="18">
        <v>473</v>
      </c>
      <c r="F345" s="18">
        <f>GETPIVOTDATA("Phase Proposed Units",'20'!$A$1,"Minor Residential Development Type","c-")+GETPIVOTDATA("Phase Proposed Units",'20'!$A$1,"Minor Residential Development Type","c+")+GETPIVOTDATA("Phase Proposed Units",'20'!$A$3,"Large Residential Development Type","LRC","Minor Residential Development Type","n/a")</f>
        <v>469</v>
      </c>
      <c r="G345" s="18">
        <f t="shared" si="48"/>
        <v>1423</v>
      </c>
      <c r="I345" s="3"/>
      <c r="J345" s="3"/>
      <c r="K345" s="3"/>
      <c r="L345" s="3"/>
      <c r="M345" s="3"/>
      <c r="N345" s="3"/>
      <c r="O345" s="3"/>
      <c r="P345" s="3"/>
      <c r="Q345" s="3"/>
    </row>
    <row r="346" spans="1:17" ht="12.75" customHeight="1">
      <c r="A346" s="275" t="s">
        <v>204</v>
      </c>
      <c r="B346" s="297"/>
      <c r="C346" s="18"/>
      <c r="D346" s="18">
        <v>0</v>
      </c>
      <c r="E346" s="18">
        <v>2</v>
      </c>
      <c r="F346" s="18">
        <f>GETPIVOTDATA("Phase Proposed Units",'20'!$A$3,"Large Residential Development Type","n/a","Minor Residential Development Type","j-")+GETPIVOTDATA("Phase Proposed Units",'20'!$A$3,"Large Residential Development Type","n/a","Minor Residential Development Type","j+")</f>
        <v>4</v>
      </c>
      <c r="G346" s="18">
        <f t="shared" si="48"/>
        <v>6</v>
      </c>
      <c r="I346" s="3"/>
      <c r="J346" s="3"/>
      <c r="K346" s="3"/>
      <c r="L346" s="3"/>
      <c r="M346" s="3"/>
      <c r="N346" s="3"/>
      <c r="O346" s="3"/>
      <c r="P346" s="3"/>
      <c r="Q346" s="3"/>
    </row>
    <row r="347" spans="1:17" ht="12.75" customHeight="1">
      <c r="A347" s="284" t="s">
        <v>205</v>
      </c>
      <c r="B347" s="284"/>
      <c r="C347" s="18">
        <v>1218</v>
      </c>
      <c r="D347" s="18">
        <v>1208</v>
      </c>
      <c r="E347" s="18">
        <v>853</v>
      </c>
      <c r="F347" s="18">
        <f>GETPIVOTDATA("Phase Proposed Units",'20'!$A$3,"Large Residential Development Type","n/a","Minor Residential Development Type","d")+GETPIVOTDATA("Phase Proposed Units",'20'!$A$3,"Large Residential Development Type","n/a","Minor Residential Development Type","e")+GETPIVOTDATA("Phase Proposed Units",'20'!$A$3,"Large Residential Development Type","n/a","Minor Residential Development Type","f")+GETPIVOTDATA("Phase Proposed Units",'20'!$A$3,"Large Residential Development Type","n/a","Minor Residential Development Type","g")+GETPIVOTDATA("Phase Proposed Units",'20'!$A$3,"Large Residential Development Type","n/a","Minor Residential Development Type","h")+GETPIVOTDATA("Phase Proposed Units",'20'!$A$3,"Large Residential Development Type","OFC","Minor Residential Development Type","n/a")+GETPIVOTDATA("Phase Proposed Units",'20'!$A$3,"Large Residential Development Type","OTC","Minor Residential Development Type","n/a")</f>
        <v>688</v>
      </c>
      <c r="G347" s="18">
        <f t="shared" si="48"/>
        <v>3967</v>
      </c>
      <c r="I347" s="3"/>
      <c r="J347" s="3"/>
      <c r="K347" s="3"/>
      <c r="L347" s="3"/>
      <c r="M347" s="3"/>
      <c r="N347" s="3"/>
      <c r="O347" s="3"/>
      <c r="P347" s="3"/>
      <c r="Q347" s="3"/>
    </row>
    <row r="348" spans="1:17" ht="12.75" customHeight="1">
      <c r="A348" s="275" t="s">
        <v>206</v>
      </c>
      <c r="B348" s="297"/>
      <c r="C348" s="18">
        <v>71</v>
      </c>
      <c r="D348" s="18">
        <v>90</v>
      </c>
      <c r="E348" s="18">
        <v>184</v>
      </c>
      <c r="F348" s="18">
        <f>GETPIVOTDATA("Phase Proposed Units",'20'!$A$1,"Large Residential Development Type","n/a","Minor Residential Development Type","k")+GETPIVOTDATA("Phase Proposed Units",'20'!$A$1,"Large Residential Development Type","EXT","Minor Residential Development Type","n/a")</f>
        <v>244</v>
      </c>
      <c r="G348" s="18">
        <f t="shared" si="48"/>
        <v>589</v>
      </c>
      <c r="I348" s="3"/>
      <c r="J348" s="3"/>
      <c r="K348" s="3"/>
      <c r="L348" s="3"/>
      <c r="M348" s="3"/>
      <c r="N348" s="3"/>
      <c r="O348" s="3"/>
      <c r="P348" s="3"/>
      <c r="Q348" s="3"/>
    </row>
    <row r="349" spans="1:17" ht="12.75" customHeight="1">
      <c r="A349" s="292" t="s">
        <v>17</v>
      </c>
      <c r="B349" s="292"/>
      <c r="C349" s="35">
        <f t="shared" ref="C349:D349" si="49">SUM(C343:C348)</f>
        <v>1696</v>
      </c>
      <c r="D349" s="35">
        <f t="shared" si="49"/>
        <v>1700</v>
      </c>
      <c r="E349" s="35">
        <f>SUM(E343:E348)</f>
        <v>1634</v>
      </c>
      <c r="F349" s="35">
        <f>SUM(F343:F348)</f>
        <v>1544</v>
      </c>
      <c r="G349" s="35">
        <f t="shared" si="48"/>
        <v>6574</v>
      </c>
      <c r="I349" s="3"/>
      <c r="J349" s="3"/>
      <c r="K349" s="3"/>
      <c r="L349" s="3"/>
      <c r="M349" s="3"/>
      <c r="N349" s="3"/>
      <c r="O349" s="3"/>
      <c r="P349" s="3"/>
      <c r="Q349" s="3"/>
    </row>
    <row r="350" spans="1:17">
      <c r="A350" s="3"/>
      <c r="B350" s="3"/>
      <c r="C350" s="3"/>
      <c r="D350" s="3"/>
      <c r="E350" s="3"/>
      <c r="F350" s="3"/>
      <c r="G350" s="3"/>
      <c r="H350" s="3"/>
      <c r="I350" s="3"/>
      <c r="J350" s="3"/>
      <c r="K350" s="3"/>
      <c r="L350" s="2"/>
      <c r="M350" s="2"/>
      <c r="N350" s="2"/>
      <c r="O350" s="2"/>
      <c r="P350" s="2"/>
      <c r="Q350" s="2"/>
    </row>
    <row r="351" spans="1:17">
      <c r="A351" s="68" t="s">
        <v>209</v>
      </c>
      <c r="B351" s="69"/>
      <c r="C351" s="69"/>
      <c r="D351" s="69"/>
      <c r="E351" s="69"/>
      <c r="F351" s="69"/>
      <c r="G351" s="69"/>
      <c r="H351" s="69"/>
      <c r="I351" s="69"/>
      <c r="J351" s="69"/>
      <c r="K351" s="69"/>
      <c r="L351" s="69"/>
      <c r="M351" s="69"/>
      <c r="N351" s="69"/>
      <c r="O351" s="69"/>
      <c r="P351" s="69"/>
      <c r="Q351" s="70" t="s">
        <v>210</v>
      </c>
    </row>
  </sheetData>
  <mergeCells count="241">
    <mergeCell ref="A41:C41"/>
    <mergeCell ref="A42:C42"/>
    <mergeCell ref="A40:C40"/>
    <mergeCell ref="A44:C44"/>
    <mergeCell ref="A45:C45"/>
    <mergeCell ref="A46:C46"/>
    <mergeCell ref="A251:C251"/>
    <mergeCell ref="A252:C252"/>
    <mergeCell ref="A253:C253"/>
    <mergeCell ref="C150:D150"/>
    <mergeCell ref="C161:D161"/>
    <mergeCell ref="D173:E173"/>
    <mergeCell ref="D217:E217"/>
    <mergeCell ref="E290:F290"/>
    <mergeCell ref="A286:C286"/>
    <mergeCell ref="A287:C287"/>
    <mergeCell ref="A288:C288"/>
    <mergeCell ref="A289:C289"/>
    <mergeCell ref="A274:C274"/>
    <mergeCell ref="A275:C275"/>
    <mergeCell ref="A276:C276"/>
    <mergeCell ref="A277:C277"/>
    <mergeCell ref="A281:C281"/>
    <mergeCell ref="A282:C282"/>
    <mergeCell ref="A283:C283"/>
    <mergeCell ref="A284:C284"/>
    <mergeCell ref="E286:F286"/>
    <mergeCell ref="A285:C285"/>
    <mergeCell ref="G289:H289"/>
    <mergeCell ref="G290:H290"/>
    <mergeCell ref="G291:H291"/>
    <mergeCell ref="G292:H292"/>
    <mergeCell ref="G293:H293"/>
    <mergeCell ref="G294:H294"/>
    <mergeCell ref="E274:F274"/>
    <mergeCell ref="E275:F275"/>
    <mergeCell ref="E276:F276"/>
    <mergeCell ref="E277:F277"/>
    <mergeCell ref="E278:F278"/>
    <mergeCell ref="E279:F279"/>
    <mergeCell ref="E280:F280"/>
    <mergeCell ref="E281:F281"/>
    <mergeCell ref="E282:F282"/>
    <mergeCell ref="E283:F283"/>
    <mergeCell ref="E284:F284"/>
    <mergeCell ref="E287:F287"/>
    <mergeCell ref="E288:F288"/>
    <mergeCell ref="E289:F289"/>
    <mergeCell ref="G280:H280"/>
    <mergeCell ref="E292:F292"/>
    <mergeCell ref="E293:F293"/>
    <mergeCell ref="E291:F291"/>
    <mergeCell ref="A173:A174"/>
    <mergeCell ref="B173:C173"/>
    <mergeCell ref="A242:B242"/>
    <mergeCell ref="A169:B169"/>
    <mergeCell ref="G286:H286"/>
    <mergeCell ref="G287:H287"/>
    <mergeCell ref="G288:H288"/>
    <mergeCell ref="G274:H274"/>
    <mergeCell ref="G275:H275"/>
    <mergeCell ref="G276:H276"/>
    <mergeCell ref="G277:H277"/>
    <mergeCell ref="G278:H278"/>
    <mergeCell ref="G279:H279"/>
    <mergeCell ref="G281:H281"/>
    <mergeCell ref="G282:H282"/>
    <mergeCell ref="G283:H283"/>
    <mergeCell ref="G284:H284"/>
    <mergeCell ref="A254:C254"/>
    <mergeCell ref="A255:C255"/>
    <mergeCell ref="A256:C256"/>
    <mergeCell ref="A260:D260"/>
    <mergeCell ref="G285:H285"/>
    <mergeCell ref="E272:F273"/>
    <mergeCell ref="G272:H273"/>
    <mergeCell ref="L6:L8"/>
    <mergeCell ref="F173:G173"/>
    <mergeCell ref="H113:I113"/>
    <mergeCell ref="I150:J150"/>
    <mergeCell ref="G161:H161"/>
    <mergeCell ref="F6:F8"/>
    <mergeCell ref="I161:J161"/>
    <mergeCell ref="F37:G37"/>
    <mergeCell ref="F113:G113"/>
    <mergeCell ref="G150:H150"/>
    <mergeCell ref="G6:K7"/>
    <mergeCell ref="H37:I37"/>
    <mergeCell ref="J64:K65"/>
    <mergeCell ref="L64:M65"/>
    <mergeCell ref="M6:M8"/>
    <mergeCell ref="J29:J31"/>
    <mergeCell ref="L50:M51"/>
    <mergeCell ref="E150:F150"/>
    <mergeCell ref="E161:F161"/>
    <mergeCell ref="K29:K31"/>
    <mergeCell ref="D37:E37"/>
    <mergeCell ref="D113:E113"/>
    <mergeCell ref="A32:B32"/>
    <mergeCell ref="A34:B34"/>
    <mergeCell ref="A278:C278"/>
    <mergeCell ref="A302:B302"/>
    <mergeCell ref="A280:C280"/>
    <mergeCell ref="A279:C279"/>
    <mergeCell ref="H195:I195"/>
    <mergeCell ref="A217:A218"/>
    <mergeCell ref="B217:C217"/>
    <mergeCell ref="A250:C250"/>
    <mergeCell ref="F217:G217"/>
    <mergeCell ref="A195:A196"/>
    <mergeCell ref="B195:C195"/>
    <mergeCell ref="D195:E195"/>
    <mergeCell ref="F195:G195"/>
    <mergeCell ref="A240:B240"/>
    <mergeCell ref="A241:B241"/>
    <mergeCell ref="A243:B243"/>
    <mergeCell ref="E285:F285"/>
    <mergeCell ref="D272:D273"/>
    <mergeCell ref="A272:C273"/>
    <mergeCell ref="A267:D267"/>
    <mergeCell ref="A153:B153"/>
    <mergeCell ref="A152:B152"/>
    <mergeCell ref="A333:B333"/>
    <mergeCell ref="A307:B307"/>
    <mergeCell ref="A294:C294"/>
    <mergeCell ref="A290:C290"/>
    <mergeCell ref="A291:C291"/>
    <mergeCell ref="A292:C292"/>
    <mergeCell ref="D64:E65"/>
    <mergeCell ref="A268:D268"/>
    <mergeCell ref="I298:K298"/>
    <mergeCell ref="F298:H298"/>
    <mergeCell ref="A298:B299"/>
    <mergeCell ref="A155:B155"/>
    <mergeCell ref="A161:B162"/>
    <mergeCell ref="A150:B151"/>
    <mergeCell ref="A156:B156"/>
    <mergeCell ref="A167:B167"/>
    <mergeCell ref="A263:D263"/>
    <mergeCell ref="A264:D264"/>
    <mergeCell ref="A265:D265"/>
    <mergeCell ref="A266:D266"/>
    <mergeCell ref="A261:D261"/>
    <mergeCell ref="A262:D262"/>
    <mergeCell ref="A245:B245"/>
    <mergeCell ref="A246:B246"/>
    <mergeCell ref="A349:B349"/>
    <mergeCell ref="A342:B342"/>
    <mergeCell ref="A343:B343"/>
    <mergeCell ref="A344:B344"/>
    <mergeCell ref="A345:B345"/>
    <mergeCell ref="A337:B337"/>
    <mergeCell ref="A334:B334"/>
    <mergeCell ref="A335:B335"/>
    <mergeCell ref="A347:B347"/>
    <mergeCell ref="A339:B339"/>
    <mergeCell ref="A348:B348"/>
    <mergeCell ref="A346:B346"/>
    <mergeCell ref="A338:B338"/>
    <mergeCell ref="A336:B336"/>
    <mergeCell ref="A293:C293"/>
    <mergeCell ref="A300:B300"/>
    <mergeCell ref="C298:E298"/>
    <mergeCell ref="A326:B327"/>
    <mergeCell ref="A332:B332"/>
    <mergeCell ref="A319:B319"/>
    <mergeCell ref="A320:B321"/>
    <mergeCell ref="A322:B323"/>
    <mergeCell ref="A324:B325"/>
    <mergeCell ref="A308:B309"/>
    <mergeCell ref="E294:F294"/>
    <mergeCell ref="A310:B311"/>
    <mergeCell ref="A312:B313"/>
    <mergeCell ref="A314:B315"/>
    <mergeCell ref="A1:Q1"/>
    <mergeCell ref="A70:C70"/>
    <mergeCell ref="A67:C67"/>
    <mergeCell ref="A68:C68"/>
    <mergeCell ref="P50:Q51"/>
    <mergeCell ref="P64:Q65"/>
    <mergeCell ref="J50:K51"/>
    <mergeCell ref="F64:I64"/>
    <mergeCell ref="H51:I51"/>
    <mergeCell ref="F51:G51"/>
    <mergeCell ref="F50:I50"/>
    <mergeCell ref="N50:O51"/>
    <mergeCell ref="A54:C54"/>
    <mergeCell ref="A55:C55"/>
    <mergeCell ref="A57:C57"/>
    <mergeCell ref="A56:C56"/>
    <mergeCell ref="A60:C60"/>
    <mergeCell ref="N64:O65"/>
    <mergeCell ref="A29:B31"/>
    <mergeCell ref="C29:C31"/>
    <mergeCell ref="E6:E8"/>
    <mergeCell ref="B23:G23"/>
    <mergeCell ref="A26:I26"/>
    <mergeCell ref="D50:E51"/>
    <mergeCell ref="A96:B96"/>
    <mergeCell ref="A64:C66"/>
    <mergeCell ref="A74:C74"/>
    <mergeCell ref="A107:C107"/>
    <mergeCell ref="A157:B157"/>
    <mergeCell ref="A168:B168"/>
    <mergeCell ref="A113:A114"/>
    <mergeCell ref="B113:C113"/>
    <mergeCell ref="B104:C104"/>
    <mergeCell ref="B105:C105"/>
    <mergeCell ref="B106:C106"/>
    <mergeCell ref="A102:C102"/>
    <mergeCell ref="A103:C103"/>
    <mergeCell ref="A104:A106"/>
    <mergeCell ref="A154:B154"/>
    <mergeCell ref="A158:B158"/>
    <mergeCell ref="A164:B164"/>
    <mergeCell ref="A165:B165"/>
    <mergeCell ref="A166:B166"/>
    <mergeCell ref="A244:B244"/>
    <mergeCell ref="A163:B163"/>
    <mergeCell ref="A6:D8"/>
    <mergeCell ref="A9:D9"/>
    <mergeCell ref="A10:D10"/>
    <mergeCell ref="A11:D11"/>
    <mergeCell ref="F65:G65"/>
    <mergeCell ref="H65:I65"/>
    <mergeCell ref="A39:C39"/>
    <mergeCell ref="A37:C38"/>
    <mergeCell ref="A53:C53"/>
    <mergeCell ref="A43:C43"/>
    <mergeCell ref="A58:C58"/>
    <mergeCell ref="A59:C59"/>
    <mergeCell ref="A50:C52"/>
    <mergeCell ref="D29:D31"/>
    <mergeCell ref="E29:I30"/>
    <mergeCell ref="A99:B99"/>
    <mergeCell ref="A98:B98"/>
    <mergeCell ref="A69:C69"/>
    <mergeCell ref="A73:C73"/>
    <mergeCell ref="A71:C71"/>
    <mergeCell ref="A72:C72"/>
    <mergeCell ref="A97:B97"/>
  </mergeCells>
  <phoneticPr fontId="3" type="noConversion"/>
  <printOptions horizontalCentered="1"/>
  <pageMargins left="0.39370078740157483" right="0.39370078740157483" top="0.39370078740157483" bottom="0.39370078740157483" header="0.19685039370078741" footer="0.19685039370078741"/>
  <pageSetup paperSize="9" scale="91" fitToHeight="0" orientation="landscape" verticalDpi="144" r:id="rId1"/>
  <headerFooter alignWithMargins="0">
    <oddFooter>&amp;C&amp;8&amp;P of &amp;N</oddFooter>
  </headerFooter>
  <rowBreaks count="7" manualBreakCount="7">
    <brk id="35" max="16" man="1"/>
    <brk id="76" max="16" man="1"/>
    <brk id="108" max="16" man="1"/>
    <brk id="147" max="16" man="1"/>
    <brk id="191" max="16" man="1"/>
    <brk id="235" max="16" man="1"/>
    <brk id="269" max="16" man="1"/>
  </rowBreaks>
  <ignoredErrors>
    <ignoredError sqref="D74:E74" formulaRange="1"/>
    <ignoredError sqref="C130 I130 E130 G130 C212 E212 I212" formula="1"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E4"/>
  <sheetViews>
    <sheetView workbookViewId="0">
      <selection sqref="A1:B1"/>
    </sheetView>
  </sheetViews>
  <sheetFormatPr defaultRowHeight="12.75"/>
  <cols>
    <col min="1" max="1" width="22.5703125" bestFit="1" customWidth="1"/>
    <col min="2" max="2" width="17" bestFit="1" customWidth="1"/>
    <col min="3" max="3" width="12.5703125" customWidth="1"/>
    <col min="4" max="4" width="21.85546875" customWidth="1"/>
    <col min="5" max="5" width="11.7109375" customWidth="1"/>
  </cols>
  <sheetData>
    <row r="1" spans="1:5">
      <c r="A1" s="44" t="s">
        <v>3251</v>
      </c>
      <c r="B1" s="44" t="s">
        <v>3254</v>
      </c>
    </row>
    <row r="2" spans="1:5">
      <c r="A2" s="44" t="s">
        <v>3250</v>
      </c>
      <c r="B2" t="s">
        <v>54</v>
      </c>
      <c r="C2" t="s">
        <v>75</v>
      </c>
      <c r="D2" t="s">
        <v>55</v>
      </c>
      <c r="E2" t="s">
        <v>3252</v>
      </c>
    </row>
    <row r="3" spans="1:5">
      <c r="A3" s="41" t="s">
        <v>312</v>
      </c>
      <c r="B3">
        <v>196</v>
      </c>
      <c r="C3">
        <v>947</v>
      </c>
      <c r="D3">
        <v>187</v>
      </c>
      <c r="E3">
        <v>1330</v>
      </c>
    </row>
    <row r="4" spans="1:5">
      <c r="A4" s="41" t="s">
        <v>3252</v>
      </c>
      <c r="B4">
        <v>196</v>
      </c>
      <c r="C4">
        <v>947</v>
      </c>
      <c r="D4">
        <v>187</v>
      </c>
      <c r="E4">
        <v>1330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C13"/>
  <sheetViews>
    <sheetView workbookViewId="0">
      <selection sqref="A1:B1"/>
    </sheetView>
  </sheetViews>
  <sheetFormatPr defaultRowHeight="12.75"/>
  <cols>
    <col min="1" max="1" width="31.7109375" bestFit="1" customWidth="1"/>
    <col min="2" max="2" width="22.5703125" bestFit="1" customWidth="1"/>
    <col min="3" max="3" width="28.28515625" bestFit="1" customWidth="1"/>
    <col min="4" max="4" width="21.85546875" bestFit="1" customWidth="1"/>
    <col min="5" max="5" width="11.7109375" bestFit="1" customWidth="1"/>
    <col min="6" max="6" width="22.5703125" customWidth="1"/>
    <col min="7" max="7" width="28.28515625" customWidth="1"/>
    <col min="8" max="8" width="22.5703125" customWidth="1"/>
    <col min="9" max="9" width="28.28515625" customWidth="1"/>
    <col min="10" max="10" width="22.5703125" customWidth="1"/>
    <col min="11" max="11" width="28.28515625" customWidth="1"/>
    <col min="12" max="12" width="27.85546875" bestFit="1" customWidth="1"/>
    <col min="13" max="13" width="33.5703125" customWidth="1"/>
  </cols>
  <sheetData>
    <row r="1" spans="1:3">
      <c r="A1" s="44" t="s">
        <v>261</v>
      </c>
      <c r="B1" t="s">
        <v>3255</v>
      </c>
    </row>
    <row r="2" spans="1:3">
      <c r="A2" s="44" t="s">
        <v>262</v>
      </c>
      <c r="B2" t="s">
        <v>3255</v>
      </c>
    </row>
    <row r="4" spans="1:3">
      <c r="A4" s="44" t="s">
        <v>3250</v>
      </c>
      <c r="B4" t="s">
        <v>3251</v>
      </c>
      <c r="C4" t="s">
        <v>3256</v>
      </c>
    </row>
    <row r="5" spans="1:3">
      <c r="A5" s="41" t="s">
        <v>312</v>
      </c>
      <c r="B5">
        <v>1071</v>
      </c>
      <c r="C5">
        <v>1096</v>
      </c>
    </row>
    <row r="6" spans="1:3">
      <c r="A6" s="41" t="s">
        <v>813</v>
      </c>
      <c r="B6">
        <v>7421</v>
      </c>
      <c r="C6">
        <v>7618</v>
      </c>
    </row>
    <row r="7" spans="1:3">
      <c r="A7" s="41" t="s">
        <v>1515</v>
      </c>
      <c r="B7">
        <v>7343</v>
      </c>
      <c r="C7">
        <v>7532</v>
      </c>
    </row>
    <row r="8" spans="1:3">
      <c r="A8" s="41" t="s">
        <v>2726</v>
      </c>
      <c r="B8">
        <v>2101</v>
      </c>
      <c r="C8">
        <v>2872</v>
      </c>
    </row>
    <row r="9" spans="1:3">
      <c r="A9" s="41" t="s">
        <v>2753</v>
      </c>
      <c r="B9">
        <v>902</v>
      </c>
      <c r="C9">
        <v>1190</v>
      </c>
    </row>
    <row r="10" spans="1:3">
      <c r="A10" s="41" t="s">
        <v>2923</v>
      </c>
      <c r="B10">
        <v>4056</v>
      </c>
      <c r="C10">
        <v>4056</v>
      </c>
    </row>
    <row r="11" spans="1:3">
      <c r="A11" s="41" t="s">
        <v>3034</v>
      </c>
      <c r="B11">
        <v>657</v>
      </c>
      <c r="C11">
        <v>657</v>
      </c>
    </row>
    <row r="12" spans="1:3">
      <c r="A12" s="41" t="s">
        <v>3257</v>
      </c>
    </row>
    <row r="13" spans="1:3">
      <c r="A13" s="41" t="s">
        <v>3252</v>
      </c>
      <c r="B13">
        <v>23551</v>
      </c>
      <c r="C13">
        <v>25021</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C11"/>
  <sheetViews>
    <sheetView workbookViewId="0">
      <selection sqref="A1:B1"/>
    </sheetView>
  </sheetViews>
  <sheetFormatPr defaultRowHeight="12.75"/>
  <cols>
    <col min="1" max="1" width="31.7109375" customWidth="1"/>
    <col min="2" max="2" width="22.5703125" bestFit="1" customWidth="1"/>
    <col min="3" max="3" width="28.28515625" bestFit="1" customWidth="1"/>
    <col min="4" max="4" width="28.28515625" customWidth="1"/>
    <col min="5" max="5" width="22.5703125" bestFit="1" customWidth="1"/>
    <col min="6" max="6" width="28.28515625" bestFit="1" customWidth="1"/>
    <col min="7" max="7" width="22.5703125" bestFit="1" customWidth="1"/>
    <col min="8" max="8" width="28.28515625" bestFit="1" customWidth="1"/>
    <col min="9" max="9" width="22.5703125" bestFit="1" customWidth="1"/>
    <col min="10" max="10" width="33.5703125" bestFit="1" customWidth="1"/>
    <col min="11" max="11" width="27.85546875" bestFit="1" customWidth="1"/>
  </cols>
  <sheetData>
    <row r="1" spans="1:3">
      <c r="A1" s="44" t="s">
        <v>261</v>
      </c>
      <c r="B1" t="s">
        <v>3255</v>
      </c>
    </row>
    <row r="2" spans="1:3">
      <c r="A2" s="44" t="s">
        <v>262</v>
      </c>
      <c r="B2" t="s">
        <v>3255</v>
      </c>
    </row>
    <row r="4" spans="1:3">
      <c r="A4" s="44" t="s">
        <v>3250</v>
      </c>
      <c r="B4" t="s">
        <v>3251</v>
      </c>
      <c r="C4" t="s">
        <v>3256</v>
      </c>
    </row>
    <row r="5" spans="1:3">
      <c r="A5" s="41" t="s">
        <v>312</v>
      </c>
      <c r="B5">
        <v>259</v>
      </c>
      <c r="C5">
        <v>325</v>
      </c>
    </row>
    <row r="6" spans="1:3">
      <c r="A6" s="41" t="s">
        <v>813</v>
      </c>
      <c r="B6">
        <v>508</v>
      </c>
      <c r="C6">
        <v>599</v>
      </c>
    </row>
    <row r="7" spans="1:3">
      <c r="A7" s="41" t="s">
        <v>1515</v>
      </c>
      <c r="B7">
        <v>726</v>
      </c>
      <c r="C7">
        <v>945</v>
      </c>
    </row>
    <row r="8" spans="1:3">
      <c r="A8" s="41" t="s">
        <v>2753</v>
      </c>
      <c r="B8">
        <v>107</v>
      </c>
      <c r="C8">
        <v>128</v>
      </c>
    </row>
    <row r="9" spans="1:3">
      <c r="A9" s="41" t="s">
        <v>3035</v>
      </c>
      <c r="B9">
        <v>7452</v>
      </c>
      <c r="C9">
        <v>7452</v>
      </c>
    </row>
    <row r="10" spans="1:3">
      <c r="A10" s="41" t="s">
        <v>3257</v>
      </c>
    </row>
    <row r="11" spans="1:3">
      <c r="A11" s="41" t="s">
        <v>3252</v>
      </c>
      <c r="B11">
        <v>9052</v>
      </c>
      <c r="C11">
        <v>9449</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M13"/>
  <sheetViews>
    <sheetView workbookViewId="0">
      <selection sqref="A1:B1"/>
    </sheetView>
  </sheetViews>
  <sheetFormatPr defaultRowHeight="12.75"/>
  <cols>
    <col min="1" max="1" width="27.140625" bestFit="1" customWidth="1"/>
    <col min="2" max="2" width="28.28515625" customWidth="1"/>
    <col min="3" max="3" width="22.5703125" customWidth="1"/>
    <col min="4" max="4" width="28.28515625" customWidth="1"/>
    <col min="5" max="5" width="22.5703125" customWidth="1"/>
    <col min="6" max="6" width="28.28515625" customWidth="1"/>
    <col min="7" max="7" width="22.5703125" customWidth="1"/>
    <col min="8" max="8" width="28.28515625" bestFit="1" customWidth="1"/>
    <col min="9" max="9" width="22.5703125" bestFit="1" customWidth="1"/>
    <col min="10" max="10" width="28.28515625" bestFit="1" customWidth="1"/>
    <col min="11" max="11" width="22.5703125" bestFit="1" customWidth="1"/>
    <col min="12" max="12" width="33.5703125" bestFit="1" customWidth="1"/>
    <col min="13" max="13" width="27.85546875" bestFit="1" customWidth="1"/>
    <col min="14" max="36" width="3" customWidth="1"/>
    <col min="37" max="39" width="4" customWidth="1"/>
    <col min="40" max="45" width="3" customWidth="1"/>
    <col min="46" max="50" width="4" customWidth="1"/>
    <col min="51" max="51" width="18" customWidth="1"/>
    <col min="52" max="52" width="14.5703125" customWidth="1"/>
    <col min="53" max="58" width="4" customWidth="1"/>
    <col min="59" max="59" width="3" customWidth="1"/>
    <col min="60" max="62" width="4" customWidth="1"/>
    <col min="63" max="74" width="3" customWidth="1"/>
    <col min="75" max="75" width="3.5703125" customWidth="1"/>
    <col min="76" max="80" width="3" customWidth="1"/>
    <col min="81" max="81" width="4" customWidth="1"/>
    <col min="82" max="89" width="3" customWidth="1"/>
    <col min="90" max="90" width="4" customWidth="1"/>
    <col min="91" max="95" width="3" customWidth="1"/>
    <col min="96" max="97" width="4" customWidth="1"/>
    <col min="98" max="99" width="3" customWidth="1"/>
    <col min="100" max="100" width="4" customWidth="1"/>
    <col min="101" max="106" width="3" customWidth="1"/>
    <col min="107" max="107" width="4" customWidth="1"/>
    <col min="108" max="108" width="3" customWidth="1"/>
    <col min="109" max="110" width="4" customWidth="1"/>
    <col min="111" max="112" width="3" customWidth="1"/>
    <col min="113" max="113" width="4" customWidth="1"/>
    <col min="114" max="116" width="3" customWidth="1"/>
    <col min="117" max="119" width="4" customWidth="1"/>
    <col min="120" max="120" width="3" customWidth="1"/>
    <col min="121" max="121" width="4" customWidth="1"/>
    <col min="122" max="123" width="3" customWidth="1"/>
    <col min="124" max="180" width="4" customWidth="1"/>
    <col min="181" max="181" width="18" customWidth="1"/>
    <col min="182" max="182" width="23.85546875" customWidth="1"/>
    <col min="183" max="183" width="2" customWidth="1"/>
    <col min="184" max="188" width="3" customWidth="1"/>
    <col min="189" max="189" width="2" customWidth="1"/>
    <col min="190" max="207" width="3" customWidth="1"/>
    <col min="208" max="208" width="4" customWidth="1"/>
    <col min="209" max="215" width="3" customWidth="1"/>
    <col min="216" max="216" width="3.5703125" customWidth="1"/>
    <col min="217" max="221" width="3" customWidth="1"/>
    <col min="222" max="222" width="4" customWidth="1"/>
    <col min="223" max="223" width="3" customWidth="1"/>
    <col min="224" max="224" width="4" customWidth="1"/>
    <col min="225" max="232" width="3" customWidth="1"/>
    <col min="233" max="236" width="4" customWidth="1"/>
    <col min="237" max="237" width="27.140625" customWidth="1"/>
    <col min="238" max="238" width="11.7109375" customWidth="1"/>
    <col min="239" max="239" width="8.140625" customWidth="1"/>
    <col min="240" max="240" width="5" customWidth="1"/>
    <col min="241" max="241" width="8.140625" customWidth="1"/>
    <col min="242" max="242" width="5" customWidth="1"/>
    <col min="243" max="243" width="8.140625" customWidth="1"/>
    <col min="244" max="244" width="5" customWidth="1"/>
    <col min="245" max="245" width="8.140625" customWidth="1"/>
    <col min="246" max="246" width="5" customWidth="1"/>
    <col min="247" max="247" width="8.140625" customWidth="1"/>
    <col min="248" max="248" width="5" customWidth="1"/>
    <col min="249" max="249" width="8.140625" customWidth="1"/>
    <col min="250" max="250" width="5" customWidth="1"/>
    <col min="251" max="251" width="8.140625" customWidth="1"/>
    <col min="252" max="252" width="5" customWidth="1"/>
    <col min="253" max="253" width="8.140625" customWidth="1"/>
    <col min="254" max="254" width="5" customWidth="1"/>
    <col min="255" max="255" width="8.140625" customWidth="1"/>
    <col min="256" max="256" width="5" customWidth="1"/>
    <col min="257" max="257" width="8.140625" customWidth="1"/>
    <col min="258" max="258" width="5" customWidth="1"/>
    <col min="259" max="259" width="8.140625" customWidth="1"/>
    <col min="260" max="260" width="5" customWidth="1"/>
    <col min="261" max="261" width="8.140625" customWidth="1"/>
    <col min="262" max="262" width="5" customWidth="1"/>
    <col min="263" max="263" width="8.140625" customWidth="1"/>
    <col min="264" max="264" width="5" customWidth="1"/>
    <col min="265" max="265" width="8.140625" customWidth="1"/>
    <col min="266" max="266" width="5" customWidth="1"/>
    <col min="267" max="267" width="8.140625" customWidth="1"/>
    <col min="268" max="268" width="5" customWidth="1"/>
    <col min="269" max="269" width="8.140625" customWidth="1"/>
    <col min="270" max="270" width="5" customWidth="1"/>
    <col min="271" max="271" width="8.140625" customWidth="1"/>
    <col min="272" max="272" width="5" customWidth="1"/>
    <col min="273" max="273" width="8.140625" customWidth="1"/>
    <col min="274" max="274" width="5" customWidth="1"/>
    <col min="275" max="275" width="8.140625" customWidth="1"/>
    <col min="276" max="276" width="5" customWidth="1"/>
    <col min="277" max="277" width="8.140625" customWidth="1"/>
    <col min="278" max="278" width="5" customWidth="1"/>
    <col min="279" max="279" width="8.140625" customWidth="1"/>
    <col min="280" max="280" width="5" customWidth="1"/>
    <col min="281" max="281" width="8.140625" customWidth="1"/>
    <col min="282" max="282" width="5" customWidth="1"/>
    <col min="283" max="283" width="8.140625" customWidth="1"/>
    <col min="284" max="284" width="5" customWidth="1"/>
    <col min="285" max="285" width="8.140625" customWidth="1"/>
    <col min="286" max="286" width="5" customWidth="1"/>
    <col min="287" max="287" width="8.140625" customWidth="1"/>
    <col min="288" max="288" width="5" customWidth="1"/>
    <col min="289" max="289" width="8.140625" customWidth="1"/>
    <col min="290" max="290" width="5" customWidth="1"/>
    <col min="291" max="291" width="8.140625" customWidth="1"/>
    <col min="292" max="292" width="5" customWidth="1"/>
    <col min="293" max="293" width="8.140625" customWidth="1"/>
    <col min="294" max="294" width="5" customWidth="1"/>
    <col min="295" max="295" width="8.140625" customWidth="1"/>
    <col min="296" max="296" width="5" customWidth="1"/>
    <col min="297" max="297" width="8.140625" customWidth="1"/>
    <col min="298" max="298" width="5" customWidth="1"/>
    <col min="299" max="299" width="8.140625" customWidth="1"/>
    <col min="300" max="300" width="5" customWidth="1"/>
    <col min="301" max="301" width="8.140625" customWidth="1"/>
    <col min="302" max="302" width="5" customWidth="1"/>
    <col min="303" max="303" width="8.140625" customWidth="1"/>
    <col min="304" max="304" width="6" customWidth="1"/>
    <col min="306" max="306" width="6" customWidth="1"/>
    <col min="308" max="308" width="6" customWidth="1"/>
    <col min="310" max="310" width="6" customWidth="1"/>
    <col min="312" max="312" width="6" customWidth="1"/>
    <col min="314" max="314" width="6" customWidth="1"/>
    <col min="316" max="316" width="6" customWidth="1"/>
    <col min="318" max="318" width="6" customWidth="1"/>
    <col min="320" max="320" width="6" customWidth="1"/>
    <col min="322" max="322" width="6" customWidth="1"/>
    <col min="324" max="324" width="6" customWidth="1"/>
    <col min="325" max="325" width="4" customWidth="1"/>
    <col min="327" max="327" width="6" customWidth="1"/>
    <col min="329" max="329" width="6" customWidth="1"/>
    <col min="331" max="331" width="6" customWidth="1"/>
    <col min="333" max="333" width="6" customWidth="1"/>
    <col min="335" max="335" width="6" customWidth="1"/>
    <col min="337" max="337" width="6" customWidth="1"/>
    <col min="339" max="339" width="6" customWidth="1"/>
    <col min="341" max="341" width="6" customWidth="1"/>
    <col min="343" max="343" width="6" customWidth="1"/>
    <col min="345" max="345" width="6" customWidth="1"/>
    <col min="347" max="347" width="6" customWidth="1"/>
    <col min="349" max="349" width="6" customWidth="1"/>
    <col min="351" max="351" width="6" customWidth="1"/>
    <col min="353" max="353" width="6" customWidth="1"/>
    <col min="355" max="355" width="6" customWidth="1"/>
    <col min="357" max="357" width="6" customWidth="1"/>
    <col min="359" max="359" width="6" customWidth="1"/>
    <col min="361" max="361" width="6" customWidth="1"/>
    <col min="363" max="363" width="6" customWidth="1"/>
    <col min="365" max="365" width="6" customWidth="1"/>
    <col min="367" max="367" width="6" customWidth="1"/>
    <col min="369" max="369" width="6" customWidth="1"/>
    <col min="371" max="371" width="6" customWidth="1"/>
    <col min="373" max="373" width="6" customWidth="1"/>
    <col min="375" max="375" width="6" customWidth="1"/>
    <col min="377" max="377" width="6" customWidth="1"/>
    <col min="379" max="379" width="6" customWidth="1"/>
    <col min="381" max="381" width="6" customWidth="1"/>
    <col min="383" max="383" width="6" customWidth="1"/>
    <col min="385" max="385" width="6" customWidth="1"/>
    <col min="387" max="387" width="6" customWidth="1"/>
    <col min="389" max="389" width="6" customWidth="1"/>
    <col min="391" max="391" width="6" customWidth="1"/>
    <col min="393" max="393" width="6" customWidth="1"/>
    <col min="395" max="395" width="6" customWidth="1"/>
    <col min="397" max="397" width="6" customWidth="1"/>
    <col min="399" max="399" width="6" customWidth="1"/>
    <col min="401" max="401" width="6" customWidth="1"/>
    <col min="403" max="403" width="6" customWidth="1"/>
    <col min="405" max="405" width="6" customWidth="1"/>
    <col min="407" max="407" width="6" customWidth="1"/>
    <col min="409" max="409" width="6" customWidth="1"/>
    <col min="411" max="411" width="6" customWidth="1"/>
    <col min="413" max="413" width="6" customWidth="1"/>
    <col min="415" max="415" width="6" customWidth="1"/>
    <col min="417" max="417" width="6" customWidth="1"/>
    <col min="419" max="419" width="18" bestFit="1" customWidth="1"/>
    <col min="420" max="420" width="23.85546875" bestFit="1" customWidth="1"/>
    <col min="421" max="421" width="3.5703125" customWidth="1"/>
    <col min="422" max="422" width="2" customWidth="1"/>
    <col min="423" max="423" width="7.140625" customWidth="1"/>
    <col min="424" max="424" width="4" customWidth="1"/>
    <col min="425" max="425" width="7.140625" customWidth="1"/>
    <col min="426" max="426" width="4" customWidth="1"/>
    <col min="427" max="427" width="7.140625" customWidth="1"/>
    <col min="428" max="428" width="4" customWidth="1"/>
    <col min="429" max="429" width="7.140625" customWidth="1"/>
    <col min="430" max="430" width="4" customWidth="1"/>
    <col min="431" max="431" width="7.140625" customWidth="1"/>
    <col min="432" max="432" width="4" customWidth="1"/>
    <col min="433" max="433" width="7.140625" customWidth="1"/>
    <col min="434" max="434" width="4" customWidth="1"/>
    <col min="435" max="435" width="7.140625" customWidth="1"/>
    <col min="436" max="436" width="4" customWidth="1"/>
    <col min="437" max="437" width="7.140625" customWidth="1"/>
    <col min="438" max="438" width="4" customWidth="1"/>
    <col min="439" max="439" width="7.140625" customWidth="1"/>
    <col min="440" max="440" width="4" customWidth="1"/>
    <col min="441" max="441" width="7.140625" customWidth="1"/>
    <col min="442" max="442" width="5" customWidth="1"/>
    <col min="443" max="443" width="8.140625" customWidth="1"/>
    <col min="444" max="444" width="5" customWidth="1"/>
    <col min="445" max="445" width="8.140625" customWidth="1"/>
    <col min="446" max="446" width="5" customWidth="1"/>
    <col min="447" max="447" width="8.140625" customWidth="1"/>
    <col min="448" max="448" width="5" customWidth="1"/>
    <col min="449" max="449" width="8.140625" customWidth="1"/>
    <col min="450" max="450" width="5" customWidth="1"/>
    <col min="451" max="451" width="8.140625" customWidth="1"/>
    <col min="452" max="452" width="5" customWidth="1"/>
    <col min="453" max="453" width="8.140625" customWidth="1"/>
    <col min="454" max="454" width="5" customWidth="1"/>
    <col min="455" max="455" width="8.140625" customWidth="1"/>
    <col min="456" max="456" width="5" customWidth="1"/>
    <col min="457" max="457" width="8.140625" customWidth="1"/>
    <col min="458" max="458" width="5" customWidth="1"/>
    <col min="459" max="459" width="8.140625" customWidth="1"/>
    <col min="460" max="460" width="5" customWidth="1"/>
    <col min="461" max="461" width="8.140625" customWidth="1"/>
    <col min="462" max="462" width="5" customWidth="1"/>
    <col min="463" max="463" width="8.140625" customWidth="1"/>
    <col min="464" max="464" width="5" customWidth="1"/>
    <col min="465" max="465" width="8.140625" customWidth="1"/>
    <col min="466" max="466" width="5" customWidth="1"/>
    <col min="467" max="467" width="8.140625" customWidth="1"/>
    <col min="468" max="468" width="5" customWidth="1"/>
    <col min="469" max="469" width="8.140625" customWidth="1"/>
    <col min="470" max="470" width="5" customWidth="1"/>
    <col min="471" max="471" width="8.140625" customWidth="1"/>
    <col min="472" max="472" width="5" customWidth="1"/>
    <col min="473" max="473" width="8.140625" customWidth="1"/>
    <col min="474" max="474" width="5" customWidth="1"/>
    <col min="475" max="475" width="8.140625" customWidth="1"/>
    <col min="476" max="476" width="5" customWidth="1"/>
    <col min="477" max="477" width="8.140625" customWidth="1"/>
    <col min="478" max="478" width="5" customWidth="1"/>
    <col min="479" max="479" width="8.140625" customWidth="1"/>
    <col min="480" max="480" width="5" customWidth="1"/>
    <col min="481" max="481" width="8.140625" customWidth="1"/>
    <col min="482" max="482" width="5" customWidth="1"/>
    <col min="483" max="483" width="8.140625" customWidth="1"/>
    <col min="484" max="484" width="5" customWidth="1"/>
    <col min="485" max="485" width="8.140625" customWidth="1"/>
    <col min="486" max="486" width="5" customWidth="1"/>
    <col min="487" max="487" width="8.140625" customWidth="1"/>
    <col min="488" max="488" width="5" customWidth="1"/>
    <col min="489" max="489" width="8.140625" customWidth="1"/>
    <col min="490" max="490" width="5" customWidth="1"/>
    <col min="491" max="491" width="3" customWidth="1"/>
    <col min="492" max="492" width="8.140625" customWidth="1"/>
    <col min="493" max="493" width="5" customWidth="1"/>
    <col min="494" max="494" width="8.140625" customWidth="1"/>
    <col min="495" max="495" width="5" customWidth="1"/>
    <col min="496" max="496" width="8.140625" customWidth="1"/>
    <col min="497" max="497" width="5" customWidth="1"/>
    <col min="498" max="498" width="8.140625" customWidth="1"/>
    <col min="499" max="499" width="5" customWidth="1"/>
    <col min="500" max="500" width="8.140625" customWidth="1"/>
    <col min="501" max="501" width="5" customWidth="1"/>
    <col min="502" max="502" width="8.140625" customWidth="1"/>
    <col min="503" max="503" width="5" customWidth="1"/>
    <col min="504" max="504" width="8.140625" customWidth="1"/>
    <col min="505" max="505" width="5" customWidth="1"/>
    <col min="506" max="506" width="8.140625" customWidth="1"/>
    <col min="507" max="507" width="5" customWidth="1"/>
    <col min="508" max="508" width="8.140625" customWidth="1"/>
    <col min="509" max="509" width="5" customWidth="1"/>
    <col min="510" max="510" width="8.140625" customWidth="1"/>
    <col min="511" max="511" width="5" customWidth="1"/>
    <col min="512" max="512" width="8.140625" customWidth="1"/>
    <col min="513" max="513" width="5" customWidth="1"/>
    <col min="514" max="514" width="8.140625" customWidth="1"/>
    <col min="515" max="515" width="5" customWidth="1"/>
    <col min="516" max="516" width="8.140625" customWidth="1"/>
    <col min="517" max="517" width="5" customWidth="1"/>
    <col min="518" max="518" width="8.140625" customWidth="1"/>
    <col min="519" max="519" width="5" customWidth="1"/>
    <col min="520" max="520" width="8.140625" customWidth="1"/>
    <col min="521" max="521" width="5" customWidth="1"/>
    <col min="522" max="522" width="8.140625" customWidth="1"/>
    <col min="523" max="523" width="5" customWidth="1"/>
    <col min="524" max="524" width="8.140625" customWidth="1"/>
    <col min="525" max="525" width="6" customWidth="1"/>
    <col min="527" max="527" width="6" customWidth="1"/>
    <col min="529" max="529" width="6" customWidth="1"/>
    <col min="531" max="531" width="6" customWidth="1"/>
    <col min="533" max="533" width="27.140625" bestFit="1" customWidth="1"/>
    <col min="534" max="534" width="11.7109375" bestFit="1" customWidth="1"/>
  </cols>
  <sheetData>
    <row r="1" spans="1:13">
      <c r="B1" s="44" t="s">
        <v>3254</v>
      </c>
    </row>
    <row r="2" spans="1:13">
      <c r="B2" t="s">
        <v>75</v>
      </c>
      <c r="D2" t="s">
        <v>54</v>
      </c>
      <c r="F2" t="s">
        <v>77</v>
      </c>
      <c r="H2" t="s">
        <v>55</v>
      </c>
      <c r="J2" t="s">
        <v>3257</v>
      </c>
      <c r="L2" t="s">
        <v>3258</v>
      </c>
      <c r="M2" t="s">
        <v>3259</v>
      </c>
    </row>
    <row r="3" spans="1:13">
      <c r="A3" s="44" t="s">
        <v>3250</v>
      </c>
      <c r="B3" t="s">
        <v>3256</v>
      </c>
      <c r="C3" t="s">
        <v>3251</v>
      </c>
      <c r="D3" t="s">
        <v>3256</v>
      </c>
      <c r="E3" t="s">
        <v>3251</v>
      </c>
      <c r="F3" t="s">
        <v>3256</v>
      </c>
      <c r="G3" t="s">
        <v>3251</v>
      </c>
      <c r="H3" t="s">
        <v>3256</v>
      </c>
      <c r="I3" t="s">
        <v>3251</v>
      </c>
      <c r="J3" t="s">
        <v>3256</v>
      </c>
      <c r="K3" t="s">
        <v>3251</v>
      </c>
    </row>
    <row r="4" spans="1:13">
      <c r="A4" s="41" t="s">
        <v>312</v>
      </c>
      <c r="B4">
        <v>1026</v>
      </c>
      <c r="C4">
        <v>947</v>
      </c>
      <c r="D4">
        <v>196</v>
      </c>
      <c r="E4">
        <v>196</v>
      </c>
      <c r="H4">
        <v>199</v>
      </c>
      <c r="I4">
        <v>187</v>
      </c>
      <c r="L4">
        <v>1421</v>
      </c>
      <c r="M4">
        <v>1330</v>
      </c>
    </row>
    <row r="5" spans="1:13">
      <c r="A5" s="41" t="s">
        <v>813</v>
      </c>
      <c r="B5">
        <v>6393</v>
      </c>
      <c r="C5">
        <v>6208</v>
      </c>
      <c r="D5">
        <v>1106</v>
      </c>
      <c r="E5">
        <v>1104</v>
      </c>
      <c r="H5">
        <v>718</v>
      </c>
      <c r="I5">
        <v>617</v>
      </c>
      <c r="L5">
        <v>8217</v>
      </c>
      <c r="M5">
        <v>7929</v>
      </c>
    </row>
    <row r="6" spans="1:13">
      <c r="A6" s="41" t="s">
        <v>1515</v>
      </c>
      <c r="B6">
        <v>6795</v>
      </c>
      <c r="C6">
        <v>6523</v>
      </c>
      <c r="D6">
        <v>982</v>
      </c>
      <c r="E6">
        <v>981</v>
      </c>
      <c r="H6">
        <v>700</v>
      </c>
      <c r="I6">
        <v>565</v>
      </c>
      <c r="L6">
        <v>8477</v>
      </c>
      <c r="M6">
        <v>8069</v>
      </c>
    </row>
    <row r="7" spans="1:13">
      <c r="A7" s="41" t="s">
        <v>2726</v>
      </c>
      <c r="B7">
        <v>1871</v>
      </c>
      <c r="C7">
        <v>1652</v>
      </c>
      <c r="D7">
        <v>381</v>
      </c>
      <c r="E7">
        <v>367</v>
      </c>
      <c r="H7">
        <v>620</v>
      </c>
      <c r="I7">
        <v>82</v>
      </c>
      <c r="L7">
        <v>2872</v>
      </c>
      <c r="M7">
        <v>2101</v>
      </c>
    </row>
    <row r="8" spans="1:13">
      <c r="A8" s="41" t="s">
        <v>2753</v>
      </c>
      <c r="B8">
        <v>1035</v>
      </c>
      <c r="C8">
        <v>884</v>
      </c>
      <c r="D8">
        <v>95</v>
      </c>
      <c r="E8">
        <v>95</v>
      </c>
      <c r="H8">
        <v>188</v>
      </c>
      <c r="I8">
        <v>30</v>
      </c>
      <c r="L8">
        <v>1318</v>
      </c>
      <c r="M8">
        <v>1009</v>
      </c>
    </row>
    <row r="9" spans="1:13">
      <c r="A9" s="41" t="s">
        <v>2923</v>
      </c>
      <c r="B9">
        <v>2750</v>
      </c>
      <c r="C9">
        <v>2750</v>
      </c>
      <c r="D9">
        <v>554</v>
      </c>
      <c r="E9">
        <v>554</v>
      </c>
      <c r="H9">
        <v>752</v>
      </c>
      <c r="I9">
        <v>752</v>
      </c>
      <c r="L9">
        <v>4056</v>
      </c>
      <c r="M9">
        <v>4056</v>
      </c>
    </row>
    <row r="10" spans="1:13">
      <c r="A10" s="41" t="s">
        <v>3034</v>
      </c>
      <c r="B10">
        <v>441</v>
      </c>
      <c r="C10">
        <v>441</v>
      </c>
      <c r="D10">
        <v>87</v>
      </c>
      <c r="E10">
        <v>87</v>
      </c>
      <c r="H10">
        <v>129</v>
      </c>
      <c r="I10">
        <v>129</v>
      </c>
      <c r="L10">
        <v>657</v>
      </c>
      <c r="M10">
        <v>657</v>
      </c>
    </row>
    <row r="11" spans="1:13">
      <c r="A11" s="41" t="s">
        <v>3035</v>
      </c>
      <c r="F11">
        <v>7452</v>
      </c>
      <c r="G11">
        <v>7452</v>
      </c>
      <c r="L11">
        <v>7452</v>
      </c>
      <c r="M11">
        <v>7452</v>
      </c>
    </row>
    <row r="12" spans="1:13">
      <c r="A12" s="41" t="s">
        <v>3257</v>
      </c>
    </row>
    <row r="13" spans="1:13">
      <c r="A13" s="41" t="s">
        <v>3252</v>
      </c>
      <c r="B13">
        <v>20311</v>
      </c>
      <c r="C13">
        <v>19405</v>
      </c>
      <c r="D13">
        <v>3401</v>
      </c>
      <c r="E13">
        <v>3384</v>
      </c>
      <c r="F13">
        <v>7452</v>
      </c>
      <c r="G13">
        <v>7452</v>
      </c>
      <c r="H13">
        <v>3306</v>
      </c>
      <c r="I13">
        <v>2362</v>
      </c>
      <c r="L13">
        <v>34470</v>
      </c>
      <c r="M13">
        <v>32603</v>
      </c>
    </row>
  </sheetData>
  <printOptions horizontalCentered="1"/>
  <pageMargins left="0.39370078740157483" right="0.39370078740157483" top="0.39370078740157483" bottom="0.39370078740157483" header="0.19685039370078741" footer="0.19685039370078741"/>
  <pageSetup paperSize="9" scale="48" fitToHeight="0" orientation="landscape" r:id="rId2"/>
  <headerFooter alignWithMargins="0">
    <oddFooter>&amp;C&amp;8&amp;P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K15"/>
  <sheetViews>
    <sheetView workbookViewId="0">
      <selection sqref="A1:B1"/>
    </sheetView>
  </sheetViews>
  <sheetFormatPr defaultRowHeight="12.75"/>
  <cols>
    <col min="1" max="1" width="31.7109375" bestFit="1" customWidth="1"/>
    <col min="2" max="2" width="28.28515625" customWidth="1"/>
    <col min="3" max="3" width="22.5703125" customWidth="1"/>
    <col min="4" max="4" width="28.28515625" customWidth="1"/>
    <col min="5" max="5" width="22.5703125" customWidth="1"/>
    <col min="6" max="6" width="28.28515625" customWidth="1"/>
    <col min="7" max="7" width="22.5703125" customWidth="1"/>
    <col min="8" max="8" width="28.28515625" bestFit="1" customWidth="1"/>
    <col min="9" max="9" width="22.5703125" bestFit="1" customWidth="1"/>
    <col min="10" max="10" width="33.5703125" bestFit="1" customWidth="1"/>
    <col min="11" max="11" width="27.85546875" bestFit="1" customWidth="1"/>
    <col min="12" max="36" width="3" customWidth="1"/>
    <col min="37" max="39" width="4" customWidth="1"/>
    <col min="40" max="45" width="3" customWidth="1"/>
    <col min="46" max="50" width="4" customWidth="1"/>
    <col min="51" max="51" width="18" customWidth="1"/>
    <col min="52" max="52" width="14.5703125" customWidth="1"/>
    <col min="53" max="58" width="4" customWidth="1"/>
    <col min="59" max="59" width="3" customWidth="1"/>
    <col min="60" max="62" width="4" customWidth="1"/>
    <col min="63" max="74" width="3" customWidth="1"/>
    <col min="75" max="75" width="3.5703125" customWidth="1"/>
    <col min="76" max="80" width="3" customWidth="1"/>
    <col min="81" max="81" width="4" customWidth="1"/>
    <col min="82" max="89" width="3" customWidth="1"/>
    <col min="90" max="90" width="4" customWidth="1"/>
    <col min="91" max="95" width="3" customWidth="1"/>
    <col min="96" max="97" width="4" customWidth="1"/>
    <col min="98" max="99" width="3" customWidth="1"/>
    <col min="100" max="100" width="4" customWidth="1"/>
    <col min="101" max="106" width="3" customWidth="1"/>
    <col min="107" max="107" width="4" customWidth="1"/>
    <col min="108" max="108" width="3" customWidth="1"/>
    <col min="109" max="110" width="4" customWidth="1"/>
    <col min="111" max="112" width="3" customWidth="1"/>
    <col min="113" max="113" width="4" customWidth="1"/>
    <col min="114" max="116" width="3" customWidth="1"/>
    <col min="117" max="119" width="4" customWidth="1"/>
    <col min="120" max="120" width="3" customWidth="1"/>
    <col min="121" max="121" width="4" customWidth="1"/>
    <col min="122" max="123" width="3" customWidth="1"/>
    <col min="124" max="180" width="4" customWidth="1"/>
    <col min="181" max="181" width="18" customWidth="1"/>
    <col min="182" max="182" width="23.85546875" customWidth="1"/>
    <col min="183" max="183" width="2" customWidth="1"/>
    <col min="184" max="188" width="3" customWidth="1"/>
    <col min="189" max="189" width="2" customWidth="1"/>
    <col min="190" max="207" width="3" customWidth="1"/>
    <col min="208" max="208" width="4" customWidth="1"/>
    <col min="209" max="215" width="3" customWidth="1"/>
    <col min="216" max="216" width="3.5703125" customWidth="1"/>
    <col min="217" max="221" width="3" customWidth="1"/>
    <col min="222" max="222" width="4" customWidth="1"/>
    <col min="223" max="223" width="3" customWidth="1"/>
    <col min="224" max="224" width="4" customWidth="1"/>
    <col min="225" max="232" width="3" customWidth="1"/>
    <col min="233" max="236" width="4" customWidth="1"/>
    <col min="237" max="237" width="27.140625" customWidth="1"/>
    <col min="238" max="238" width="11.7109375" customWidth="1"/>
    <col min="239" max="239" width="8.140625" customWidth="1"/>
    <col min="240" max="240" width="5" customWidth="1"/>
    <col min="241" max="241" width="8.140625" customWidth="1"/>
    <col min="242" max="242" width="5" customWidth="1"/>
    <col min="243" max="243" width="8.140625" customWidth="1"/>
    <col min="244" max="244" width="5" customWidth="1"/>
    <col min="245" max="245" width="8.140625" customWidth="1"/>
    <col min="246" max="246" width="5" customWidth="1"/>
    <col min="247" max="247" width="8.140625" customWidth="1"/>
    <col min="248" max="248" width="5" customWidth="1"/>
    <col min="249" max="249" width="8.140625" customWidth="1"/>
    <col min="250" max="250" width="5" customWidth="1"/>
    <col min="251" max="251" width="8.140625" customWidth="1"/>
    <col min="252" max="252" width="5" customWidth="1"/>
    <col min="253" max="253" width="8.140625" customWidth="1"/>
    <col min="254" max="254" width="5" customWidth="1"/>
    <col min="255" max="255" width="8.140625" customWidth="1"/>
    <col min="256" max="256" width="5" customWidth="1"/>
    <col min="257" max="257" width="8.140625" customWidth="1"/>
    <col min="258" max="258" width="5" customWidth="1"/>
    <col min="259" max="259" width="8.140625" customWidth="1"/>
    <col min="260" max="260" width="5" customWidth="1"/>
    <col min="261" max="261" width="8.140625" customWidth="1"/>
    <col min="262" max="262" width="5" customWidth="1"/>
    <col min="263" max="263" width="8.140625" customWidth="1"/>
    <col min="264" max="264" width="5" customWidth="1"/>
    <col min="265" max="265" width="8.140625" customWidth="1"/>
    <col min="266" max="266" width="5" customWidth="1"/>
    <col min="267" max="267" width="8.140625" customWidth="1"/>
    <col min="268" max="268" width="5" customWidth="1"/>
    <col min="269" max="269" width="8.140625" customWidth="1"/>
    <col min="270" max="270" width="5" customWidth="1"/>
    <col min="271" max="271" width="8.140625" customWidth="1"/>
    <col min="272" max="272" width="5" customWidth="1"/>
    <col min="273" max="273" width="8.140625" customWidth="1"/>
    <col min="274" max="274" width="5" customWidth="1"/>
    <col min="275" max="275" width="8.140625" customWidth="1"/>
    <col min="276" max="276" width="5" customWidth="1"/>
    <col min="277" max="277" width="8.140625" customWidth="1"/>
    <col min="278" max="278" width="5" customWidth="1"/>
    <col min="279" max="279" width="8.140625" customWidth="1"/>
    <col min="280" max="280" width="5" customWidth="1"/>
    <col min="281" max="281" width="8.140625" customWidth="1"/>
    <col min="282" max="282" width="5" customWidth="1"/>
    <col min="283" max="283" width="8.140625" customWidth="1"/>
    <col min="284" max="284" width="5" customWidth="1"/>
    <col min="285" max="285" width="8.140625" customWidth="1"/>
    <col min="286" max="286" width="5" customWidth="1"/>
    <col min="287" max="287" width="8.140625" customWidth="1"/>
    <col min="288" max="288" width="5" customWidth="1"/>
    <col min="289" max="289" width="8.140625" customWidth="1"/>
    <col min="290" max="290" width="5" customWidth="1"/>
    <col min="291" max="291" width="8.140625" customWidth="1"/>
    <col min="292" max="292" width="5" customWidth="1"/>
    <col min="293" max="293" width="8.140625" customWidth="1"/>
    <col min="294" max="294" width="5" customWidth="1"/>
    <col min="295" max="295" width="8.140625" customWidth="1"/>
    <col min="296" max="296" width="5" customWidth="1"/>
    <col min="297" max="297" width="8.140625" customWidth="1"/>
    <col min="298" max="298" width="5" customWidth="1"/>
    <col min="299" max="299" width="8.140625" customWidth="1"/>
    <col min="300" max="300" width="5" customWidth="1"/>
    <col min="301" max="301" width="8.140625" customWidth="1"/>
    <col min="302" max="302" width="5" customWidth="1"/>
    <col min="303" max="303" width="8.140625" customWidth="1"/>
    <col min="304" max="304" width="6" customWidth="1"/>
    <col min="306" max="306" width="6" customWidth="1"/>
    <col min="308" max="308" width="6" customWidth="1"/>
    <col min="310" max="310" width="6" customWidth="1"/>
    <col min="312" max="312" width="6" customWidth="1"/>
    <col min="314" max="314" width="6" customWidth="1"/>
    <col min="316" max="316" width="6" customWidth="1"/>
    <col min="318" max="318" width="6" customWidth="1"/>
    <col min="320" max="320" width="6" customWidth="1"/>
    <col min="322" max="322" width="6" customWidth="1"/>
    <col min="324" max="324" width="6" customWidth="1"/>
    <col min="325" max="325" width="4" customWidth="1"/>
    <col min="327" max="327" width="6" customWidth="1"/>
    <col min="329" max="329" width="6" customWidth="1"/>
    <col min="331" max="331" width="6" customWidth="1"/>
    <col min="333" max="333" width="6" customWidth="1"/>
    <col min="335" max="335" width="6" customWidth="1"/>
    <col min="337" max="337" width="6" customWidth="1"/>
    <col min="339" max="339" width="6" customWidth="1"/>
    <col min="341" max="341" width="6" customWidth="1"/>
    <col min="343" max="343" width="6" customWidth="1"/>
    <col min="345" max="345" width="6" customWidth="1"/>
    <col min="347" max="347" width="6" customWidth="1"/>
    <col min="349" max="349" width="6" customWidth="1"/>
    <col min="351" max="351" width="6" customWidth="1"/>
    <col min="353" max="353" width="6" customWidth="1"/>
    <col min="355" max="355" width="6" customWidth="1"/>
    <col min="357" max="357" width="6" customWidth="1"/>
    <col min="359" max="359" width="6" customWidth="1"/>
    <col min="361" max="361" width="6" customWidth="1"/>
    <col min="363" max="363" width="6" customWidth="1"/>
    <col min="365" max="365" width="6" customWidth="1"/>
    <col min="367" max="367" width="6" customWidth="1"/>
    <col min="369" max="369" width="6" customWidth="1"/>
    <col min="371" max="371" width="6" customWidth="1"/>
    <col min="373" max="373" width="6" customWidth="1"/>
    <col min="375" max="375" width="6" customWidth="1"/>
    <col min="377" max="377" width="6" customWidth="1"/>
    <col min="379" max="379" width="6" customWidth="1"/>
    <col min="381" max="381" width="6" customWidth="1"/>
    <col min="383" max="383" width="6" customWidth="1"/>
    <col min="385" max="385" width="6" customWidth="1"/>
    <col min="387" max="387" width="6" customWidth="1"/>
    <col min="389" max="389" width="6" customWidth="1"/>
    <col min="391" max="391" width="6" customWidth="1"/>
    <col min="393" max="393" width="6" customWidth="1"/>
    <col min="395" max="395" width="6" customWidth="1"/>
    <col min="397" max="397" width="6" customWidth="1"/>
    <col min="399" max="399" width="6" customWidth="1"/>
    <col min="401" max="401" width="6" customWidth="1"/>
    <col min="403" max="403" width="6" customWidth="1"/>
    <col min="405" max="405" width="6" customWidth="1"/>
    <col min="407" max="407" width="6" customWidth="1"/>
    <col min="409" max="409" width="6" customWidth="1"/>
    <col min="411" max="411" width="6" customWidth="1"/>
    <col min="413" max="413" width="6" customWidth="1"/>
    <col min="415" max="415" width="6" customWidth="1"/>
    <col min="417" max="417" width="6" customWidth="1"/>
    <col min="419" max="419" width="18" customWidth="1"/>
    <col min="420" max="420" width="23.85546875" customWidth="1"/>
    <col min="421" max="421" width="3.5703125" customWidth="1"/>
    <col min="422" max="422" width="2" customWidth="1"/>
    <col min="423" max="423" width="7.140625" customWidth="1"/>
    <col min="424" max="424" width="4" customWidth="1"/>
    <col min="425" max="425" width="7.140625" customWidth="1"/>
    <col min="426" max="426" width="4" customWidth="1"/>
    <col min="427" max="427" width="7.140625" customWidth="1"/>
    <col min="428" max="428" width="4" customWidth="1"/>
    <col min="429" max="429" width="7.140625" customWidth="1"/>
    <col min="430" max="430" width="4" customWidth="1"/>
    <col min="431" max="431" width="7.140625" customWidth="1"/>
    <col min="432" max="432" width="4" customWidth="1"/>
    <col min="433" max="433" width="7.140625" customWidth="1"/>
    <col min="434" max="434" width="4" customWidth="1"/>
    <col min="435" max="435" width="7.140625" customWidth="1"/>
    <col min="436" max="436" width="4" customWidth="1"/>
    <col min="437" max="437" width="7.140625" customWidth="1"/>
    <col min="438" max="438" width="4" customWidth="1"/>
    <col min="439" max="439" width="7.140625" customWidth="1"/>
    <col min="440" max="440" width="4" customWidth="1"/>
    <col min="441" max="441" width="7.140625" customWidth="1"/>
    <col min="442" max="442" width="5" customWidth="1"/>
    <col min="443" max="443" width="8.140625" customWidth="1"/>
    <col min="444" max="444" width="5" customWidth="1"/>
    <col min="445" max="445" width="8.140625" customWidth="1"/>
    <col min="446" max="446" width="5" customWidth="1"/>
    <col min="447" max="447" width="8.140625" customWidth="1"/>
    <col min="448" max="448" width="5" customWidth="1"/>
    <col min="449" max="449" width="8.140625" customWidth="1"/>
    <col min="450" max="450" width="5" customWidth="1"/>
    <col min="451" max="451" width="8.140625" customWidth="1"/>
    <col min="452" max="452" width="5" customWidth="1"/>
    <col min="453" max="453" width="8.140625" customWidth="1"/>
    <col min="454" max="454" width="5" customWidth="1"/>
    <col min="455" max="455" width="8.140625" customWidth="1"/>
    <col min="456" max="456" width="5" customWidth="1"/>
    <col min="457" max="457" width="8.140625" customWidth="1"/>
    <col min="458" max="458" width="5" customWidth="1"/>
    <col min="459" max="459" width="8.140625" customWidth="1"/>
    <col min="460" max="460" width="5" customWidth="1"/>
    <col min="461" max="461" width="8.140625" customWidth="1"/>
    <col min="462" max="462" width="5" customWidth="1"/>
    <col min="463" max="463" width="8.140625" customWidth="1"/>
    <col min="464" max="464" width="5" customWidth="1"/>
    <col min="465" max="465" width="8.140625" customWidth="1"/>
    <col min="466" max="466" width="5" customWidth="1"/>
    <col min="467" max="467" width="8.140625" customWidth="1"/>
    <col min="468" max="468" width="5" customWidth="1"/>
    <col min="469" max="469" width="8.140625" customWidth="1"/>
    <col min="470" max="470" width="5" customWidth="1"/>
    <col min="471" max="471" width="8.140625" customWidth="1"/>
    <col min="472" max="472" width="5" customWidth="1"/>
    <col min="473" max="473" width="8.140625" customWidth="1"/>
    <col min="474" max="474" width="5" customWidth="1"/>
    <col min="475" max="475" width="8.140625" customWidth="1"/>
    <col min="476" max="476" width="5" customWidth="1"/>
    <col min="477" max="477" width="8.140625" customWidth="1"/>
    <col min="478" max="478" width="5" customWidth="1"/>
    <col min="479" max="479" width="8.140625" customWidth="1"/>
    <col min="480" max="480" width="5" customWidth="1"/>
    <col min="481" max="481" width="8.140625" customWidth="1"/>
    <col min="482" max="482" width="5" customWidth="1"/>
    <col min="483" max="483" width="8.140625" customWidth="1"/>
    <col min="484" max="484" width="5" customWidth="1"/>
    <col min="485" max="485" width="8.140625" customWidth="1"/>
    <col min="486" max="486" width="5" customWidth="1"/>
    <col min="487" max="487" width="8.140625" customWidth="1"/>
    <col min="488" max="488" width="5" customWidth="1"/>
    <col min="489" max="489" width="8.140625" customWidth="1"/>
    <col min="490" max="490" width="5" customWidth="1"/>
    <col min="491" max="491" width="3" customWidth="1"/>
    <col min="492" max="492" width="8.140625" customWidth="1"/>
    <col min="493" max="493" width="5" customWidth="1"/>
    <col min="494" max="494" width="8.140625" customWidth="1"/>
    <col min="495" max="495" width="5" customWidth="1"/>
    <col min="496" max="496" width="8.140625" customWidth="1"/>
    <col min="497" max="497" width="5" customWidth="1"/>
    <col min="498" max="498" width="8.140625" customWidth="1"/>
    <col min="499" max="499" width="5" customWidth="1"/>
    <col min="500" max="500" width="8.140625" customWidth="1"/>
    <col min="501" max="501" width="5" customWidth="1"/>
    <col min="502" max="502" width="8.140625" customWidth="1"/>
    <col min="503" max="503" width="5" customWidth="1"/>
    <col min="504" max="504" width="8.140625" customWidth="1"/>
    <col min="505" max="505" width="5" customWidth="1"/>
    <col min="506" max="506" width="8.140625" customWidth="1"/>
    <col min="507" max="507" width="5" customWidth="1"/>
    <col min="508" max="508" width="8.140625" customWidth="1"/>
    <col min="509" max="509" width="5" customWidth="1"/>
    <col min="510" max="510" width="8.140625" customWidth="1"/>
    <col min="511" max="511" width="5" customWidth="1"/>
    <col min="512" max="512" width="8.140625" customWidth="1"/>
    <col min="513" max="513" width="5" customWidth="1"/>
    <col min="514" max="514" width="8.140625" customWidth="1"/>
    <col min="515" max="515" width="5" customWidth="1"/>
    <col min="516" max="516" width="8.140625" customWidth="1"/>
    <col min="517" max="517" width="5" customWidth="1"/>
    <col min="518" max="518" width="8.140625" customWidth="1"/>
    <col min="519" max="519" width="5" customWidth="1"/>
    <col min="520" max="520" width="8.140625" customWidth="1"/>
    <col min="521" max="521" width="5" customWidth="1"/>
    <col min="522" max="522" width="8.140625" customWidth="1"/>
    <col min="523" max="523" width="5" customWidth="1"/>
    <col min="524" max="524" width="8.140625" customWidth="1"/>
    <col min="525" max="525" width="6" customWidth="1"/>
    <col min="527" max="527" width="6" customWidth="1"/>
    <col min="529" max="529" width="6" customWidth="1"/>
    <col min="531" max="531" width="6" customWidth="1"/>
    <col min="533" max="533" width="27.140625" customWidth="1"/>
    <col min="534" max="534" width="11.7109375" customWidth="1"/>
  </cols>
  <sheetData>
    <row r="1" spans="1:11">
      <c r="A1" s="44" t="s">
        <v>261</v>
      </c>
      <c r="B1" t="s">
        <v>3255</v>
      </c>
    </row>
    <row r="2" spans="1:11">
      <c r="A2" s="44" t="s">
        <v>262</v>
      </c>
      <c r="B2" t="s">
        <v>3255</v>
      </c>
    </row>
    <row r="4" spans="1:11">
      <c r="B4" s="44" t="s">
        <v>3254</v>
      </c>
    </row>
    <row r="5" spans="1:11">
      <c r="B5" t="s">
        <v>75</v>
      </c>
      <c r="D5" t="s">
        <v>54</v>
      </c>
      <c r="F5" t="s">
        <v>55</v>
      </c>
      <c r="H5" t="s">
        <v>3257</v>
      </c>
      <c r="J5" t="s">
        <v>3258</v>
      </c>
      <c r="K5" t="s">
        <v>3259</v>
      </c>
    </row>
    <row r="6" spans="1:11">
      <c r="A6" s="44" t="s">
        <v>3250</v>
      </c>
      <c r="B6" t="s">
        <v>3256</v>
      </c>
      <c r="C6" t="s">
        <v>3251</v>
      </c>
      <c r="D6" t="s">
        <v>3256</v>
      </c>
      <c r="E6" t="s">
        <v>3251</v>
      </c>
      <c r="F6" t="s">
        <v>3256</v>
      </c>
      <c r="G6" t="s">
        <v>3251</v>
      </c>
      <c r="H6" t="s">
        <v>3256</v>
      </c>
      <c r="I6" t="s">
        <v>3251</v>
      </c>
    </row>
    <row r="7" spans="1:11">
      <c r="A7" s="41" t="s">
        <v>312</v>
      </c>
      <c r="B7">
        <v>752</v>
      </c>
      <c r="C7">
        <v>739</v>
      </c>
      <c r="D7">
        <v>196</v>
      </c>
      <c r="E7">
        <v>196</v>
      </c>
      <c r="F7">
        <v>148</v>
      </c>
      <c r="G7">
        <v>136</v>
      </c>
      <c r="J7">
        <v>1096</v>
      </c>
      <c r="K7">
        <v>1071</v>
      </c>
    </row>
    <row r="8" spans="1:11">
      <c r="A8" s="41" t="s">
        <v>813</v>
      </c>
      <c r="B8">
        <v>5824</v>
      </c>
      <c r="C8">
        <v>5730</v>
      </c>
      <c r="D8">
        <v>1100</v>
      </c>
      <c r="E8">
        <v>1098</v>
      </c>
      <c r="F8">
        <v>694</v>
      </c>
      <c r="G8">
        <v>593</v>
      </c>
      <c r="J8">
        <v>7618</v>
      </c>
      <c r="K8">
        <v>7421</v>
      </c>
    </row>
    <row r="9" spans="1:11">
      <c r="A9" s="41" t="s">
        <v>1515</v>
      </c>
      <c r="B9">
        <v>5870</v>
      </c>
      <c r="C9">
        <v>5801</v>
      </c>
      <c r="D9">
        <v>971</v>
      </c>
      <c r="E9">
        <v>971</v>
      </c>
      <c r="F9">
        <v>691</v>
      </c>
      <c r="G9">
        <v>571</v>
      </c>
      <c r="J9">
        <v>7532</v>
      </c>
      <c r="K9">
        <v>7343</v>
      </c>
    </row>
    <row r="10" spans="1:11">
      <c r="A10" s="41" t="s">
        <v>2726</v>
      </c>
      <c r="B10">
        <v>1871</v>
      </c>
      <c r="C10">
        <v>1652</v>
      </c>
      <c r="D10">
        <v>381</v>
      </c>
      <c r="E10">
        <v>367</v>
      </c>
      <c r="F10">
        <v>620</v>
      </c>
      <c r="G10">
        <v>82</v>
      </c>
      <c r="J10">
        <v>2872</v>
      </c>
      <c r="K10">
        <v>2101</v>
      </c>
    </row>
    <row r="11" spans="1:11">
      <c r="A11" s="41" t="s">
        <v>2753</v>
      </c>
      <c r="B11">
        <v>908</v>
      </c>
      <c r="C11">
        <v>778</v>
      </c>
      <c r="D11">
        <v>94</v>
      </c>
      <c r="E11">
        <v>94</v>
      </c>
      <c r="F11">
        <v>188</v>
      </c>
      <c r="G11">
        <v>30</v>
      </c>
      <c r="J11">
        <v>1190</v>
      </c>
      <c r="K11">
        <v>902</v>
      </c>
    </row>
    <row r="12" spans="1:11">
      <c r="A12" s="41" t="s">
        <v>2923</v>
      </c>
      <c r="B12">
        <v>2750</v>
      </c>
      <c r="C12">
        <v>2750</v>
      </c>
      <c r="D12">
        <v>554</v>
      </c>
      <c r="E12">
        <v>554</v>
      </c>
      <c r="F12">
        <v>752</v>
      </c>
      <c r="G12">
        <v>752</v>
      </c>
      <c r="J12">
        <v>4056</v>
      </c>
      <c r="K12">
        <v>4056</v>
      </c>
    </row>
    <row r="13" spans="1:11">
      <c r="A13" s="41" t="s">
        <v>3034</v>
      </c>
      <c r="B13">
        <v>441</v>
      </c>
      <c r="C13">
        <v>441</v>
      </c>
      <c r="D13">
        <v>87</v>
      </c>
      <c r="E13">
        <v>87</v>
      </c>
      <c r="F13">
        <v>129</v>
      </c>
      <c r="G13">
        <v>129</v>
      </c>
      <c r="J13">
        <v>657</v>
      </c>
      <c r="K13">
        <v>657</v>
      </c>
    </row>
    <row r="14" spans="1:11">
      <c r="A14" s="41" t="s">
        <v>3257</v>
      </c>
    </row>
    <row r="15" spans="1:11">
      <c r="A15" s="41" t="s">
        <v>3252</v>
      </c>
      <c r="B15">
        <v>18416</v>
      </c>
      <c r="C15">
        <v>17891</v>
      </c>
      <c r="D15">
        <v>3383</v>
      </c>
      <c r="E15">
        <v>3367</v>
      </c>
      <c r="F15">
        <v>3222</v>
      </c>
      <c r="G15">
        <v>2293</v>
      </c>
      <c r="J15">
        <v>25021</v>
      </c>
      <c r="K15">
        <v>23551</v>
      </c>
    </row>
  </sheetData>
  <printOptions horizontalCentered="1"/>
  <pageMargins left="0.39370078740157483" right="0.39370078740157483" top="0.39370078740157483" bottom="0.39370078740157483" header="0.19685039370078741" footer="0.19685039370078741"/>
  <pageSetup paperSize="9" scale="57" fitToHeight="0" orientation="landscape" r:id="rId2"/>
  <headerFooter alignWithMargins="0">
    <oddFooter>&amp;C&amp;8&amp;P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B7"/>
  <sheetViews>
    <sheetView workbookViewId="0">
      <selection sqref="A1:B1"/>
    </sheetView>
  </sheetViews>
  <sheetFormatPr defaultRowHeight="12.75"/>
  <cols>
    <col min="1" max="1" width="21.42578125" bestFit="1" customWidth="1"/>
    <col min="2" max="3" width="22.5703125" bestFit="1" customWidth="1"/>
    <col min="4" max="4" width="28.28515625" bestFit="1" customWidth="1"/>
    <col min="5" max="5" width="22.5703125" bestFit="1" customWidth="1"/>
    <col min="6" max="6" width="28.28515625" customWidth="1"/>
    <col min="7" max="7" width="22.5703125" customWidth="1"/>
    <col min="8" max="8" width="28.28515625" bestFit="1" customWidth="1"/>
    <col min="9" max="9" width="22.5703125" bestFit="1" customWidth="1"/>
    <col min="10" max="10" width="33.5703125" bestFit="1" customWidth="1"/>
    <col min="11" max="11" width="27.85546875" bestFit="1" customWidth="1"/>
  </cols>
  <sheetData>
    <row r="1" spans="1:2">
      <c r="A1" s="44" t="s">
        <v>257</v>
      </c>
      <c r="B1" t="s">
        <v>329</v>
      </c>
    </row>
    <row r="3" spans="1:2">
      <c r="A3" s="44" t="s">
        <v>3250</v>
      </c>
      <c r="B3" t="s">
        <v>3251</v>
      </c>
    </row>
    <row r="4" spans="1:2">
      <c r="A4" s="41" t="s">
        <v>312</v>
      </c>
      <c r="B4">
        <v>158</v>
      </c>
    </row>
    <row r="5" spans="1:2">
      <c r="A5" s="41" t="s">
        <v>813</v>
      </c>
      <c r="B5">
        <v>1853</v>
      </c>
    </row>
    <row r="6" spans="1:2">
      <c r="A6" s="41" t="s">
        <v>1515</v>
      </c>
      <c r="B6">
        <v>1119</v>
      </c>
    </row>
    <row r="7" spans="1:2">
      <c r="A7" s="41" t="s">
        <v>3252</v>
      </c>
      <c r="B7">
        <v>3130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B6"/>
  <sheetViews>
    <sheetView workbookViewId="0">
      <selection sqref="A1:B1"/>
    </sheetView>
  </sheetViews>
  <sheetFormatPr defaultRowHeight="12.75"/>
  <cols>
    <col min="1" max="1" width="19.7109375" bestFit="1" customWidth="1"/>
    <col min="2" max="2" width="22.5703125" customWidth="1"/>
    <col min="3" max="3" width="12.5703125" customWidth="1"/>
    <col min="4" max="4" width="21.85546875" customWidth="1"/>
    <col min="5" max="5" width="11.7109375" customWidth="1"/>
    <col min="6" max="6" width="28.28515625" customWidth="1"/>
    <col min="7" max="7" width="22.5703125" customWidth="1"/>
    <col min="8" max="8" width="33.5703125" customWidth="1"/>
    <col min="9" max="9" width="27.85546875" customWidth="1"/>
  </cols>
  <sheetData>
    <row r="1" spans="1:2">
      <c r="A1" s="44" t="s">
        <v>265</v>
      </c>
      <c r="B1" t="s">
        <v>329</v>
      </c>
    </row>
    <row r="3" spans="1:2">
      <c r="A3" s="44" t="s">
        <v>3250</v>
      </c>
      <c r="B3" t="s">
        <v>3251</v>
      </c>
    </row>
    <row r="4" spans="1:2">
      <c r="A4" s="41" t="s">
        <v>312</v>
      </c>
      <c r="B4">
        <v>50</v>
      </c>
    </row>
    <row r="5" spans="1:2">
      <c r="A5" s="41" t="s">
        <v>813</v>
      </c>
      <c r="B5">
        <v>3838</v>
      </c>
    </row>
    <row r="6" spans="1:2">
      <c r="A6" s="41" t="s">
        <v>3252</v>
      </c>
      <c r="B6">
        <v>3888</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pageSetUpPr fitToPage="1"/>
  </sheetPr>
  <dimension ref="A1:C9"/>
  <sheetViews>
    <sheetView workbookViewId="0">
      <selection sqref="A1:B1"/>
    </sheetView>
  </sheetViews>
  <sheetFormatPr defaultRowHeight="12.75"/>
  <cols>
    <col min="1" max="1" width="31.7109375" bestFit="1" customWidth="1"/>
    <col min="2" max="2" width="22.5703125" bestFit="1" customWidth="1"/>
    <col min="3" max="3" width="28.28515625" bestFit="1" customWidth="1"/>
    <col min="4" max="4" width="5" customWidth="1"/>
    <col min="5" max="5" width="4.5703125" customWidth="1"/>
    <col min="6" max="6" width="4.42578125" customWidth="1"/>
    <col min="7" max="7" width="11.7109375" bestFit="1" customWidth="1"/>
  </cols>
  <sheetData>
    <row r="1" spans="1:3">
      <c r="A1" s="44" t="s">
        <v>257</v>
      </c>
      <c r="B1" t="s">
        <v>329</v>
      </c>
    </row>
    <row r="2" spans="1:3">
      <c r="A2" s="44" t="s">
        <v>261</v>
      </c>
      <c r="B2" t="s">
        <v>3255</v>
      </c>
    </row>
    <row r="3" spans="1:3">
      <c r="A3" s="44" t="s">
        <v>262</v>
      </c>
      <c r="B3" t="s">
        <v>3255</v>
      </c>
    </row>
    <row r="5" spans="1:3">
      <c r="A5" s="44" t="s">
        <v>3250</v>
      </c>
      <c r="B5" t="s">
        <v>3251</v>
      </c>
      <c r="C5" t="s">
        <v>3256</v>
      </c>
    </row>
    <row r="6" spans="1:3">
      <c r="A6" s="41" t="s">
        <v>312</v>
      </c>
      <c r="B6">
        <v>134</v>
      </c>
      <c r="C6">
        <v>134</v>
      </c>
    </row>
    <row r="7" spans="1:3">
      <c r="A7" s="41" t="s">
        <v>813</v>
      </c>
      <c r="B7">
        <v>1783</v>
      </c>
      <c r="C7">
        <v>1787</v>
      </c>
    </row>
    <row r="8" spans="1:3">
      <c r="A8" s="41" t="s">
        <v>1515</v>
      </c>
      <c r="B8">
        <v>971</v>
      </c>
      <c r="C8">
        <v>988</v>
      </c>
    </row>
    <row r="9" spans="1:3">
      <c r="A9" s="41" t="s">
        <v>3252</v>
      </c>
      <c r="B9">
        <v>2888</v>
      </c>
      <c r="C9">
        <v>2909</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C9"/>
  <sheetViews>
    <sheetView workbookViewId="0">
      <selection sqref="A1:B1"/>
    </sheetView>
  </sheetViews>
  <sheetFormatPr defaultRowHeight="12.75"/>
  <cols>
    <col min="1" max="1" width="31.7109375" customWidth="1"/>
    <col min="2" max="2" width="22.5703125" bestFit="1" customWidth="1"/>
    <col min="3" max="3" width="28.28515625" bestFit="1" customWidth="1"/>
    <col min="4" max="4" width="5" customWidth="1"/>
    <col min="5" max="5" width="4.5703125" customWidth="1"/>
    <col min="6" max="6" width="4.42578125" customWidth="1"/>
    <col min="7" max="7" width="11.7109375" customWidth="1"/>
  </cols>
  <sheetData>
    <row r="1" spans="1:3">
      <c r="A1" s="44" t="s">
        <v>257</v>
      </c>
      <c r="B1" t="s">
        <v>329</v>
      </c>
    </row>
    <row r="2" spans="1:3">
      <c r="A2" s="44" t="s">
        <v>261</v>
      </c>
      <c r="B2" t="s">
        <v>3255</v>
      </c>
    </row>
    <row r="3" spans="1:3">
      <c r="A3" s="44" t="s">
        <v>262</v>
      </c>
      <c r="B3" t="s">
        <v>3255</v>
      </c>
    </row>
    <row r="5" spans="1:3">
      <c r="A5" s="44" t="s">
        <v>3250</v>
      </c>
      <c r="B5" t="s">
        <v>3251</v>
      </c>
      <c r="C5" t="s">
        <v>3256</v>
      </c>
    </row>
    <row r="6" spans="1:3">
      <c r="A6" s="41" t="s">
        <v>312</v>
      </c>
      <c r="B6">
        <v>24</v>
      </c>
      <c r="C6">
        <v>37</v>
      </c>
    </row>
    <row r="7" spans="1:3">
      <c r="A7" s="41" t="s">
        <v>813</v>
      </c>
      <c r="B7">
        <v>70</v>
      </c>
      <c r="C7">
        <v>98</v>
      </c>
    </row>
    <row r="8" spans="1:3">
      <c r="A8" s="41" t="s">
        <v>1515</v>
      </c>
      <c r="B8">
        <v>148</v>
      </c>
      <c r="C8">
        <v>253</v>
      </c>
    </row>
    <row r="9" spans="1:3">
      <c r="A9" s="41" t="s">
        <v>3252</v>
      </c>
      <c r="B9">
        <v>242</v>
      </c>
      <c r="C9">
        <v>388</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A1:B8"/>
  <sheetViews>
    <sheetView workbookViewId="0">
      <selection sqref="A1:B1"/>
    </sheetView>
  </sheetViews>
  <sheetFormatPr defaultRowHeight="12.75"/>
  <cols>
    <col min="1" max="1" width="31.7109375" customWidth="1"/>
    <col min="2" max="2" width="22.5703125" bestFit="1" customWidth="1"/>
    <col min="3" max="4" width="5" customWidth="1"/>
    <col min="5" max="5" width="4.5703125" customWidth="1"/>
    <col min="6" max="6" width="4.42578125" customWidth="1"/>
    <col min="7" max="7" width="11.7109375" bestFit="1" customWidth="1"/>
  </cols>
  <sheetData>
    <row r="1" spans="1:2">
      <c r="A1" s="44" t="s">
        <v>261</v>
      </c>
      <c r="B1" t="s">
        <v>3255</v>
      </c>
    </row>
    <row r="2" spans="1:2">
      <c r="A2" s="44" t="s">
        <v>262</v>
      </c>
      <c r="B2" t="s">
        <v>3255</v>
      </c>
    </row>
    <row r="3" spans="1:2">
      <c r="A3" s="44" t="s">
        <v>265</v>
      </c>
      <c r="B3" t="s">
        <v>329</v>
      </c>
    </row>
    <row r="5" spans="1:2">
      <c r="A5" s="44" t="s">
        <v>3250</v>
      </c>
      <c r="B5" t="s">
        <v>3251</v>
      </c>
    </row>
    <row r="6" spans="1:2">
      <c r="A6" s="41" t="s">
        <v>312</v>
      </c>
      <c r="B6">
        <v>16</v>
      </c>
    </row>
    <row r="7" spans="1:2">
      <c r="A7" s="41" t="s">
        <v>813</v>
      </c>
      <c r="B7">
        <v>3720</v>
      </c>
    </row>
    <row r="8" spans="1:2">
      <c r="A8" s="41" t="s">
        <v>3252</v>
      </c>
      <c r="B8">
        <v>3736</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pageSetUpPr fitToPage="1"/>
  </sheetPr>
  <dimension ref="A1:V70"/>
  <sheetViews>
    <sheetView workbookViewId="0">
      <selection activeCell="B1" sqref="B1"/>
    </sheetView>
  </sheetViews>
  <sheetFormatPr defaultRowHeight="12.75"/>
  <cols>
    <col min="1" max="1" width="11.140625" customWidth="1"/>
    <col min="2" max="2" width="31.85546875" customWidth="1"/>
    <col min="3" max="21" width="7.42578125" bestFit="1" customWidth="1"/>
    <col min="22" max="22" width="7.42578125" customWidth="1"/>
  </cols>
  <sheetData>
    <row r="1" spans="1:22" ht="15.75">
      <c r="A1" s="135" t="s">
        <v>211</v>
      </c>
    </row>
    <row r="3" spans="1:22">
      <c r="A3" s="242" t="s">
        <v>212</v>
      </c>
      <c r="B3" s="243"/>
      <c r="C3" s="234" t="s">
        <v>213</v>
      </c>
      <c r="D3" s="235"/>
      <c r="E3" s="235"/>
      <c r="F3" s="235"/>
      <c r="G3" s="235"/>
      <c r="H3" s="235"/>
      <c r="I3" s="235"/>
      <c r="J3" s="235"/>
      <c r="K3" s="235"/>
      <c r="L3" s="236"/>
      <c r="M3" s="234" t="s">
        <v>214</v>
      </c>
      <c r="N3" s="235"/>
      <c r="O3" s="235"/>
      <c r="P3" s="235"/>
      <c r="Q3" s="235"/>
      <c r="R3" s="235"/>
      <c r="S3" s="235"/>
      <c r="T3" s="235"/>
      <c r="U3" s="235"/>
      <c r="V3" s="236"/>
    </row>
    <row r="4" spans="1:22">
      <c r="A4" s="244" t="s">
        <v>86</v>
      </c>
      <c r="B4" s="245"/>
      <c r="C4" s="93" t="s">
        <v>10</v>
      </c>
      <c r="D4" s="94" t="s">
        <v>11</v>
      </c>
      <c r="E4" s="94" t="s">
        <v>12</v>
      </c>
      <c r="F4" s="94" t="s">
        <v>13</v>
      </c>
      <c r="G4" s="94" t="s">
        <v>14</v>
      </c>
      <c r="H4" s="94" t="s">
        <v>215</v>
      </c>
      <c r="I4" s="94" t="s">
        <v>216</v>
      </c>
      <c r="J4" s="94" t="s">
        <v>217</v>
      </c>
      <c r="K4" s="94" t="s">
        <v>218</v>
      </c>
      <c r="L4" s="95" t="s">
        <v>219</v>
      </c>
      <c r="M4" s="92" t="s">
        <v>220</v>
      </c>
      <c r="N4" s="91" t="s">
        <v>221</v>
      </c>
      <c r="O4" s="91" t="s">
        <v>222</v>
      </c>
      <c r="P4" s="91" t="s">
        <v>223</v>
      </c>
      <c r="Q4" s="91" t="s">
        <v>224</v>
      </c>
      <c r="R4" s="91" t="s">
        <v>225</v>
      </c>
      <c r="S4" s="91" t="s">
        <v>226</v>
      </c>
      <c r="T4" s="91" t="s">
        <v>227</v>
      </c>
      <c r="U4" s="91" t="s">
        <v>228</v>
      </c>
      <c r="V4" s="113" t="s">
        <v>229</v>
      </c>
    </row>
    <row r="5" spans="1:22">
      <c r="A5" s="237" t="s">
        <v>230</v>
      </c>
      <c r="B5" s="238"/>
      <c r="C5" s="96">
        <v>10</v>
      </c>
      <c r="D5" s="97">
        <f>C5-1</f>
        <v>9</v>
      </c>
      <c r="E5" s="97">
        <f t="shared" ref="E5:L5" si="0">D5-1</f>
        <v>8</v>
      </c>
      <c r="F5" s="97">
        <f t="shared" si="0"/>
        <v>7</v>
      </c>
      <c r="G5" s="97">
        <f t="shared" si="0"/>
        <v>6</v>
      </c>
      <c r="H5" s="97">
        <f t="shared" si="0"/>
        <v>5</v>
      </c>
      <c r="I5" s="97">
        <f t="shared" si="0"/>
        <v>4</v>
      </c>
      <c r="J5" s="97">
        <f t="shared" si="0"/>
        <v>3</v>
      </c>
      <c r="K5" s="97">
        <f t="shared" si="0"/>
        <v>2</v>
      </c>
      <c r="L5" s="98">
        <f t="shared" si="0"/>
        <v>1</v>
      </c>
      <c r="M5" s="96"/>
      <c r="N5" s="97"/>
      <c r="O5" s="97"/>
      <c r="P5" s="97"/>
      <c r="Q5" s="97"/>
      <c r="R5" s="97"/>
      <c r="S5" s="97"/>
      <c r="T5" s="97"/>
      <c r="U5" s="97"/>
      <c r="V5" s="145"/>
    </row>
    <row r="6" spans="1:22" ht="24" customHeight="1">
      <c r="A6" s="239" t="s">
        <v>105</v>
      </c>
      <c r="B6" s="99" t="s">
        <v>231</v>
      </c>
      <c r="C6" s="109">
        <f>'Summary Tables'!G11</f>
        <v>2735</v>
      </c>
      <c r="D6" s="100">
        <f>'Summary Tables'!H11</f>
        <v>2710</v>
      </c>
      <c r="E6" s="100">
        <f>'Summary Tables'!I11</f>
        <v>2025</v>
      </c>
      <c r="F6" s="100">
        <f>'Summary Tables'!J11</f>
        <v>1877</v>
      </c>
      <c r="G6" s="100">
        <f>'Summary Tables'!K11</f>
        <v>1359</v>
      </c>
      <c r="H6" s="100"/>
      <c r="I6" s="100"/>
      <c r="J6" s="100"/>
      <c r="K6" s="100"/>
      <c r="L6" s="101"/>
      <c r="M6" s="109"/>
      <c r="N6" s="100"/>
      <c r="O6" s="100"/>
      <c r="P6" s="100"/>
      <c r="Q6" s="100"/>
      <c r="R6" s="100"/>
      <c r="S6" s="100"/>
      <c r="T6" s="121"/>
      <c r="V6" s="120"/>
    </row>
    <row r="7" spans="1:22" ht="24" customHeight="1">
      <c r="A7" s="240"/>
      <c r="B7" s="102" t="s">
        <v>232</v>
      </c>
      <c r="C7" s="104"/>
      <c r="D7" s="105"/>
      <c r="E7" s="105"/>
      <c r="F7" s="105"/>
      <c r="G7" s="105"/>
      <c r="H7" s="105">
        <f>SUM('Conventional Supply'!BZ2:BZ1048576)+SUM('Non-Self-Contained Supply'!AR2:AR1048576)</f>
        <v>2641.1666666666824</v>
      </c>
      <c r="I7" s="105">
        <f>SUM('Conventional Supply'!CA2:CA1048576)+SUM('Non-Self-Contained Supply'!AS2:AS1048576)</f>
        <v>2889.8541009463884</v>
      </c>
      <c r="J7" s="105">
        <f>SUM('Conventional Supply'!CB2:CB1048576)+SUM('Non-Self-Contained Supply'!AT2:AT1048576)</f>
        <v>2865.3541009463866</v>
      </c>
      <c r="K7" s="105">
        <f>SUM('Conventional Supply'!CC2:CC1048576)+SUM('Non-Self-Contained Supply'!AU2:AU1048576)</f>
        <v>3385.3541009463725</v>
      </c>
      <c r="L7" s="105">
        <f>SUM('Conventional Supply'!CD2:CD1048576)+SUM('Non-Self-Contained Supply'!AV2:AV1048576)</f>
        <v>3157.2500000000036</v>
      </c>
      <c r="M7" s="104">
        <f>SUM('Conventional Supply'!CE2:CE1048576)+SUM('Non-Self-Contained Supply'!AW2:AW1048576)</f>
        <v>2775.5376971608812</v>
      </c>
      <c r="N7" s="105">
        <f>SUM('Conventional Supply'!CF2:CF1048576)+SUM('Non-Self-Contained Supply'!AX2:AX1048576)</f>
        <v>1277.1833333333338</v>
      </c>
      <c r="O7" s="105">
        <f>SUM('Conventional Supply'!CG2:CG1048576)+SUM('Non-Self-Contained Supply'!AY2:AY1048576)</f>
        <v>1848.8499999999997</v>
      </c>
      <c r="P7" s="105">
        <f>SUM('Conventional Supply'!CH2:CH1048576)+SUM('Non-Self-Contained Supply'!AZ2:AZ1048576)</f>
        <v>1103.5166666666667</v>
      </c>
      <c r="Q7" s="105">
        <f>SUM('Conventional Supply'!CI2:CI1048576)+SUM('Non-Self-Contained Supply'!BA2:BA1048576)</f>
        <v>1024.1500000000001</v>
      </c>
      <c r="R7" s="105">
        <f>SUM('Conventional Supply'!CJ2:CJ1048576)+SUM('Non-Self-Contained Supply'!BB2:BB1048576)</f>
        <v>1149.75</v>
      </c>
      <c r="S7" s="105">
        <f>SUM('Conventional Supply'!CK2:CK1048576)+SUM('Non-Self-Contained Supply'!BC2:BC1048576)</f>
        <v>827.25</v>
      </c>
      <c r="T7" s="105">
        <f>SUM('Conventional Supply'!CL2:CL1048576)+SUM('Non-Self-Contained Supply'!BD2:BD1048576)</f>
        <v>827.25</v>
      </c>
      <c r="U7" s="105">
        <f>SUM('Conventional Supply'!CM2:CM1048576)+SUM('Non-Self-Contained Supply'!BE2:BE1048576)</f>
        <v>827.25</v>
      </c>
      <c r="V7" s="103">
        <f>SUM('Conventional Supply'!CN2:CN1048576)+SUM('Non-Self-Contained Supply'!BF2:BF1048576)</f>
        <v>866.45</v>
      </c>
    </row>
    <row r="8" spans="1:22" ht="24" customHeight="1">
      <c r="A8" s="241"/>
      <c r="B8" s="106" t="s">
        <v>233</v>
      </c>
      <c r="C8" s="107">
        <f>C6</f>
        <v>2735</v>
      </c>
      <c r="D8" s="110">
        <f>C8+D6</f>
        <v>5445</v>
      </c>
      <c r="E8" s="110">
        <f t="shared" ref="E8:F8" si="1">D8+E6</f>
        <v>7470</v>
      </c>
      <c r="F8" s="110">
        <f t="shared" si="1"/>
        <v>9347</v>
      </c>
      <c r="G8" s="110">
        <f>F8+G7</f>
        <v>9347</v>
      </c>
      <c r="H8" s="110">
        <f t="shared" ref="H8:V8" si="2">G8+H7</f>
        <v>11988.166666666682</v>
      </c>
      <c r="I8" s="110">
        <f t="shared" si="2"/>
        <v>14878.02076761307</v>
      </c>
      <c r="J8" s="110">
        <f t="shared" si="2"/>
        <v>17743.374868559458</v>
      </c>
      <c r="K8" s="110">
        <f t="shared" si="2"/>
        <v>21128.728969505832</v>
      </c>
      <c r="L8" s="108">
        <f t="shared" si="2"/>
        <v>24285.978969505835</v>
      </c>
      <c r="M8" s="107">
        <f t="shared" si="2"/>
        <v>27061.516666666717</v>
      </c>
      <c r="N8" s="110">
        <f t="shared" si="2"/>
        <v>28338.700000000052</v>
      </c>
      <c r="O8" s="110">
        <f t="shared" si="2"/>
        <v>30187.55000000005</v>
      </c>
      <c r="P8" s="110">
        <f t="shared" si="2"/>
        <v>31291.066666666717</v>
      </c>
      <c r="Q8" s="110">
        <f t="shared" si="2"/>
        <v>32315.216666666718</v>
      </c>
      <c r="R8" s="110">
        <f t="shared" si="2"/>
        <v>33464.966666666718</v>
      </c>
      <c r="S8" s="110">
        <f t="shared" si="2"/>
        <v>34292.216666666718</v>
      </c>
      <c r="T8" s="110">
        <f t="shared" si="2"/>
        <v>35119.466666666718</v>
      </c>
      <c r="U8" s="110">
        <f t="shared" si="2"/>
        <v>35946.716666666718</v>
      </c>
      <c r="V8" s="108">
        <f t="shared" si="2"/>
        <v>36813.166666666715</v>
      </c>
    </row>
    <row r="9" spans="1:22" ht="24" customHeight="1">
      <c r="A9" s="239" t="s">
        <v>234</v>
      </c>
      <c r="B9" s="99" t="s">
        <v>6</v>
      </c>
      <c r="C9" s="109">
        <v>1812</v>
      </c>
      <c r="D9" s="100">
        <v>1812</v>
      </c>
      <c r="E9" s="100">
        <v>1812</v>
      </c>
      <c r="F9" s="100">
        <v>1812</v>
      </c>
      <c r="G9" s="100">
        <v>1812</v>
      </c>
      <c r="H9" s="100">
        <v>1812</v>
      </c>
      <c r="I9" s="100">
        <v>1812</v>
      </c>
      <c r="J9" s="100">
        <v>1812</v>
      </c>
      <c r="K9" s="100">
        <v>1812</v>
      </c>
      <c r="L9" s="100">
        <v>1812</v>
      </c>
      <c r="M9" s="109">
        <v>1812</v>
      </c>
      <c r="N9" s="100">
        <v>1812</v>
      </c>
      <c r="O9" s="100">
        <v>1812</v>
      </c>
      <c r="P9" s="100">
        <v>1812</v>
      </c>
      <c r="Q9" s="100">
        <v>1812</v>
      </c>
      <c r="R9" s="100">
        <v>1812</v>
      </c>
      <c r="S9" s="100">
        <v>1812</v>
      </c>
      <c r="T9" s="100">
        <v>1812</v>
      </c>
      <c r="U9" s="100">
        <v>1812</v>
      </c>
      <c r="V9" s="101">
        <v>1812</v>
      </c>
    </row>
    <row r="10" spans="1:22" ht="24" customHeight="1">
      <c r="A10" s="241"/>
      <c r="B10" s="106" t="s">
        <v>235</v>
      </c>
      <c r="C10" s="107">
        <f>C9</f>
        <v>1812</v>
      </c>
      <c r="D10" s="110">
        <f t="shared" ref="D10:V10" si="3">C10+D9</f>
        <v>3624</v>
      </c>
      <c r="E10" s="110">
        <f t="shared" si="3"/>
        <v>5436</v>
      </c>
      <c r="F10" s="110">
        <f t="shared" si="3"/>
        <v>7248</v>
      </c>
      <c r="G10" s="110">
        <f t="shared" si="3"/>
        <v>9060</v>
      </c>
      <c r="H10" s="110">
        <f t="shared" si="3"/>
        <v>10872</v>
      </c>
      <c r="I10" s="110">
        <f t="shared" si="3"/>
        <v>12684</v>
      </c>
      <c r="J10" s="110">
        <f t="shared" si="3"/>
        <v>14496</v>
      </c>
      <c r="K10" s="110">
        <f t="shared" si="3"/>
        <v>16308</v>
      </c>
      <c r="L10" s="110">
        <f t="shared" si="3"/>
        <v>18120</v>
      </c>
      <c r="M10" s="107">
        <f t="shared" si="3"/>
        <v>19932</v>
      </c>
      <c r="N10" s="110">
        <f t="shared" si="3"/>
        <v>21744</v>
      </c>
      <c r="O10" s="110">
        <f t="shared" si="3"/>
        <v>23556</v>
      </c>
      <c r="P10" s="110">
        <f t="shared" si="3"/>
        <v>25368</v>
      </c>
      <c r="Q10" s="110">
        <f t="shared" si="3"/>
        <v>27180</v>
      </c>
      <c r="R10" s="110">
        <f t="shared" si="3"/>
        <v>28992</v>
      </c>
      <c r="S10" s="110">
        <f t="shared" si="3"/>
        <v>30804</v>
      </c>
      <c r="T10" s="110">
        <f t="shared" si="3"/>
        <v>32616</v>
      </c>
      <c r="U10" s="110">
        <f t="shared" si="3"/>
        <v>34428</v>
      </c>
      <c r="V10" s="108">
        <f t="shared" si="3"/>
        <v>36240</v>
      </c>
    </row>
    <row r="11" spans="1:22" ht="24" customHeight="1">
      <c r="A11" s="239" t="s">
        <v>236</v>
      </c>
      <c r="B11" s="99" t="s">
        <v>237</v>
      </c>
      <c r="C11" s="109">
        <f t="shared" ref="C11:V11" si="4">C8-C10</f>
        <v>923</v>
      </c>
      <c r="D11" s="100">
        <f t="shared" si="4"/>
        <v>1821</v>
      </c>
      <c r="E11" s="100">
        <f t="shared" si="4"/>
        <v>2034</v>
      </c>
      <c r="F11" s="100">
        <f t="shared" si="4"/>
        <v>2099</v>
      </c>
      <c r="G11" s="100">
        <f t="shared" si="4"/>
        <v>287</v>
      </c>
      <c r="H11" s="100">
        <f t="shared" si="4"/>
        <v>1116.1666666666824</v>
      </c>
      <c r="I11" s="100">
        <f t="shared" si="4"/>
        <v>2194.0207676130703</v>
      </c>
      <c r="J11" s="100">
        <f t="shared" si="4"/>
        <v>3247.3748685594583</v>
      </c>
      <c r="K11" s="100">
        <f t="shared" si="4"/>
        <v>4820.7289695058316</v>
      </c>
      <c r="L11" s="100">
        <f t="shared" si="4"/>
        <v>6165.9789695058353</v>
      </c>
      <c r="M11" s="109">
        <f t="shared" si="4"/>
        <v>7129.5166666667174</v>
      </c>
      <c r="N11" s="100">
        <f t="shared" si="4"/>
        <v>6594.7000000000517</v>
      </c>
      <c r="O11" s="100">
        <f t="shared" si="4"/>
        <v>6631.5500000000502</v>
      </c>
      <c r="P11" s="100">
        <f t="shared" si="4"/>
        <v>5923.0666666667166</v>
      </c>
      <c r="Q11" s="100">
        <f t="shared" si="4"/>
        <v>5135.2166666667181</v>
      </c>
      <c r="R11" s="100">
        <f t="shared" si="4"/>
        <v>4472.9666666667181</v>
      </c>
      <c r="S11" s="100">
        <f t="shared" si="4"/>
        <v>3488.2166666667181</v>
      </c>
      <c r="T11" s="100">
        <f t="shared" si="4"/>
        <v>2503.4666666667181</v>
      </c>
      <c r="U11" s="100">
        <f t="shared" si="4"/>
        <v>1518.7166666667181</v>
      </c>
      <c r="V11" s="101">
        <f t="shared" si="4"/>
        <v>573.16666666671517</v>
      </c>
    </row>
    <row r="12" spans="1:22" ht="24" customHeight="1">
      <c r="A12" s="241"/>
      <c r="B12" s="106" t="s">
        <v>238</v>
      </c>
      <c r="C12" s="107">
        <f>C9</f>
        <v>1812</v>
      </c>
      <c r="D12" s="110">
        <f t="shared" ref="D12:L12" si="5">IF((D9*10-C8)/D5&gt;0,(D9*10-C8)/D5,0)</f>
        <v>1709.4444444444443</v>
      </c>
      <c r="E12" s="110">
        <f t="shared" si="5"/>
        <v>1584.375</v>
      </c>
      <c r="F12" s="110">
        <f t="shared" si="5"/>
        <v>1521.4285714285713</v>
      </c>
      <c r="G12" s="110">
        <f t="shared" si="5"/>
        <v>1462.1666666666667</v>
      </c>
      <c r="H12" s="110">
        <f t="shared" si="5"/>
        <v>1754.6</v>
      </c>
      <c r="I12" s="110">
        <f t="shared" si="5"/>
        <v>1532.9583333333294</v>
      </c>
      <c r="J12" s="110">
        <f t="shared" si="5"/>
        <v>1080.6597441289766</v>
      </c>
      <c r="K12" s="110">
        <f t="shared" si="5"/>
        <v>188.31256572027087</v>
      </c>
      <c r="L12" s="110">
        <f t="shared" si="5"/>
        <v>0</v>
      </c>
      <c r="M12" s="107"/>
      <c r="N12" s="110"/>
      <c r="O12" s="110"/>
      <c r="P12" s="110"/>
      <c r="Q12" s="110"/>
      <c r="R12" s="110"/>
      <c r="S12" s="110"/>
      <c r="T12" s="122"/>
      <c r="U12" s="122"/>
      <c r="V12" s="112"/>
    </row>
    <row r="13" spans="1:22">
      <c r="A13" s="111"/>
      <c r="B13" s="29"/>
      <c r="C13" s="111"/>
      <c r="D13" s="111"/>
      <c r="E13" s="111"/>
      <c r="F13" s="111"/>
      <c r="G13" s="111"/>
      <c r="H13" s="111"/>
      <c r="I13" s="111"/>
      <c r="J13" s="111"/>
      <c r="K13" s="111"/>
      <c r="L13" s="111"/>
      <c r="M13" s="111"/>
      <c r="N13" s="111"/>
      <c r="O13" s="111"/>
      <c r="P13" s="111"/>
      <c r="Q13" s="111"/>
      <c r="R13" s="111"/>
      <c r="S13" s="111"/>
    </row>
    <row r="14" spans="1:22">
      <c r="A14" s="111"/>
      <c r="B14" s="29"/>
      <c r="C14" s="111"/>
      <c r="D14" s="111"/>
      <c r="E14" s="111"/>
      <c r="F14" s="111"/>
      <c r="G14" s="111"/>
      <c r="H14" s="111"/>
      <c r="I14" s="111"/>
      <c r="J14" s="111"/>
      <c r="K14" s="111"/>
      <c r="L14" s="111"/>
      <c r="M14" s="111"/>
      <c r="N14" s="111"/>
      <c r="O14" s="111"/>
      <c r="P14" s="111"/>
      <c r="Q14" s="111"/>
      <c r="R14" s="111"/>
      <c r="S14" s="111"/>
    </row>
    <row r="15" spans="1:22">
      <c r="A15" s="111"/>
      <c r="B15" s="29"/>
      <c r="C15" s="111"/>
      <c r="D15" s="111"/>
      <c r="E15" s="111"/>
      <c r="F15" s="111"/>
      <c r="G15" s="111"/>
      <c r="H15" s="111"/>
      <c r="I15" s="111"/>
      <c r="J15" s="111"/>
      <c r="K15" s="111"/>
      <c r="L15" s="111"/>
      <c r="M15" s="111"/>
      <c r="N15" s="111"/>
      <c r="O15" s="111"/>
      <c r="P15" s="111"/>
      <c r="Q15" s="111"/>
      <c r="R15" s="111"/>
      <c r="S15" s="111"/>
    </row>
    <row r="16" spans="1:22">
      <c r="A16" s="111"/>
      <c r="B16" s="29"/>
      <c r="C16" s="111"/>
      <c r="D16" s="111"/>
      <c r="E16" s="111"/>
      <c r="F16" s="111"/>
      <c r="G16" s="111"/>
      <c r="H16" s="111"/>
      <c r="I16" s="111"/>
      <c r="J16" s="111"/>
      <c r="K16" s="111"/>
      <c r="L16" s="111"/>
      <c r="M16" s="111"/>
      <c r="N16" s="111"/>
      <c r="O16" s="111"/>
      <c r="P16" s="111"/>
      <c r="Q16" s="111"/>
      <c r="R16" s="111"/>
      <c r="S16" s="111"/>
    </row>
    <row r="17" spans="1:19">
      <c r="A17" s="111"/>
      <c r="B17" s="29"/>
      <c r="C17" s="111"/>
      <c r="D17" s="111"/>
      <c r="E17" s="111"/>
      <c r="F17" s="111"/>
      <c r="G17" s="111"/>
      <c r="H17" s="111"/>
      <c r="I17" s="111"/>
      <c r="J17" s="111"/>
      <c r="K17" s="111"/>
      <c r="L17" s="111"/>
      <c r="M17" s="111"/>
      <c r="N17" s="111"/>
      <c r="O17" s="111"/>
      <c r="P17" s="111"/>
      <c r="Q17" s="111"/>
      <c r="R17" s="111"/>
      <c r="S17" s="111"/>
    </row>
    <row r="18" spans="1:19">
      <c r="A18" s="111"/>
      <c r="B18" s="29"/>
      <c r="C18" s="111"/>
      <c r="D18" s="111"/>
      <c r="E18" s="111"/>
      <c r="F18" s="111"/>
      <c r="G18" s="111"/>
      <c r="H18" s="111"/>
      <c r="I18" s="111"/>
      <c r="J18" s="111"/>
      <c r="K18" s="111"/>
      <c r="L18" s="111"/>
      <c r="M18" s="111"/>
      <c r="N18" s="111"/>
      <c r="O18" s="111"/>
      <c r="P18" s="111"/>
      <c r="Q18" s="111"/>
      <c r="R18" s="111"/>
      <c r="S18" s="111"/>
    </row>
    <row r="19" spans="1:19">
      <c r="A19" s="111"/>
      <c r="B19" s="29"/>
      <c r="C19" s="111"/>
      <c r="D19" s="111"/>
      <c r="E19" s="111"/>
      <c r="F19" s="111"/>
      <c r="G19" s="111"/>
      <c r="H19" s="111"/>
      <c r="I19" s="111"/>
      <c r="J19" s="111"/>
      <c r="K19" s="111"/>
      <c r="L19" s="111"/>
      <c r="M19" s="111"/>
      <c r="N19" s="111"/>
      <c r="O19" s="111"/>
      <c r="P19" s="111"/>
      <c r="Q19" s="111"/>
      <c r="R19" s="111"/>
      <c r="S19" s="111"/>
    </row>
    <row r="20" spans="1:19">
      <c r="A20" s="111"/>
      <c r="B20" s="29"/>
      <c r="C20" s="111"/>
      <c r="D20" s="111"/>
      <c r="E20" s="111"/>
      <c r="F20" s="111"/>
      <c r="G20" s="111"/>
      <c r="H20" s="111"/>
      <c r="I20" s="111"/>
      <c r="J20" s="111"/>
      <c r="K20" s="111"/>
      <c r="L20" s="111"/>
      <c r="M20" s="111"/>
      <c r="N20" s="111"/>
      <c r="O20" s="111"/>
      <c r="P20" s="111"/>
      <c r="Q20" s="111"/>
      <c r="R20" s="111"/>
      <c r="S20" s="111"/>
    </row>
    <row r="21" spans="1:19">
      <c r="A21" s="111"/>
      <c r="B21" s="29"/>
      <c r="C21" s="111"/>
      <c r="D21" s="111"/>
      <c r="E21" s="111"/>
      <c r="F21" s="111"/>
      <c r="G21" s="111"/>
      <c r="H21" s="111"/>
      <c r="I21" s="111"/>
      <c r="J21" s="111"/>
      <c r="K21" s="111"/>
      <c r="L21" s="111"/>
      <c r="M21" s="111"/>
      <c r="N21" s="111"/>
      <c r="O21" s="111"/>
      <c r="P21" s="111"/>
      <c r="Q21" s="111"/>
      <c r="R21" s="111"/>
      <c r="S21" s="111"/>
    </row>
    <row r="22" spans="1:19">
      <c r="A22" s="111"/>
      <c r="B22" s="29"/>
      <c r="C22" s="111"/>
      <c r="D22" s="111"/>
      <c r="E22" s="111"/>
      <c r="F22" s="111"/>
      <c r="G22" s="111"/>
      <c r="H22" s="111"/>
      <c r="I22" s="111"/>
      <c r="J22" s="111"/>
      <c r="K22" s="111"/>
      <c r="L22" s="111"/>
      <c r="M22" s="111"/>
      <c r="N22" s="111"/>
      <c r="O22" s="111"/>
      <c r="P22" s="111"/>
      <c r="Q22" s="111"/>
      <c r="R22" s="111"/>
      <c r="S22" s="111"/>
    </row>
    <row r="23" spans="1:19">
      <c r="A23" s="111"/>
      <c r="B23" s="29"/>
      <c r="C23" s="111"/>
      <c r="D23" s="111"/>
      <c r="E23" s="111"/>
      <c r="F23" s="111"/>
      <c r="G23" s="111"/>
      <c r="H23" s="111"/>
      <c r="I23" s="111"/>
      <c r="J23" s="111"/>
      <c r="K23" s="111"/>
      <c r="L23" s="111"/>
      <c r="M23" s="111"/>
      <c r="N23" s="111"/>
      <c r="O23" s="111"/>
      <c r="P23" s="111"/>
      <c r="Q23" s="111"/>
      <c r="R23" s="111"/>
      <c r="S23" s="111"/>
    </row>
    <row r="24" spans="1:19">
      <c r="A24" s="111"/>
      <c r="B24" s="29"/>
      <c r="C24" s="111"/>
      <c r="D24" s="111"/>
      <c r="E24" s="111"/>
      <c r="F24" s="111"/>
      <c r="G24" s="111"/>
      <c r="H24" s="111"/>
      <c r="I24" s="111"/>
      <c r="J24" s="111"/>
      <c r="K24" s="111"/>
      <c r="L24" s="111"/>
      <c r="M24" s="111"/>
      <c r="N24" s="111"/>
      <c r="O24" s="111"/>
      <c r="P24" s="111"/>
      <c r="Q24" s="111"/>
      <c r="R24" s="111"/>
      <c r="S24" s="111"/>
    </row>
    <row r="25" spans="1:19">
      <c r="A25" s="111"/>
      <c r="B25" s="29"/>
      <c r="C25" s="111"/>
      <c r="D25" s="111"/>
      <c r="E25" s="111"/>
      <c r="F25" s="111"/>
      <c r="G25" s="111"/>
      <c r="H25" s="111"/>
      <c r="I25" s="111"/>
      <c r="J25" s="111"/>
      <c r="K25" s="111"/>
      <c r="L25" s="111"/>
      <c r="M25" s="111"/>
      <c r="N25" s="111"/>
      <c r="O25" s="111"/>
      <c r="P25" s="111"/>
      <c r="Q25" s="111"/>
      <c r="R25" s="111"/>
      <c r="S25" s="111"/>
    </row>
    <row r="26" spans="1:19">
      <c r="A26" s="111"/>
      <c r="B26" s="29"/>
      <c r="C26" s="111"/>
      <c r="D26" s="111"/>
      <c r="E26" s="111"/>
      <c r="F26" s="111"/>
      <c r="G26" s="111"/>
      <c r="H26" s="111"/>
      <c r="I26" s="111"/>
      <c r="J26" s="111"/>
      <c r="K26" s="111"/>
      <c r="L26" s="111"/>
      <c r="M26" s="111"/>
      <c r="N26" s="111"/>
      <c r="O26" s="111"/>
      <c r="P26" s="111"/>
      <c r="Q26" s="111"/>
      <c r="R26" s="111"/>
      <c r="S26" s="111"/>
    </row>
    <row r="27" spans="1:19">
      <c r="A27" s="111"/>
      <c r="B27" s="29"/>
      <c r="C27" s="111"/>
      <c r="D27" s="111"/>
      <c r="E27" s="111"/>
      <c r="F27" s="111"/>
      <c r="G27" s="111"/>
      <c r="H27" s="111"/>
      <c r="I27" s="111"/>
      <c r="J27" s="111"/>
      <c r="K27" s="111"/>
      <c r="L27" s="111"/>
      <c r="M27" s="111"/>
      <c r="N27" s="111"/>
      <c r="O27" s="111"/>
      <c r="P27" s="111"/>
      <c r="Q27" s="111"/>
      <c r="R27" s="111"/>
      <c r="S27" s="111"/>
    </row>
    <row r="28" spans="1:19">
      <c r="A28" s="111"/>
      <c r="B28" s="29"/>
      <c r="C28" s="111"/>
      <c r="D28" s="111"/>
      <c r="E28" s="111"/>
      <c r="F28" s="111"/>
      <c r="G28" s="111"/>
      <c r="H28" s="111"/>
      <c r="I28" s="111"/>
      <c r="J28" s="111"/>
      <c r="K28" s="111"/>
      <c r="L28" s="111"/>
      <c r="M28" s="111"/>
      <c r="N28" s="111"/>
      <c r="O28" s="111"/>
      <c r="P28" s="111"/>
      <c r="Q28" s="111"/>
      <c r="R28" s="111"/>
      <c r="S28" s="111"/>
    </row>
    <row r="29" spans="1:19">
      <c r="A29" s="111"/>
      <c r="B29" s="29"/>
      <c r="C29" s="111"/>
      <c r="D29" s="111"/>
      <c r="E29" s="111"/>
      <c r="F29" s="111"/>
      <c r="G29" s="111"/>
      <c r="H29" s="111"/>
      <c r="I29" s="111"/>
      <c r="J29" s="111"/>
      <c r="K29" s="111"/>
      <c r="L29" s="111"/>
      <c r="M29" s="111"/>
      <c r="N29" s="111"/>
      <c r="O29" s="111"/>
      <c r="P29" s="111"/>
      <c r="Q29" s="111"/>
      <c r="R29" s="111"/>
      <c r="S29" s="111"/>
    </row>
    <row r="30" spans="1:19">
      <c r="A30" s="111"/>
      <c r="B30" s="29"/>
      <c r="C30" s="111"/>
      <c r="D30" s="111"/>
      <c r="E30" s="111"/>
      <c r="F30" s="111"/>
      <c r="G30" s="111"/>
      <c r="H30" s="111"/>
      <c r="I30" s="111"/>
      <c r="J30" s="111"/>
      <c r="K30" s="111"/>
      <c r="L30" s="111"/>
      <c r="M30" s="111"/>
      <c r="N30" s="111"/>
      <c r="O30" s="111"/>
      <c r="P30" s="111"/>
      <c r="Q30" s="111"/>
      <c r="R30" s="111"/>
      <c r="S30" s="111"/>
    </row>
    <row r="31" spans="1:19">
      <c r="A31" s="111"/>
      <c r="B31" s="29"/>
      <c r="C31" s="111"/>
      <c r="D31" s="111"/>
      <c r="E31" s="111"/>
      <c r="F31" s="111"/>
      <c r="G31" s="111"/>
      <c r="H31" s="111"/>
      <c r="I31" s="111"/>
      <c r="J31" s="111"/>
      <c r="K31" s="111"/>
      <c r="L31" s="111"/>
      <c r="M31" s="111"/>
      <c r="N31" s="111"/>
      <c r="O31" s="111"/>
      <c r="P31" s="111"/>
      <c r="Q31" s="111"/>
      <c r="R31" s="111"/>
      <c r="S31" s="111"/>
    </row>
    <row r="32" spans="1:19">
      <c r="A32" s="111"/>
      <c r="B32" s="29"/>
      <c r="C32" s="111"/>
      <c r="D32" s="111"/>
      <c r="E32" s="111"/>
      <c r="F32" s="111"/>
      <c r="G32" s="111"/>
      <c r="H32" s="111"/>
      <c r="I32" s="111"/>
      <c r="J32" s="111"/>
      <c r="K32" s="111"/>
      <c r="L32" s="111"/>
      <c r="M32" s="111"/>
      <c r="N32" s="111"/>
      <c r="O32" s="111"/>
      <c r="P32" s="111"/>
      <c r="Q32" s="111"/>
      <c r="R32" s="111"/>
      <c r="S32" s="111"/>
    </row>
    <row r="33" spans="1:19">
      <c r="A33" s="111"/>
      <c r="B33" s="29"/>
      <c r="C33" s="111"/>
      <c r="D33" s="111"/>
      <c r="E33" s="111"/>
      <c r="F33" s="111"/>
      <c r="G33" s="111"/>
      <c r="H33" s="111"/>
      <c r="I33" s="111"/>
      <c r="J33" s="111"/>
      <c r="K33" s="111"/>
      <c r="L33" s="111"/>
      <c r="M33" s="111"/>
      <c r="N33" s="111"/>
      <c r="O33" s="111"/>
      <c r="P33" s="111"/>
      <c r="Q33" s="111"/>
      <c r="R33" s="111"/>
      <c r="S33" s="111"/>
    </row>
    <row r="34" spans="1:19">
      <c r="A34" s="111"/>
      <c r="B34" s="29"/>
      <c r="C34" s="111"/>
      <c r="D34" s="111"/>
      <c r="E34" s="111"/>
      <c r="F34" s="111"/>
      <c r="G34" s="111"/>
      <c r="H34" s="111"/>
      <c r="I34" s="111"/>
      <c r="J34" s="111"/>
      <c r="K34" s="111"/>
      <c r="L34" s="111"/>
      <c r="M34" s="111"/>
      <c r="N34" s="111"/>
      <c r="O34" s="111"/>
      <c r="P34" s="111"/>
      <c r="Q34" s="111"/>
      <c r="R34" s="111"/>
      <c r="S34" s="111"/>
    </row>
    <row r="35" spans="1:19">
      <c r="A35" s="111"/>
      <c r="B35" s="29"/>
      <c r="C35" s="111"/>
      <c r="D35" s="111"/>
      <c r="E35" s="111"/>
      <c r="F35" s="111"/>
      <c r="G35" s="111"/>
      <c r="H35" s="111"/>
      <c r="I35" s="111"/>
      <c r="J35" s="111"/>
      <c r="K35" s="111"/>
      <c r="L35" s="111"/>
      <c r="M35" s="111"/>
      <c r="N35" s="111"/>
      <c r="O35" s="111"/>
      <c r="P35" s="111"/>
      <c r="Q35" s="111"/>
      <c r="R35" s="111"/>
      <c r="S35" s="111"/>
    </row>
    <row r="36" spans="1:19">
      <c r="A36" s="111"/>
      <c r="B36" s="29"/>
      <c r="C36" s="111"/>
      <c r="D36" s="111"/>
      <c r="E36" s="111"/>
      <c r="F36" s="111"/>
      <c r="G36" s="111"/>
      <c r="H36" s="111"/>
      <c r="I36" s="111"/>
      <c r="J36" s="111"/>
      <c r="K36" s="111"/>
      <c r="L36" s="111"/>
      <c r="M36" s="111"/>
      <c r="N36" s="111"/>
      <c r="O36" s="111"/>
      <c r="P36" s="111"/>
      <c r="Q36" s="111"/>
      <c r="R36" s="111"/>
      <c r="S36" s="111"/>
    </row>
    <row r="37" spans="1:19">
      <c r="A37" s="111"/>
      <c r="B37" s="29"/>
      <c r="C37" s="111"/>
      <c r="D37" s="111"/>
      <c r="E37" s="111"/>
      <c r="F37" s="111"/>
      <c r="G37" s="111"/>
      <c r="H37" s="111"/>
      <c r="I37" s="111"/>
      <c r="J37" s="111"/>
      <c r="K37" s="111"/>
      <c r="L37" s="111"/>
      <c r="M37" s="111"/>
      <c r="N37" s="111"/>
      <c r="O37" s="111"/>
      <c r="P37" s="111"/>
      <c r="Q37" s="111"/>
      <c r="R37" s="111"/>
      <c r="S37" s="111"/>
    </row>
    <row r="38" spans="1:19">
      <c r="A38" s="111"/>
      <c r="B38" s="29"/>
      <c r="C38" s="111"/>
      <c r="D38" s="111"/>
      <c r="E38" s="111"/>
      <c r="F38" s="111"/>
      <c r="G38" s="111"/>
      <c r="H38" s="111"/>
      <c r="I38" s="111"/>
      <c r="J38" s="111"/>
      <c r="K38" s="111"/>
      <c r="L38" s="111"/>
      <c r="M38" s="111"/>
      <c r="N38" s="111"/>
      <c r="O38" s="111"/>
      <c r="P38" s="111"/>
      <c r="Q38" s="111"/>
      <c r="R38" s="111"/>
      <c r="S38" s="111"/>
    </row>
    <row r="39" spans="1:19">
      <c r="A39" s="111"/>
      <c r="B39" s="29"/>
      <c r="C39" s="111"/>
      <c r="D39" s="111"/>
      <c r="E39" s="111"/>
      <c r="F39" s="111"/>
      <c r="G39" s="111"/>
      <c r="H39" s="111"/>
      <c r="I39" s="111"/>
      <c r="J39" s="111"/>
      <c r="K39" s="111"/>
      <c r="L39" s="111"/>
      <c r="M39" s="111"/>
      <c r="N39" s="111"/>
      <c r="O39" s="111"/>
      <c r="P39" s="111"/>
      <c r="Q39" s="111"/>
      <c r="R39" s="111"/>
      <c r="S39" s="111"/>
    </row>
    <row r="40" spans="1:19">
      <c r="A40" s="111"/>
      <c r="B40" s="29"/>
      <c r="C40" s="111"/>
      <c r="D40" s="111"/>
      <c r="E40" s="111"/>
      <c r="F40" s="111"/>
      <c r="G40" s="111"/>
      <c r="H40" s="111"/>
      <c r="I40" s="111"/>
      <c r="J40" s="111"/>
      <c r="K40" s="111"/>
      <c r="L40" s="111"/>
      <c r="M40" s="111"/>
      <c r="N40" s="111"/>
      <c r="O40" s="111"/>
      <c r="P40" s="111"/>
      <c r="Q40" s="111"/>
      <c r="R40" s="111"/>
      <c r="S40" s="111"/>
    </row>
    <row r="41" spans="1:19">
      <c r="A41" s="111"/>
      <c r="B41" s="29"/>
      <c r="C41" s="111"/>
      <c r="D41" s="111"/>
      <c r="E41" s="111"/>
      <c r="F41" s="111"/>
      <c r="G41" s="111"/>
      <c r="H41" s="111"/>
      <c r="I41" s="111"/>
      <c r="J41" s="111"/>
      <c r="K41" s="111"/>
      <c r="L41" s="111"/>
      <c r="M41" s="111"/>
      <c r="N41" s="111"/>
      <c r="O41" s="111"/>
      <c r="P41" s="111"/>
      <c r="Q41" s="111"/>
      <c r="R41" s="111"/>
      <c r="S41" s="111"/>
    </row>
    <row r="42" spans="1:19">
      <c r="A42" s="111"/>
      <c r="B42" s="29"/>
      <c r="C42" s="111"/>
      <c r="D42" s="111"/>
      <c r="E42" s="111"/>
      <c r="F42" s="111"/>
      <c r="G42" s="111"/>
      <c r="H42" s="111"/>
      <c r="I42" s="111"/>
      <c r="J42" s="111"/>
      <c r="K42" s="111"/>
      <c r="L42" s="111"/>
      <c r="M42" s="111"/>
      <c r="N42" s="111"/>
      <c r="O42" s="111"/>
      <c r="P42" s="111"/>
      <c r="Q42" s="111"/>
      <c r="R42" s="111"/>
      <c r="S42" s="111"/>
    </row>
    <row r="43" spans="1:19">
      <c r="A43" s="111"/>
      <c r="B43" s="29"/>
      <c r="C43" s="111"/>
      <c r="D43" s="111"/>
      <c r="E43" s="111"/>
      <c r="F43" s="111"/>
      <c r="G43" s="111"/>
      <c r="H43" s="111"/>
      <c r="I43" s="111"/>
      <c r="J43" s="111"/>
      <c r="K43" s="111"/>
      <c r="L43" s="111"/>
      <c r="M43" s="111"/>
      <c r="N43" s="111"/>
      <c r="O43" s="111"/>
      <c r="P43" s="111"/>
      <c r="Q43" s="111"/>
      <c r="R43" s="111"/>
      <c r="S43" s="111"/>
    </row>
    <row r="44" spans="1:19">
      <c r="A44" s="111"/>
      <c r="B44" s="29"/>
      <c r="C44" s="111"/>
      <c r="D44" s="111"/>
      <c r="E44" s="111"/>
      <c r="F44" s="111"/>
      <c r="G44" s="111"/>
      <c r="H44" s="111"/>
      <c r="I44" s="111"/>
      <c r="J44" s="111"/>
      <c r="K44" s="111"/>
      <c r="L44" s="111"/>
      <c r="M44" s="111"/>
      <c r="N44" s="111"/>
      <c r="O44" s="111"/>
      <c r="P44" s="111"/>
      <c r="Q44" s="111"/>
      <c r="R44" s="111"/>
      <c r="S44" s="111"/>
    </row>
    <row r="45" spans="1:19">
      <c r="A45" s="111"/>
      <c r="B45" s="29"/>
      <c r="C45" s="111"/>
      <c r="D45" s="111"/>
      <c r="E45" s="111"/>
      <c r="F45" s="111"/>
      <c r="G45" s="111"/>
      <c r="H45" s="111"/>
      <c r="I45" s="111"/>
      <c r="J45" s="111"/>
      <c r="K45" s="111"/>
      <c r="L45" s="111"/>
      <c r="M45" s="111"/>
      <c r="N45" s="111"/>
      <c r="O45" s="111"/>
      <c r="P45" s="111"/>
      <c r="Q45" s="111"/>
      <c r="R45" s="111"/>
      <c r="S45" s="111"/>
    </row>
    <row r="46" spans="1:19">
      <c r="A46" s="111"/>
      <c r="B46" s="29"/>
      <c r="C46" s="111"/>
      <c r="D46" s="111"/>
      <c r="E46" s="111"/>
      <c r="F46" s="111"/>
      <c r="G46" s="111"/>
      <c r="H46" s="111"/>
      <c r="I46" s="111"/>
      <c r="J46" s="111"/>
      <c r="K46" s="111"/>
      <c r="L46" s="111"/>
      <c r="M46" s="111"/>
      <c r="N46" s="111"/>
      <c r="O46" s="111"/>
      <c r="P46" s="111"/>
      <c r="Q46" s="111"/>
      <c r="R46" s="111"/>
      <c r="S46" s="111"/>
    </row>
    <row r="47" spans="1:19">
      <c r="A47" s="111"/>
      <c r="B47" s="29"/>
      <c r="C47" s="111"/>
      <c r="D47" s="111"/>
      <c r="E47" s="111"/>
      <c r="F47" s="111"/>
      <c r="G47" s="111"/>
      <c r="H47" s="111"/>
      <c r="I47" s="111"/>
      <c r="J47" s="111"/>
      <c r="K47" s="111"/>
      <c r="L47" s="111"/>
      <c r="M47" s="111"/>
      <c r="N47" s="111"/>
      <c r="O47" s="111"/>
      <c r="P47" s="111"/>
      <c r="Q47" s="111"/>
      <c r="R47" s="111"/>
      <c r="S47" s="111"/>
    </row>
    <row r="48" spans="1:19">
      <c r="A48" s="111"/>
      <c r="B48" s="29"/>
      <c r="C48" s="111"/>
      <c r="D48" s="111"/>
      <c r="E48" s="111"/>
      <c r="F48" s="111"/>
      <c r="G48" s="111"/>
      <c r="H48" s="111"/>
      <c r="I48" s="111"/>
      <c r="J48" s="111"/>
      <c r="K48" s="111"/>
      <c r="L48" s="111"/>
      <c r="M48" s="111"/>
      <c r="N48" s="111"/>
      <c r="O48" s="111"/>
      <c r="P48" s="111"/>
      <c r="Q48" s="111"/>
      <c r="R48" s="111"/>
      <c r="S48" s="111"/>
    </row>
    <row r="49" spans="1:19">
      <c r="A49" s="111"/>
      <c r="B49" s="29"/>
      <c r="C49" s="111"/>
      <c r="D49" s="111"/>
      <c r="E49" s="111"/>
      <c r="F49" s="111"/>
      <c r="G49" s="111"/>
      <c r="H49" s="111"/>
      <c r="I49" s="111"/>
      <c r="J49" s="111"/>
      <c r="K49" s="111"/>
      <c r="L49" s="111"/>
      <c r="M49" s="111"/>
      <c r="N49" s="111"/>
      <c r="O49" s="111"/>
      <c r="P49" s="111"/>
      <c r="Q49" s="111"/>
      <c r="R49" s="111"/>
      <c r="S49" s="111"/>
    </row>
    <row r="50" spans="1:19">
      <c r="A50" s="111"/>
      <c r="B50" s="29"/>
      <c r="C50" s="111"/>
      <c r="D50" s="111"/>
      <c r="E50" s="111"/>
      <c r="F50" s="111"/>
      <c r="G50" s="111"/>
      <c r="H50" s="111"/>
      <c r="I50" s="111"/>
      <c r="J50" s="111"/>
      <c r="K50" s="111"/>
      <c r="L50" s="111"/>
      <c r="M50" s="111"/>
      <c r="N50" s="111"/>
      <c r="O50" s="111"/>
      <c r="P50" s="111"/>
      <c r="Q50" s="111"/>
      <c r="R50" s="111"/>
      <c r="S50" s="111"/>
    </row>
    <row r="51" spans="1:19">
      <c r="A51" s="111"/>
      <c r="B51" s="29"/>
      <c r="C51" s="111"/>
      <c r="D51" s="111"/>
      <c r="E51" s="111"/>
      <c r="F51" s="111"/>
      <c r="G51" s="111"/>
      <c r="H51" s="111"/>
      <c r="I51" s="111"/>
      <c r="J51" s="111"/>
      <c r="K51" s="111"/>
      <c r="L51" s="111"/>
      <c r="M51" s="111"/>
      <c r="N51" s="111"/>
      <c r="O51" s="111"/>
      <c r="P51" s="111"/>
      <c r="Q51" s="111"/>
      <c r="R51" s="111"/>
      <c r="S51" s="111"/>
    </row>
    <row r="52" spans="1:19">
      <c r="A52" s="111"/>
      <c r="B52" s="29"/>
      <c r="C52" s="111"/>
      <c r="D52" s="111"/>
      <c r="E52" s="111"/>
      <c r="F52" s="111"/>
      <c r="G52" s="111"/>
      <c r="H52" s="111"/>
      <c r="I52" s="111"/>
      <c r="J52" s="111"/>
      <c r="K52" s="111"/>
      <c r="L52" s="111"/>
      <c r="M52" s="111"/>
      <c r="N52" s="111"/>
      <c r="O52" s="111"/>
      <c r="P52" s="111"/>
      <c r="Q52" s="111"/>
      <c r="R52" s="111"/>
      <c r="S52" s="111"/>
    </row>
    <row r="53" spans="1:19">
      <c r="A53" s="111"/>
      <c r="B53" s="29"/>
      <c r="C53" s="111"/>
      <c r="D53" s="111"/>
      <c r="E53" s="111"/>
      <c r="F53" s="111"/>
      <c r="G53" s="111"/>
      <c r="H53" s="111"/>
      <c r="I53" s="111"/>
      <c r="J53" s="111"/>
      <c r="K53" s="111"/>
      <c r="L53" s="111"/>
      <c r="M53" s="111"/>
      <c r="N53" s="111"/>
      <c r="O53" s="111"/>
      <c r="P53" s="111"/>
      <c r="Q53" s="111"/>
      <c r="R53" s="111"/>
      <c r="S53" s="111"/>
    </row>
    <row r="54" spans="1:19">
      <c r="A54" s="111"/>
      <c r="B54" s="29"/>
      <c r="C54" s="111"/>
      <c r="D54" s="111"/>
      <c r="E54" s="111"/>
      <c r="F54" s="111"/>
      <c r="G54" s="111"/>
      <c r="H54" s="111"/>
      <c r="I54" s="111"/>
      <c r="J54" s="111"/>
      <c r="K54" s="111"/>
      <c r="L54" s="111"/>
      <c r="M54" s="111"/>
      <c r="N54" s="111"/>
      <c r="O54" s="111"/>
      <c r="P54" s="111"/>
      <c r="Q54" s="111"/>
      <c r="R54" s="111"/>
      <c r="S54" s="111"/>
    </row>
    <row r="55" spans="1:19">
      <c r="A55" s="111"/>
      <c r="B55" s="29"/>
      <c r="C55" s="111"/>
      <c r="D55" s="111"/>
      <c r="E55" s="111"/>
      <c r="F55" s="111"/>
      <c r="G55" s="111"/>
      <c r="H55" s="111"/>
      <c r="I55" s="111"/>
      <c r="J55" s="111"/>
      <c r="K55" s="111"/>
      <c r="L55" s="111"/>
      <c r="M55" s="111"/>
      <c r="N55" s="111"/>
      <c r="O55" s="111"/>
      <c r="P55" s="111"/>
      <c r="Q55" s="111"/>
      <c r="R55" s="111"/>
      <c r="S55" s="111"/>
    </row>
    <row r="56" spans="1:19">
      <c r="A56" s="111"/>
      <c r="B56" s="29"/>
      <c r="C56" s="111"/>
      <c r="D56" s="111"/>
      <c r="E56" s="111"/>
      <c r="F56" s="111"/>
      <c r="G56" s="111"/>
      <c r="H56" s="111"/>
      <c r="I56" s="111"/>
      <c r="J56" s="111"/>
      <c r="K56" s="111"/>
      <c r="L56" s="111"/>
      <c r="M56" s="111"/>
      <c r="N56" s="111"/>
      <c r="O56" s="111"/>
      <c r="P56" s="111"/>
      <c r="Q56" s="111"/>
      <c r="R56" s="111"/>
      <c r="S56" s="111"/>
    </row>
    <row r="57" spans="1:19">
      <c r="A57" s="111"/>
      <c r="B57" s="29"/>
      <c r="C57" s="111"/>
      <c r="D57" s="111"/>
      <c r="E57" s="111"/>
      <c r="F57" s="111"/>
      <c r="G57" s="111"/>
      <c r="H57" s="111"/>
      <c r="I57" s="111"/>
      <c r="J57" s="111"/>
      <c r="K57" s="111"/>
      <c r="L57" s="111"/>
      <c r="M57" s="111"/>
      <c r="N57" s="111"/>
      <c r="O57" s="111"/>
      <c r="P57" s="111"/>
      <c r="Q57" s="111"/>
      <c r="R57" s="111"/>
      <c r="S57" s="111"/>
    </row>
    <row r="58" spans="1:19">
      <c r="A58" s="111"/>
      <c r="B58" s="29"/>
      <c r="C58" s="111"/>
      <c r="D58" s="111"/>
      <c r="E58" s="111"/>
      <c r="F58" s="111"/>
      <c r="G58" s="111"/>
      <c r="H58" s="111"/>
      <c r="I58" s="111"/>
      <c r="J58" s="111"/>
      <c r="K58" s="111"/>
      <c r="L58" s="111"/>
      <c r="M58" s="111"/>
      <c r="N58" s="111"/>
      <c r="O58" s="111"/>
      <c r="P58" s="111"/>
      <c r="Q58" s="111"/>
      <c r="R58" s="111"/>
      <c r="S58" s="111"/>
    </row>
    <row r="59" spans="1:19">
      <c r="A59" s="111"/>
      <c r="B59" s="29"/>
      <c r="C59" s="111"/>
      <c r="D59" s="111"/>
      <c r="E59" s="111"/>
      <c r="F59" s="111"/>
      <c r="G59" s="111"/>
      <c r="H59" s="111"/>
      <c r="I59" s="111"/>
      <c r="J59" s="111"/>
      <c r="K59" s="111"/>
      <c r="L59" s="111"/>
      <c r="M59" s="111"/>
      <c r="N59" s="111"/>
      <c r="O59" s="111"/>
      <c r="P59" s="111"/>
      <c r="Q59" s="111"/>
      <c r="R59" s="111"/>
      <c r="S59" s="111"/>
    </row>
    <row r="60" spans="1:19">
      <c r="A60" s="111"/>
      <c r="B60" s="29"/>
      <c r="C60" s="111"/>
      <c r="D60" s="111"/>
      <c r="E60" s="111"/>
      <c r="F60" s="111"/>
      <c r="G60" s="111"/>
      <c r="H60" s="111"/>
      <c r="I60" s="111"/>
      <c r="J60" s="111"/>
      <c r="K60" s="111"/>
      <c r="L60" s="111"/>
      <c r="M60" s="111"/>
      <c r="N60" s="111"/>
      <c r="O60" s="111"/>
      <c r="P60" s="111"/>
      <c r="Q60" s="111"/>
      <c r="R60" s="111"/>
      <c r="S60" s="111"/>
    </row>
    <row r="61" spans="1:19">
      <c r="A61" s="111"/>
      <c r="B61" s="29"/>
      <c r="C61" s="111"/>
      <c r="D61" s="111"/>
      <c r="E61" s="111"/>
      <c r="F61" s="111"/>
      <c r="G61" s="111"/>
      <c r="H61" s="111"/>
      <c r="I61" s="111"/>
      <c r="J61" s="111"/>
      <c r="K61" s="111"/>
      <c r="L61" s="111"/>
      <c r="M61" s="111"/>
      <c r="N61" s="111"/>
      <c r="O61" s="111"/>
      <c r="P61" s="111"/>
      <c r="Q61" s="111"/>
      <c r="R61" s="111"/>
      <c r="S61" s="111"/>
    </row>
    <row r="62" spans="1:19">
      <c r="A62" s="111"/>
      <c r="B62" s="29"/>
      <c r="C62" s="111"/>
      <c r="D62" s="111"/>
      <c r="E62" s="111"/>
      <c r="F62" s="111"/>
      <c r="G62" s="111"/>
      <c r="H62" s="111"/>
      <c r="I62" s="111"/>
      <c r="J62" s="111"/>
      <c r="K62" s="111"/>
      <c r="L62" s="111"/>
      <c r="M62" s="111"/>
      <c r="N62" s="111"/>
      <c r="O62" s="111"/>
      <c r="P62" s="111"/>
      <c r="Q62" s="111"/>
      <c r="R62" s="111"/>
      <c r="S62" s="111"/>
    </row>
    <row r="63" spans="1:19">
      <c r="A63" s="111"/>
      <c r="B63" s="29"/>
      <c r="C63" s="111"/>
      <c r="D63" s="111"/>
      <c r="E63" s="111"/>
      <c r="F63" s="111"/>
      <c r="G63" s="111"/>
      <c r="H63" s="111"/>
      <c r="I63" s="111"/>
      <c r="J63" s="111"/>
      <c r="K63" s="111"/>
      <c r="L63" s="111"/>
      <c r="M63" s="111"/>
      <c r="N63" s="111"/>
      <c r="O63" s="111"/>
      <c r="P63" s="111"/>
      <c r="Q63" s="111"/>
      <c r="R63" s="111"/>
      <c r="S63" s="111"/>
    </row>
    <row r="64" spans="1:19">
      <c r="A64" s="111"/>
      <c r="B64" s="29"/>
      <c r="C64" s="111"/>
      <c r="D64" s="111"/>
      <c r="E64" s="111"/>
      <c r="F64" s="111"/>
      <c r="G64" s="111"/>
      <c r="H64" s="111"/>
      <c r="I64" s="111"/>
      <c r="J64" s="111"/>
      <c r="K64" s="111"/>
      <c r="L64" s="111"/>
      <c r="M64" s="111"/>
      <c r="N64" s="111"/>
      <c r="O64" s="111"/>
      <c r="P64" s="111"/>
      <c r="Q64" s="111"/>
      <c r="R64" s="111"/>
      <c r="S64" s="111"/>
    </row>
    <row r="65" spans="1:19">
      <c r="A65" s="111"/>
      <c r="B65" s="29"/>
      <c r="C65" s="111"/>
      <c r="D65" s="111"/>
      <c r="E65" s="111"/>
      <c r="F65" s="111"/>
      <c r="G65" s="111"/>
      <c r="H65" s="111"/>
      <c r="I65" s="111"/>
      <c r="J65" s="111"/>
      <c r="K65" s="111"/>
      <c r="L65" s="111"/>
      <c r="M65" s="111"/>
      <c r="N65" s="111"/>
      <c r="O65" s="111"/>
      <c r="P65" s="111"/>
      <c r="Q65" s="111"/>
      <c r="R65" s="111"/>
      <c r="S65" s="111"/>
    </row>
    <row r="66" spans="1:19">
      <c r="A66" s="111"/>
      <c r="B66" s="29"/>
      <c r="C66" s="111"/>
      <c r="D66" s="111"/>
      <c r="E66" s="111"/>
      <c r="F66" s="111"/>
      <c r="G66" s="111"/>
      <c r="H66" s="111"/>
      <c r="I66" s="111"/>
      <c r="J66" s="111"/>
      <c r="K66" s="111"/>
      <c r="L66" s="111"/>
      <c r="M66" s="111"/>
      <c r="N66" s="111"/>
      <c r="O66" s="111"/>
      <c r="P66" s="111"/>
      <c r="Q66" s="111"/>
      <c r="R66" s="111"/>
      <c r="S66" s="111"/>
    </row>
    <row r="67" spans="1:19">
      <c r="A67" s="111"/>
      <c r="B67" s="29"/>
      <c r="C67" s="111"/>
      <c r="D67" s="111"/>
      <c r="E67" s="111"/>
      <c r="F67" s="111"/>
      <c r="G67" s="111"/>
      <c r="H67" s="111"/>
      <c r="I67" s="111"/>
      <c r="J67" s="111"/>
      <c r="K67" s="111"/>
      <c r="L67" s="111"/>
      <c r="M67" s="111"/>
      <c r="N67" s="111"/>
      <c r="O67" s="111"/>
      <c r="P67" s="111"/>
      <c r="Q67" s="111"/>
      <c r="R67" s="111"/>
      <c r="S67" s="111"/>
    </row>
    <row r="68" spans="1:19">
      <c r="A68" s="111"/>
      <c r="B68" s="29"/>
      <c r="C68" s="111"/>
      <c r="D68" s="111"/>
      <c r="E68" s="111"/>
      <c r="F68" s="111"/>
      <c r="G68" s="111"/>
      <c r="H68" s="111"/>
      <c r="I68" s="111"/>
      <c r="J68" s="111"/>
      <c r="K68" s="111"/>
      <c r="L68" s="111"/>
      <c r="M68" s="111"/>
      <c r="N68" s="111"/>
      <c r="O68" s="111"/>
      <c r="P68" s="111"/>
      <c r="Q68" s="111"/>
      <c r="R68" s="111"/>
      <c r="S68" s="111"/>
    </row>
    <row r="69" spans="1:19">
      <c r="A69" s="111"/>
      <c r="B69" s="29"/>
      <c r="C69" s="111"/>
      <c r="D69" s="111"/>
      <c r="E69" s="111"/>
      <c r="F69" s="111"/>
      <c r="G69" s="111"/>
      <c r="H69" s="111"/>
      <c r="I69" s="111"/>
      <c r="J69" s="111"/>
      <c r="K69" s="111"/>
      <c r="L69" s="111"/>
      <c r="M69" s="111"/>
      <c r="N69" s="111"/>
      <c r="O69" s="111"/>
      <c r="P69" s="111"/>
      <c r="Q69" s="111"/>
      <c r="R69" s="111"/>
      <c r="S69" s="111"/>
    </row>
    <row r="70" spans="1:19">
      <c r="A70" s="111"/>
      <c r="B70" s="29"/>
      <c r="C70" s="111"/>
      <c r="D70" s="111"/>
      <c r="E70" s="111"/>
      <c r="F70" s="111"/>
      <c r="G70" s="111"/>
      <c r="H70" s="111"/>
      <c r="I70" s="111"/>
      <c r="J70" s="111"/>
      <c r="K70" s="111"/>
      <c r="L70" s="111"/>
      <c r="M70" s="111"/>
      <c r="N70" s="111"/>
      <c r="O70" s="111"/>
      <c r="P70" s="111"/>
      <c r="Q70" s="111"/>
      <c r="R70" s="111"/>
      <c r="S70" s="111"/>
    </row>
  </sheetData>
  <mergeCells count="8">
    <mergeCell ref="M3:V3"/>
    <mergeCell ref="A5:B5"/>
    <mergeCell ref="A6:A8"/>
    <mergeCell ref="A9:A10"/>
    <mergeCell ref="A11:A12"/>
    <mergeCell ref="A3:B3"/>
    <mergeCell ref="C3:L3"/>
    <mergeCell ref="A4:B4"/>
  </mergeCells>
  <phoneticPr fontId="3" type="noConversion"/>
  <printOptions horizont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&amp;C&amp;8&amp;P of &amp;N</oddFooter>
  </headerFooter>
  <rowBreaks count="1" manualBreakCount="1">
    <brk id="49" max="2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B8"/>
  <sheetViews>
    <sheetView workbookViewId="0">
      <selection sqref="A1:B1"/>
    </sheetView>
  </sheetViews>
  <sheetFormatPr defaultRowHeight="12.75"/>
  <cols>
    <col min="1" max="1" width="31.7109375" customWidth="1"/>
    <col min="2" max="2" width="22.5703125" bestFit="1" customWidth="1"/>
    <col min="3" max="4" width="5" customWidth="1"/>
    <col min="5" max="5" width="4.5703125" customWidth="1"/>
    <col min="6" max="6" width="4.42578125" customWidth="1"/>
    <col min="7" max="7" width="11.7109375" customWidth="1"/>
  </cols>
  <sheetData>
    <row r="1" spans="1:2">
      <c r="A1" s="44" t="s">
        <v>261</v>
      </c>
      <c r="B1" t="s">
        <v>3255</v>
      </c>
    </row>
    <row r="2" spans="1:2">
      <c r="A2" s="44" t="s">
        <v>262</v>
      </c>
      <c r="B2" t="s">
        <v>3255</v>
      </c>
    </row>
    <row r="3" spans="1:2">
      <c r="A3" s="44" t="s">
        <v>265</v>
      </c>
      <c r="B3" t="s">
        <v>329</v>
      </c>
    </row>
    <row r="5" spans="1:2">
      <c r="A5" s="44" t="s">
        <v>3250</v>
      </c>
      <c r="B5" t="s">
        <v>3251</v>
      </c>
    </row>
    <row r="6" spans="1:2">
      <c r="A6" s="41" t="s">
        <v>312</v>
      </c>
      <c r="B6">
        <v>34</v>
      </c>
    </row>
    <row r="7" spans="1:2">
      <c r="A7" s="41" t="s">
        <v>813</v>
      </c>
      <c r="B7">
        <v>118</v>
      </c>
    </row>
    <row r="8" spans="1:2">
      <c r="A8" s="41" t="s">
        <v>3252</v>
      </c>
      <c r="B8">
        <v>152</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G8"/>
  <sheetViews>
    <sheetView workbookViewId="0">
      <selection sqref="A1:B1"/>
    </sheetView>
  </sheetViews>
  <sheetFormatPr defaultRowHeight="12.75"/>
  <cols>
    <col min="1" max="1" width="22.5703125" bestFit="1" customWidth="1"/>
    <col min="2" max="2" width="17" bestFit="1" customWidth="1"/>
    <col min="3" max="3" width="12.5703125" customWidth="1"/>
    <col min="4" max="4" width="21.85546875" customWidth="1"/>
    <col min="5" max="5" width="11.7109375" customWidth="1"/>
  </cols>
  <sheetData>
    <row r="1" spans="1:7">
      <c r="A1" s="44" t="s">
        <v>257</v>
      </c>
      <c r="B1" t="s">
        <v>329</v>
      </c>
    </row>
    <row r="3" spans="1:7">
      <c r="A3" s="44" t="s">
        <v>3251</v>
      </c>
      <c r="B3" s="44" t="s">
        <v>3254</v>
      </c>
      <c r="F3" s="44"/>
      <c r="G3" s="44"/>
    </row>
    <row r="4" spans="1:7">
      <c r="A4" s="44" t="s">
        <v>3250</v>
      </c>
      <c r="B4" t="s">
        <v>75</v>
      </c>
      <c r="C4" t="s">
        <v>54</v>
      </c>
      <c r="D4" t="s">
        <v>55</v>
      </c>
      <c r="E4" t="s">
        <v>3252</v>
      </c>
    </row>
    <row r="5" spans="1:7">
      <c r="A5" s="41" t="s">
        <v>312</v>
      </c>
      <c r="B5">
        <v>63</v>
      </c>
      <c r="C5">
        <v>12</v>
      </c>
      <c r="D5">
        <v>83</v>
      </c>
      <c r="E5">
        <v>158</v>
      </c>
    </row>
    <row r="6" spans="1:7">
      <c r="A6" s="41" t="s">
        <v>813</v>
      </c>
      <c r="B6">
        <v>1533</v>
      </c>
      <c r="C6">
        <v>205</v>
      </c>
      <c r="D6">
        <v>115</v>
      </c>
      <c r="E6">
        <v>1853</v>
      </c>
    </row>
    <row r="7" spans="1:7">
      <c r="A7" s="41" t="s">
        <v>1515</v>
      </c>
      <c r="B7">
        <v>966</v>
      </c>
      <c r="C7">
        <v>107</v>
      </c>
      <c r="D7">
        <v>46</v>
      </c>
      <c r="E7">
        <v>1119</v>
      </c>
    </row>
    <row r="8" spans="1:7">
      <c r="A8" s="41" t="s">
        <v>3252</v>
      </c>
      <c r="B8">
        <v>2562</v>
      </c>
      <c r="C8">
        <v>324</v>
      </c>
      <c r="D8">
        <v>244</v>
      </c>
      <c r="E8">
        <v>3130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G7"/>
  <sheetViews>
    <sheetView workbookViewId="0">
      <selection sqref="A1:B1"/>
    </sheetView>
  </sheetViews>
  <sheetFormatPr defaultRowHeight="12.75"/>
  <cols>
    <col min="1" max="1" width="22.5703125" bestFit="1" customWidth="1"/>
    <col min="2" max="2" width="17" customWidth="1"/>
    <col min="3" max="3" width="12.5703125" customWidth="1"/>
    <col min="4" max="4" width="21.85546875" customWidth="1"/>
    <col min="5" max="6" width="11.7109375" bestFit="1" customWidth="1"/>
  </cols>
  <sheetData>
    <row r="1" spans="1:7">
      <c r="A1" s="44" t="s">
        <v>265</v>
      </c>
      <c r="B1" t="s">
        <v>329</v>
      </c>
    </row>
    <row r="3" spans="1:7">
      <c r="A3" s="44" t="s">
        <v>3251</v>
      </c>
      <c r="B3" s="44" t="s">
        <v>3254</v>
      </c>
    </row>
    <row r="4" spans="1:7">
      <c r="A4" s="44" t="s">
        <v>3250</v>
      </c>
      <c r="B4" t="s">
        <v>75</v>
      </c>
      <c r="C4" t="s">
        <v>54</v>
      </c>
      <c r="D4" t="s">
        <v>55</v>
      </c>
      <c r="E4" t="s">
        <v>3252</v>
      </c>
      <c r="G4" s="44"/>
    </row>
    <row r="5" spans="1:7">
      <c r="A5" s="41" t="s">
        <v>312</v>
      </c>
      <c r="B5">
        <v>50</v>
      </c>
      <c r="E5">
        <v>50</v>
      </c>
    </row>
    <row r="6" spans="1:7">
      <c r="A6" s="41" t="s">
        <v>813</v>
      </c>
      <c r="B6">
        <v>2834</v>
      </c>
      <c r="C6">
        <v>528</v>
      </c>
      <c r="D6">
        <v>476</v>
      </c>
      <c r="E6">
        <v>3838</v>
      </c>
    </row>
    <row r="7" spans="1:7">
      <c r="A7" s="41" t="s">
        <v>3252</v>
      </c>
      <c r="B7">
        <v>2884</v>
      </c>
      <c r="C7">
        <v>528</v>
      </c>
      <c r="D7">
        <v>476</v>
      </c>
      <c r="E7">
        <v>3888</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J7"/>
  <sheetViews>
    <sheetView workbookViewId="0">
      <selection sqref="A1:B1"/>
    </sheetView>
  </sheetViews>
  <sheetFormatPr defaultRowHeight="12.75"/>
  <cols>
    <col min="1" max="1" width="33.28515625" bestFit="1" customWidth="1"/>
    <col min="2" max="2" width="17" customWidth="1"/>
    <col min="3" max="3" width="12.5703125" bestFit="1" customWidth="1"/>
    <col min="4" max="4" width="21.85546875" bestFit="1" customWidth="1"/>
    <col min="5" max="5" width="12.28515625" bestFit="1" customWidth="1"/>
    <col min="6" max="7" width="12.5703125" bestFit="1" customWidth="1"/>
    <col min="8" max="8" width="21.85546875" bestFit="1" customWidth="1"/>
    <col min="9" max="9" width="7.28515625" bestFit="1" customWidth="1"/>
    <col min="10" max="11" width="11.7109375" bestFit="1" customWidth="1"/>
  </cols>
  <sheetData>
    <row r="1" spans="1:10">
      <c r="A1" s="44" t="s">
        <v>252</v>
      </c>
      <c r="B1" t="s">
        <v>329</v>
      </c>
    </row>
    <row r="3" spans="1:10">
      <c r="A3" s="44" t="s">
        <v>3251</v>
      </c>
      <c r="B3" s="44" t="s">
        <v>3254</v>
      </c>
    </row>
    <row r="4" spans="1:10">
      <c r="B4" t="s">
        <v>3257</v>
      </c>
      <c r="E4" t="s">
        <v>3260</v>
      </c>
      <c r="F4" t="s">
        <v>329</v>
      </c>
      <c r="I4" t="s">
        <v>3261</v>
      </c>
      <c r="J4" t="s">
        <v>3252</v>
      </c>
    </row>
    <row r="5" spans="1:10">
      <c r="A5" s="44" t="s">
        <v>3250</v>
      </c>
      <c r="B5" t="s">
        <v>75</v>
      </c>
      <c r="C5" t="s">
        <v>54</v>
      </c>
      <c r="D5" t="s">
        <v>55</v>
      </c>
      <c r="F5" t="s">
        <v>75</v>
      </c>
      <c r="G5" t="s">
        <v>54</v>
      </c>
      <c r="H5" t="s">
        <v>55</v>
      </c>
    </row>
    <row r="6" spans="1:10">
      <c r="A6" s="41" t="s">
        <v>312</v>
      </c>
      <c r="B6">
        <v>375</v>
      </c>
      <c r="C6">
        <v>139</v>
      </c>
      <c r="D6">
        <v>83</v>
      </c>
      <c r="E6">
        <v>597</v>
      </c>
      <c r="F6">
        <v>337</v>
      </c>
      <c r="G6">
        <v>57</v>
      </c>
      <c r="H6">
        <v>96</v>
      </c>
      <c r="I6">
        <v>490</v>
      </c>
      <c r="J6">
        <v>1087</v>
      </c>
    </row>
    <row r="7" spans="1:10">
      <c r="A7" s="41" t="s">
        <v>3252</v>
      </c>
      <c r="B7">
        <v>375</v>
      </c>
      <c r="C7">
        <v>139</v>
      </c>
      <c r="D7">
        <v>83</v>
      </c>
      <c r="E7">
        <v>597</v>
      </c>
      <c r="F7">
        <v>337</v>
      </c>
      <c r="G7">
        <v>57</v>
      </c>
      <c r="H7">
        <v>96</v>
      </c>
      <c r="I7">
        <v>490</v>
      </c>
      <c r="J7">
        <v>1087</v>
      </c>
    </row>
  </sheetData>
  <printOptions horizontalCentered="1"/>
  <pageMargins left="0.39370078740157483" right="0.39370078740157483" top="0.39370078740157483" bottom="0.39370078740157483" header="0.19685039370078741" footer="0.19685039370078741"/>
  <pageSetup paperSize="9" scale="87" fitToHeight="0" orientation="landscape" r:id="rId2"/>
  <headerFooter alignWithMargins="0">
    <oddFooter>&amp;C&amp;8&amp;P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K10"/>
  <sheetViews>
    <sheetView workbookViewId="0">
      <selection sqref="A1:B1"/>
    </sheetView>
  </sheetViews>
  <sheetFormatPr defaultRowHeight="12.75"/>
  <cols>
    <col min="1" max="1" width="15.85546875" bestFit="1" customWidth="1"/>
    <col min="2" max="2" width="22.5703125" bestFit="1" customWidth="1"/>
    <col min="3" max="3" width="12.5703125" bestFit="1" customWidth="1"/>
    <col min="4" max="4" width="21.85546875" bestFit="1" customWidth="1"/>
    <col min="5" max="5" width="11.7109375" bestFit="1" customWidth="1"/>
    <col min="6" max="7" width="12.5703125" bestFit="1" customWidth="1"/>
    <col min="8" max="8" width="21.85546875" bestFit="1" customWidth="1"/>
    <col min="9" max="9" width="7.28515625" bestFit="1" customWidth="1"/>
    <col min="10" max="10" width="11.7109375" bestFit="1" customWidth="1"/>
  </cols>
  <sheetData>
    <row r="1" spans="1:11">
      <c r="A1" s="44" t="s">
        <v>74</v>
      </c>
      <c r="B1" t="s">
        <v>312</v>
      </c>
    </row>
    <row r="3" spans="1:11">
      <c r="A3" s="44" t="s">
        <v>3250</v>
      </c>
      <c r="B3" t="s">
        <v>3251</v>
      </c>
    </row>
    <row r="4" spans="1:11">
      <c r="A4" s="41" t="s">
        <v>3257</v>
      </c>
      <c r="B4">
        <v>1139</v>
      </c>
    </row>
    <row r="5" spans="1:11">
      <c r="A5" s="41" t="s">
        <v>139</v>
      </c>
      <c r="B5">
        <v>8</v>
      </c>
      <c r="K5" s="44"/>
    </row>
    <row r="6" spans="1:11">
      <c r="A6" s="41" t="s">
        <v>140</v>
      </c>
      <c r="B6">
        <v>13</v>
      </c>
    </row>
    <row r="7" spans="1:11">
      <c r="A7" s="41" t="s">
        <v>141</v>
      </c>
      <c r="B7">
        <v>2</v>
      </c>
    </row>
    <row r="8" spans="1:11">
      <c r="A8" s="41" t="s">
        <v>142</v>
      </c>
      <c r="B8">
        <v>167</v>
      </c>
    </row>
    <row r="9" spans="1:11">
      <c r="A9" s="41" t="s">
        <v>138</v>
      </c>
      <c r="B9">
        <v>1</v>
      </c>
    </row>
    <row r="10" spans="1:11">
      <c r="A10" s="41" t="s">
        <v>3252</v>
      </c>
      <c r="B10">
        <v>1330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pageSetUpPr fitToPage="1"/>
  </sheetPr>
  <dimension ref="A1:B24"/>
  <sheetViews>
    <sheetView workbookViewId="0">
      <selection sqref="A1:B1"/>
    </sheetView>
  </sheetViews>
  <sheetFormatPr defaultRowHeight="12.75"/>
  <cols>
    <col min="1" max="1" width="27.42578125" bestFit="1" customWidth="1"/>
    <col min="2" max="2" width="22.5703125" customWidth="1"/>
  </cols>
  <sheetData>
    <row r="1" spans="1:2">
      <c r="A1" s="44" t="s">
        <v>74</v>
      </c>
      <c r="B1" t="s">
        <v>312</v>
      </c>
    </row>
    <row r="3" spans="1:2">
      <c r="A3" s="44" t="s">
        <v>3250</v>
      </c>
      <c r="B3" t="s">
        <v>3251</v>
      </c>
    </row>
    <row r="4" spans="1:2">
      <c r="A4" s="41" t="s">
        <v>138</v>
      </c>
      <c r="B4">
        <v>15</v>
      </c>
    </row>
    <row r="5" spans="1:2">
      <c r="A5" s="41" t="s">
        <v>167</v>
      </c>
      <c r="B5">
        <v>6</v>
      </c>
    </row>
    <row r="6" spans="1:2">
      <c r="A6" s="41" t="s">
        <v>168</v>
      </c>
      <c r="B6">
        <v>45</v>
      </c>
    </row>
    <row r="7" spans="1:2">
      <c r="A7" s="41" t="s">
        <v>169</v>
      </c>
      <c r="B7">
        <v>18</v>
      </c>
    </row>
    <row r="8" spans="1:2">
      <c r="A8" s="41" t="s">
        <v>170</v>
      </c>
      <c r="B8">
        <v>104</v>
      </c>
    </row>
    <row r="9" spans="1:2">
      <c r="A9" s="41" t="s">
        <v>171</v>
      </c>
      <c r="B9">
        <v>7</v>
      </c>
    </row>
    <row r="10" spans="1:2">
      <c r="A10" s="41" t="s">
        <v>172</v>
      </c>
      <c r="B10">
        <v>66</v>
      </c>
    </row>
    <row r="11" spans="1:2">
      <c r="A11" s="41" t="s">
        <v>147</v>
      </c>
      <c r="B11">
        <v>13</v>
      </c>
    </row>
    <row r="12" spans="1:2">
      <c r="A12" s="41" t="s">
        <v>173</v>
      </c>
      <c r="B12">
        <v>78</v>
      </c>
    </row>
    <row r="13" spans="1:2">
      <c r="A13" s="41" t="s">
        <v>174</v>
      </c>
      <c r="B13">
        <v>17</v>
      </c>
    </row>
    <row r="14" spans="1:2">
      <c r="A14" s="41" t="s">
        <v>148</v>
      </c>
      <c r="B14">
        <v>494</v>
      </c>
    </row>
    <row r="15" spans="1:2">
      <c r="A15" s="41" t="s">
        <v>149</v>
      </c>
      <c r="B15">
        <v>10</v>
      </c>
    </row>
    <row r="16" spans="1:2">
      <c r="A16" s="41" t="s">
        <v>175</v>
      </c>
      <c r="B16">
        <v>15</v>
      </c>
    </row>
    <row r="17" spans="1:2">
      <c r="A17" s="41" t="s">
        <v>176</v>
      </c>
      <c r="B17">
        <v>78</v>
      </c>
    </row>
    <row r="18" spans="1:2">
      <c r="A18" s="41" t="s">
        <v>177</v>
      </c>
      <c r="B18">
        <v>27</v>
      </c>
    </row>
    <row r="19" spans="1:2">
      <c r="A19" s="41" t="s">
        <v>178</v>
      </c>
      <c r="B19">
        <v>289</v>
      </c>
    </row>
    <row r="20" spans="1:2">
      <c r="A20" s="41" t="s">
        <v>141</v>
      </c>
      <c r="B20">
        <v>23</v>
      </c>
    </row>
    <row r="21" spans="1:2">
      <c r="A21" s="41" t="s">
        <v>179</v>
      </c>
      <c r="B21">
        <v>19</v>
      </c>
    </row>
    <row r="22" spans="1:2">
      <c r="A22" s="41" t="s">
        <v>180</v>
      </c>
      <c r="B22">
        <v>2</v>
      </c>
    </row>
    <row r="23" spans="1:2">
      <c r="A23" s="41" t="s">
        <v>181</v>
      </c>
      <c r="B23">
        <v>4</v>
      </c>
    </row>
    <row r="24" spans="1:2">
      <c r="A24" s="41" t="s">
        <v>3252</v>
      </c>
      <c r="B24">
        <v>1330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pageSetUpPr fitToPage="1"/>
  </sheetPr>
  <dimension ref="A1:B5"/>
  <sheetViews>
    <sheetView workbookViewId="0">
      <selection sqref="A1:B1"/>
    </sheetView>
  </sheetViews>
  <sheetFormatPr defaultRowHeight="12.75"/>
  <cols>
    <col min="1" max="1" width="37" bestFit="1" customWidth="1"/>
    <col min="2" max="2" width="15.140625" bestFit="1" customWidth="1"/>
  </cols>
  <sheetData>
    <row r="1" spans="1:2">
      <c r="A1" s="44" t="s">
        <v>74</v>
      </c>
      <c r="B1" t="s">
        <v>312</v>
      </c>
    </row>
    <row r="2" spans="1:2">
      <c r="A2" s="44" t="s">
        <v>155</v>
      </c>
      <c r="B2" t="s">
        <v>329</v>
      </c>
    </row>
    <row r="4" spans="1:2">
      <c r="A4" t="s">
        <v>3251</v>
      </c>
    </row>
    <row r="5" spans="1:2">
      <c r="A5">
        <v>425</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pageSetUpPr fitToPage="1"/>
  </sheetPr>
  <dimension ref="A1:B5"/>
  <sheetViews>
    <sheetView workbookViewId="0">
      <selection sqref="A1:B1"/>
    </sheetView>
  </sheetViews>
  <sheetFormatPr defaultRowHeight="12.75"/>
  <cols>
    <col min="1" max="1" width="35.85546875" bestFit="1" customWidth="1"/>
    <col min="2" max="2" width="15.140625" bestFit="1" customWidth="1"/>
  </cols>
  <sheetData>
    <row r="1" spans="1:2">
      <c r="A1" s="44" t="s">
        <v>74</v>
      </c>
      <c r="B1" t="s">
        <v>312</v>
      </c>
    </row>
    <row r="2" spans="1:2">
      <c r="A2" s="44" t="s">
        <v>156</v>
      </c>
      <c r="B2" t="s">
        <v>329</v>
      </c>
    </row>
    <row r="4" spans="1:2">
      <c r="A4" t="s">
        <v>3251</v>
      </c>
    </row>
    <row r="5" spans="1:2">
      <c r="A5">
        <v>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pageSetUpPr fitToPage="1"/>
  </sheetPr>
  <dimension ref="A1:B5"/>
  <sheetViews>
    <sheetView workbookViewId="0">
      <selection sqref="A1:B1"/>
    </sheetView>
  </sheetViews>
  <sheetFormatPr defaultRowHeight="12.75"/>
  <cols>
    <col min="1" max="1" width="22.5703125" bestFit="1" customWidth="1"/>
    <col min="2" max="2" width="15.140625" bestFit="1" customWidth="1"/>
  </cols>
  <sheetData>
    <row r="1" spans="1:2">
      <c r="A1" s="44" t="s">
        <v>74</v>
      </c>
      <c r="B1" t="s">
        <v>312</v>
      </c>
    </row>
    <row r="2" spans="1:2">
      <c r="A2" s="44" t="s">
        <v>186</v>
      </c>
      <c r="B2" t="s">
        <v>329</v>
      </c>
    </row>
    <row r="4" spans="1:2">
      <c r="A4" t="s">
        <v>3251</v>
      </c>
    </row>
    <row r="5" spans="1:2">
      <c r="A5">
        <v>489</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B5"/>
  <sheetViews>
    <sheetView workbookViewId="0">
      <selection sqref="A1:B1"/>
    </sheetView>
  </sheetViews>
  <sheetFormatPr defaultRowHeight="12.75"/>
  <cols>
    <col min="1" max="1" width="93.28515625" bestFit="1" customWidth="1"/>
    <col min="2" max="2" width="15.140625" bestFit="1" customWidth="1"/>
  </cols>
  <sheetData>
    <row r="1" spans="1:2">
      <c r="A1" s="44" t="s">
        <v>74</v>
      </c>
      <c r="B1" t="s">
        <v>312</v>
      </c>
    </row>
    <row r="2" spans="1:2">
      <c r="A2" s="44" t="s">
        <v>303</v>
      </c>
      <c r="B2" t="s">
        <v>329</v>
      </c>
    </row>
    <row r="4" spans="1:2">
      <c r="A4" t="s">
        <v>3251</v>
      </c>
    </row>
    <row r="5" spans="1:2">
      <c r="A5">
        <v>39</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U1206"/>
  <sheetViews>
    <sheetView workbookViewId="0">
      <pane ySplit="1" topLeftCell="A2" activePane="bottomLeft" state="frozen"/>
      <selection pane="bottomLeft" activeCell="CF10" sqref="CF10"/>
    </sheetView>
  </sheetViews>
  <sheetFormatPr defaultRowHeight="12" customHeight="1"/>
  <cols>
    <col min="1" max="1" width="5" style="43" customWidth="1"/>
    <col min="2" max="2" width="17.5703125" style="89" customWidth="1"/>
    <col min="3" max="3" width="10" style="89" customWidth="1"/>
    <col min="4" max="4" width="21.28515625" style="89" customWidth="1"/>
    <col min="5" max="5" width="19.5703125" style="89" customWidth="1"/>
    <col min="6" max="6" width="7" style="43" customWidth="1"/>
    <col min="7" max="7" width="7.85546875" style="43" customWidth="1"/>
    <col min="8" max="8" width="18.85546875" style="89" customWidth="1"/>
    <col min="9" max="9" width="11.42578125" style="125" customWidth="1"/>
    <col min="10" max="10" width="9.85546875" style="117" customWidth="1"/>
    <col min="11" max="11" width="7.42578125" style="140" customWidth="1"/>
    <col min="12" max="12" width="8.85546875" style="140" customWidth="1"/>
    <col min="13" max="13" width="6.140625" style="140" customWidth="1"/>
    <col min="14" max="14" width="10" style="140" customWidth="1"/>
    <col min="15" max="15" width="10.140625" style="140" customWidth="1"/>
    <col min="16" max="16" width="10.42578125" style="43" customWidth="1"/>
    <col min="17" max="17" width="28.7109375" style="89" customWidth="1"/>
    <col min="18" max="18" width="9.85546875" style="43" customWidth="1"/>
    <col min="19" max="19" width="9.85546875" style="125" customWidth="1"/>
    <col min="20" max="20" width="9.85546875" style="117" customWidth="1"/>
    <col min="21" max="21" width="8.85546875" style="43" customWidth="1"/>
    <col min="22" max="22" width="6.5703125" style="43" customWidth="1"/>
    <col min="23" max="23" width="9.85546875" style="117" customWidth="1"/>
    <col min="24" max="24" width="5" style="43" customWidth="1"/>
    <col min="25" max="25" width="11.7109375" style="43" customWidth="1"/>
    <col min="26" max="26" width="11.42578125" style="43" customWidth="1"/>
    <col min="27" max="27" width="11.5703125" style="43" customWidth="1"/>
    <col min="28" max="28" width="10" style="144" customWidth="1"/>
    <col min="29" max="29" width="12.140625" style="125" customWidth="1"/>
    <col min="30" max="30" width="9.140625" style="43" customWidth="1"/>
    <col min="31" max="31" width="10.140625" style="117" customWidth="1"/>
    <col min="32" max="32" width="18.5703125" style="43" customWidth="1"/>
    <col min="33" max="33" width="6.7109375" style="43" customWidth="1"/>
    <col min="34" max="34" width="10.85546875" style="43" customWidth="1"/>
    <col min="35" max="35" width="9.42578125" style="43" customWidth="1"/>
    <col min="36" max="36" width="7.5703125" style="140" customWidth="1"/>
    <col min="37" max="37" width="8.85546875" style="140" customWidth="1"/>
    <col min="38" max="38" width="10.28515625" style="140" customWidth="1"/>
    <col min="39" max="39" width="8.85546875" style="140" customWidth="1"/>
    <col min="40" max="40" width="6.140625" style="140" customWidth="1"/>
    <col min="41" max="45" width="5.140625" style="140" customWidth="1"/>
    <col min="46" max="46" width="6.7109375" style="140" customWidth="1"/>
    <col min="47" max="47" width="6.140625" style="140" customWidth="1"/>
    <col min="48" max="48" width="4.85546875" style="140" customWidth="1"/>
    <col min="49" max="51" width="5.140625" style="140" customWidth="1"/>
    <col min="52" max="52" width="4.85546875" style="140" customWidth="1"/>
    <col min="53" max="53" width="6.5703125" style="140" customWidth="1"/>
    <col min="54" max="54" width="6.85546875" style="140" customWidth="1"/>
    <col min="55" max="60" width="7" style="140" customWidth="1"/>
    <col min="61" max="61" width="5.85546875" style="140" customWidth="1"/>
    <col min="62" max="65" width="5.140625" style="140" customWidth="1"/>
    <col min="66" max="66" width="6.140625" style="140" customWidth="1"/>
    <col min="67" max="67" width="6.7109375" style="140" customWidth="1"/>
    <col min="68" max="68" width="15.42578125" style="43" customWidth="1"/>
    <col min="69" max="69" width="7.5703125" style="43" customWidth="1"/>
    <col min="70" max="70" width="11.7109375" style="43" customWidth="1"/>
    <col min="71" max="71" width="11.42578125" style="43" customWidth="1"/>
    <col min="72" max="72" width="10.28515625" style="43" customWidth="1"/>
    <col min="73" max="73" width="11.28515625" style="43" customWidth="1"/>
    <col min="74" max="74" width="27.140625" style="43" customWidth="1"/>
    <col min="75" max="75" width="7.140625" style="43" customWidth="1"/>
    <col min="76" max="76" width="10.7109375" style="43" customWidth="1"/>
    <col min="77" max="97" width="7.42578125" style="90" customWidth="1"/>
    <col min="98" max="99" width="9.140625" style="90"/>
    <col min="100" max="16384" width="9.140625" style="89"/>
  </cols>
  <sheetData>
    <row r="1" spans="1:99" s="114" customFormat="1" ht="48.75" customHeight="1">
      <c r="A1" s="42" t="s">
        <v>239</v>
      </c>
      <c r="B1" s="114" t="s">
        <v>74</v>
      </c>
      <c r="C1" s="114" t="s">
        <v>240</v>
      </c>
      <c r="D1" s="114" t="s">
        <v>241</v>
      </c>
      <c r="E1" s="114" t="s">
        <v>242</v>
      </c>
      <c r="F1" s="42" t="s">
        <v>243</v>
      </c>
      <c r="G1" s="42" t="s">
        <v>244</v>
      </c>
      <c r="H1" s="114" t="s">
        <v>165</v>
      </c>
      <c r="I1" s="124" t="s">
        <v>245</v>
      </c>
      <c r="J1" s="116" t="s">
        <v>246</v>
      </c>
      <c r="K1" s="139" t="s">
        <v>247</v>
      </c>
      <c r="L1" s="139" t="s">
        <v>248</v>
      </c>
      <c r="M1" s="139" t="s">
        <v>249</v>
      </c>
      <c r="N1" s="139" t="s">
        <v>250</v>
      </c>
      <c r="O1" s="139" t="s">
        <v>251</v>
      </c>
      <c r="P1" s="42" t="s">
        <v>252</v>
      </c>
      <c r="Q1" s="114" t="s">
        <v>253</v>
      </c>
      <c r="R1" s="42" t="s">
        <v>254</v>
      </c>
      <c r="S1" s="124" t="s">
        <v>255</v>
      </c>
      <c r="T1" s="116" t="s">
        <v>256</v>
      </c>
      <c r="U1" s="42" t="s">
        <v>257</v>
      </c>
      <c r="V1" s="42" t="s">
        <v>258</v>
      </c>
      <c r="W1" s="116" t="s">
        <v>259</v>
      </c>
      <c r="X1" s="42" t="s">
        <v>260</v>
      </c>
      <c r="Y1" s="42" t="s">
        <v>102</v>
      </c>
      <c r="Z1" s="42" t="s">
        <v>261</v>
      </c>
      <c r="AA1" s="42" t="s">
        <v>262</v>
      </c>
      <c r="AB1" s="143" t="s">
        <v>263</v>
      </c>
      <c r="AC1" s="124" t="s">
        <v>264</v>
      </c>
      <c r="AD1" s="42" t="s">
        <v>265</v>
      </c>
      <c r="AE1" s="116" t="s">
        <v>266</v>
      </c>
      <c r="AF1" s="42" t="s">
        <v>50</v>
      </c>
      <c r="AG1" s="42" t="s">
        <v>267</v>
      </c>
      <c r="AH1" s="42" t="s">
        <v>268</v>
      </c>
      <c r="AI1" s="42" t="s">
        <v>269</v>
      </c>
      <c r="AJ1" s="139" t="s">
        <v>270</v>
      </c>
      <c r="AK1" s="139" t="s">
        <v>271</v>
      </c>
      <c r="AL1" s="139" t="s">
        <v>272</v>
      </c>
      <c r="AM1" s="139" t="s">
        <v>273</v>
      </c>
      <c r="AN1" s="139" t="s">
        <v>274</v>
      </c>
      <c r="AO1" s="139" t="s">
        <v>275</v>
      </c>
      <c r="AP1" s="139" t="s">
        <v>276</v>
      </c>
      <c r="AQ1" s="139" t="s">
        <v>277</v>
      </c>
      <c r="AR1" s="139" t="s">
        <v>278</v>
      </c>
      <c r="AS1" s="139" t="s">
        <v>279</v>
      </c>
      <c r="AT1" s="139" t="s">
        <v>280</v>
      </c>
      <c r="AU1" s="139" t="s">
        <v>281</v>
      </c>
      <c r="AV1" s="139" t="s">
        <v>282</v>
      </c>
      <c r="AW1" s="139" t="s">
        <v>283</v>
      </c>
      <c r="AX1" s="139" t="s">
        <v>284</v>
      </c>
      <c r="AY1" s="139" t="s">
        <v>285</v>
      </c>
      <c r="AZ1" s="139" t="s">
        <v>286</v>
      </c>
      <c r="BA1" s="139" t="s">
        <v>287</v>
      </c>
      <c r="BB1" s="139" t="s">
        <v>288</v>
      </c>
      <c r="BC1" s="139" t="s">
        <v>289</v>
      </c>
      <c r="BD1" s="139" t="s">
        <v>290</v>
      </c>
      <c r="BE1" s="139" t="s">
        <v>291</v>
      </c>
      <c r="BF1" s="139" t="s">
        <v>292</v>
      </c>
      <c r="BG1" s="139" t="s">
        <v>293</v>
      </c>
      <c r="BH1" s="139" t="s">
        <v>294</v>
      </c>
      <c r="BI1" s="139" t="s">
        <v>295</v>
      </c>
      <c r="BJ1" s="139" t="s">
        <v>296</v>
      </c>
      <c r="BK1" s="139" t="s">
        <v>297</v>
      </c>
      <c r="BL1" s="139" t="s">
        <v>298</v>
      </c>
      <c r="BM1" s="139" t="s">
        <v>299</v>
      </c>
      <c r="BN1" s="139" t="s">
        <v>300</v>
      </c>
      <c r="BO1" s="139" t="s">
        <v>301</v>
      </c>
      <c r="BP1" s="42" t="s">
        <v>137</v>
      </c>
      <c r="BQ1" s="42" t="s">
        <v>186</v>
      </c>
      <c r="BR1" s="42" t="s">
        <v>155</v>
      </c>
      <c r="BS1" s="42" t="s">
        <v>156</v>
      </c>
      <c r="BT1" s="42" t="s">
        <v>161</v>
      </c>
      <c r="BU1" s="42" t="s">
        <v>302</v>
      </c>
      <c r="BV1" s="42" t="s">
        <v>303</v>
      </c>
      <c r="BW1" s="42" t="s">
        <v>159</v>
      </c>
      <c r="BX1" s="42" t="s">
        <v>304</v>
      </c>
      <c r="BY1" s="115" t="s">
        <v>14</v>
      </c>
      <c r="BZ1" s="115" t="s">
        <v>215</v>
      </c>
      <c r="CA1" s="115" t="s">
        <v>216</v>
      </c>
      <c r="CB1" s="115" t="s">
        <v>217</v>
      </c>
      <c r="CC1" s="115" t="s">
        <v>218</v>
      </c>
      <c r="CD1" s="115" t="s">
        <v>219</v>
      </c>
      <c r="CE1" s="114" t="s">
        <v>220</v>
      </c>
      <c r="CF1" s="115" t="s">
        <v>221</v>
      </c>
      <c r="CG1" s="114" t="s">
        <v>222</v>
      </c>
      <c r="CH1" s="115" t="s">
        <v>223</v>
      </c>
      <c r="CI1" s="115" t="s">
        <v>224</v>
      </c>
      <c r="CJ1" s="115" t="s">
        <v>225</v>
      </c>
      <c r="CK1" s="115" t="s">
        <v>226</v>
      </c>
      <c r="CL1" s="115" t="s">
        <v>227</v>
      </c>
      <c r="CM1" s="115" t="s">
        <v>228</v>
      </c>
      <c r="CN1" s="115" t="s">
        <v>229</v>
      </c>
      <c r="CO1" s="115" t="s">
        <v>305</v>
      </c>
      <c r="CP1" s="115" t="s">
        <v>306</v>
      </c>
      <c r="CQ1" s="115" t="s">
        <v>307</v>
      </c>
      <c r="CR1" s="115" t="s">
        <v>308</v>
      </c>
      <c r="CS1" s="115" t="s">
        <v>309</v>
      </c>
      <c r="CT1" s="115" t="s">
        <v>310</v>
      </c>
      <c r="CU1" s="115" t="s">
        <v>311</v>
      </c>
    </row>
    <row r="2" spans="1:99" ht="12" customHeight="1">
      <c r="A2" s="43">
        <v>116</v>
      </c>
      <c r="B2" s="89" t="s">
        <v>312</v>
      </c>
      <c r="C2" s="89" t="s">
        <v>313</v>
      </c>
      <c r="D2" s="89" t="s">
        <v>314</v>
      </c>
      <c r="F2" s="43">
        <v>524382</v>
      </c>
      <c r="G2" s="43">
        <v>175284</v>
      </c>
      <c r="H2" s="89" t="s">
        <v>178</v>
      </c>
      <c r="I2" s="125">
        <v>43190</v>
      </c>
      <c r="J2" s="117">
        <v>43741</v>
      </c>
      <c r="K2" s="140">
        <v>2</v>
      </c>
      <c r="L2" s="140">
        <v>2</v>
      </c>
      <c r="M2" s="140">
        <v>0</v>
      </c>
      <c r="N2" s="140">
        <v>6</v>
      </c>
      <c r="O2" s="140">
        <v>4</v>
      </c>
      <c r="Q2" s="89" t="s">
        <v>315</v>
      </c>
      <c r="R2" s="43" t="s">
        <v>316</v>
      </c>
      <c r="S2" s="125">
        <v>42983</v>
      </c>
      <c r="T2" s="117">
        <v>43013</v>
      </c>
      <c r="V2" s="43" t="s">
        <v>317</v>
      </c>
      <c r="X2" s="43" t="s">
        <v>318</v>
      </c>
      <c r="Y2" s="43" t="s">
        <v>319</v>
      </c>
      <c r="Z2" s="43" t="s">
        <v>320</v>
      </c>
      <c r="AA2" s="43" t="s">
        <v>321</v>
      </c>
      <c r="AB2" s="144">
        <v>7.0000002160668399E-3</v>
      </c>
      <c r="AC2" s="125">
        <v>43190</v>
      </c>
      <c r="AE2" s="117">
        <v>43741</v>
      </c>
      <c r="AF2" s="43" t="s">
        <v>75</v>
      </c>
      <c r="AG2" s="43" t="s">
        <v>322</v>
      </c>
      <c r="AJ2" s="140">
        <v>0</v>
      </c>
      <c r="AK2" s="140">
        <v>0</v>
      </c>
      <c r="AL2" s="140">
        <v>0</v>
      </c>
      <c r="AM2" s="140">
        <v>0</v>
      </c>
      <c r="AN2" s="140">
        <v>0</v>
      </c>
      <c r="AO2" s="140">
        <v>1</v>
      </c>
      <c r="AP2" s="140">
        <v>-1</v>
      </c>
      <c r="AQ2" s="140">
        <v>0</v>
      </c>
      <c r="AR2" s="140">
        <v>0</v>
      </c>
      <c r="AS2" s="140">
        <v>0</v>
      </c>
      <c r="AT2" s="140">
        <v>0</v>
      </c>
      <c r="AU2" s="140">
        <v>0</v>
      </c>
      <c r="AV2" s="140">
        <v>1</v>
      </c>
      <c r="AW2" s="140">
        <v>-1</v>
      </c>
      <c r="AX2" s="140">
        <v>0</v>
      </c>
      <c r="AY2" s="140">
        <v>0</v>
      </c>
      <c r="AZ2" s="140">
        <v>0</v>
      </c>
      <c r="BA2" s="140">
        <v>0</v>
      </c>
      <c r="BB2" s="140">
        <v>0</v>
      </c>
      <c r="BC2" s="140">
        <v>0</v>
      </c>
      <c r="BD2" s="140">
        <v>0</v>
      </c>
      <c r="BE2" s="140">
        <v>0</v>
      </c>
      <c r="BF2" s="140">
        <v>0</v>
      </c>
      <c r="BG2" s="140">
        <v>0</v>
      </c>
      <c r="BH2" s="140">
        <v>0</v>
      </c>
      <c r="BI2" s="140">
        <v>0</v>
      </c>
      <c r="BJ2" s="140">
        <v>0</v>
      </c>
      <c r="BK2" s="140">
        <v>0</v>
      </c>
      <c r="BL2" s="140">
        <v>0</v>
      </c>
      <c r="BM2" s="140">
        <v>0</v>
      </c>
      <c r="BN2" s="140">
        <v>0</v>
      </c>
      <c r="BO2" s="140">
        <v>0</v>
      </c>
      <c r="BX2" s="43">
        <v>12</v>
      </c>
      <c r="BY2" s="90">
        <f t="shared" ref="BY2:BY33" si="0">M2</f>
        <v>0</v>
      </c>
      <c r="CT2" s="90">
        <f t="shared" ref="CT2:CT65" si="1">SUM(BZ2:CD2)</f>
        <v>0</v>
      </c>
      <c r="CU2" s="90">
        <f t="shared" ref="CU2:CU65" si="2">SUM(BZ2:CI2)</f>
        <v>0</v>
      </c>
    </row>
    <row r="3" spans="1:99" ht="12" customHeight="1">
      <c r="A3" s="43">
        <v>116</v>
      </c>
      <c r="B3" s="89" t="s">
        <v>312</v>
      </c>
      <c r="C3" s="89" t="s">
        <v>313</v>
      </c>
      <c r="D3" s="89" t="s">
        <v>314</v>
      </c>
      <c r="F3" s="43">
        <v>524382</v>
      </c>
      <c r="G3" s="43">
        <v>175284</v>
      </c>
      <c r="H3" s="89" t="s">
        <v>178</v>
      </c>
      <c r="I3" s="125">
        <v>43190</v>
      </c>
      <c r="J3" s="117">
        <v>43741</v>
      </c>
      <c r="K3" s="140">
        <v>0</v>
      </c>
      <c r="L3" s="140">
        <v>1</v>
      </c>
      <c r="M3" s="140">
        <v>1</v>
      </c>
      <c r="N3" s="140">
        <v>6</v>
      </c>
      <c r="O3" s="140">
        <v>4</v>
      </c>
      <c r="Q3" s="89" t="s">
        <v>315</v>
      </c>
      <c r="R3" s="43" t="s">
        <v>316</v>
      </c>
      <c r="S3" s="125">
        <v>42983</v>
      </c>
      <c r="T3" s="117">
        <v>43013</v>
      </c>
      <c r="V3" s="43" t="s">
        <v>317</v>
      </c>
      <c r="X3" s="43" t="s">
        <v>318</v>
      </c>
      <c r="Y3" s="43" t="s">
        <v>319</v>
      </c>
      <c r="Z3" s="43" t="s">
        <v>320</v>
      </c>
      <c r="AA3" s="43" t="s">
        <v>36</v>
      </c>
      <c r="AB3" s="144">
        <v>7.0000002160668399E-3</v>
      </c>
      <c r="AC3" s="125">
        <v>43190</v>
      </c>
      <c r="AE3" s="117">
        <v>43741</v>
      </c>
      <c r="AF3" s="43" t="s">
        <v>75</v>
      </c>
      <c r="AG3" s="43" t="s">
        <v>322</v>
      </c>
      <c r="AJ3" s="140">
        <v>0</v>
      </c>
      <c r="AK3" s="140">
        <v>0</v>
      </c>
      <c r="AL3" s="140">
        <v>0</v>
      </c>
      <c r="AM3" s="140">
        <v>0</v>
      </c>
      <c r="AN3" s="140">
        <v>0</v>
      </c>
      <c r="AO3" s="140">
        <v>1</v>
      </c>
      <c r="AP3" s="140">
        <v>0</v>
      </c>
      <c r="AQ3" s="140">
        <v>0</v>
      </c>
      <c r="AR3" s="140">
        <v>0</v>
      </c>
      <c r="AS3" s="140">
        <v>0</v>
      </c>
      <c r="AT3" s="140">
        <v>0</v>
      </c>
      <c r="AU3" s="140">
        <v>0</v>
      </c>
      <c r="AV3" s="140">
        <v>1</v>
      </c>
      <c r="AW3" s="140">
        <v>0</v>
      </c>
      <c r="AX3" s="140">
        <v>0</v>
      </c>
      <c r="AY3" s="140">
        <v>0</v>
      </c>
      <c r="AZ3" s="140">
        <v>0</v>
      </c>
      <c r="BA3" s="140">
        <v>0</v>
      </c>
      <c r="BB3" s="140">
        <v>0</v>
      </c>
      <c r="BC3" s="140">
        <v>0</v>
      </c>
      <c r="BD3" s="140">
        <v>0</v>
      </c>
      <c r="BE3" s="140">
        <v>0</v>
      </c>
      <c r="BF3" s="140">
        <v>0</v>
      </c>
      <c r="BG3" s="140">
        <v>0</v>
      </c>
      <c r="BH3" s="140">
        <v>0</v>
      </c>
      <c r="BI3" s="140">
        <v>0</v>
      </c>
      <c r="BJ3" s="140">
        <v>0</v>
      </c>
      <c r="BK3" s="140">
        <v>0</v>
      </c>
      <c r="BL3" s="140">
        <v>0</v>
      </c>
      <c r="BM3" s="140">
        <v>0</v>
      </c>
      <c r="BN3" s="140">
        <v>0</v>
      </c>
      <c r="BO3" s="140">
        <v>0</v>
      </c>
      <c r="BX3" s="43">
        <v>12</v>
      </c>
      <c r="BY3" s="90">
        <f t="shared" si="0"/>
        <v>1</v>
      </c>
      <c r="CT3" s="90">
        <f t="shared" si="1"/>
        <v>0</v>
      </c>
      <c r="CU3" s="90">
        <f t="shared" si="2"/>
        <v>0</v>
      </c>
    </row>
    <row r="4" spans="1:99" ht="12" customHeight="1">
      <c r="A4" s="43">
        <v>548</v>
      </c>
      <c r="B4" s="89" t="s">
        <v>312</v>
      </c>
      <c r="C4" s="89" t="s">
        <v>323</v>
      </c>
      <c r="D4" s="89" t="s">
        <v>324</v>
      </c>
      <c r="F4" s="43">
        <v>527240</v>
      </c>
      <c r="G4" s="43">
        <v>171371</v>
      </c>
      <c r="H4" s="89" t="s">
        <v>141</v>
      </c>
      <c r="I4" s="125">
        <v>43173</v>
      </c>
      <c r="J4" s="117">
        <v>43641</v>
      </c>
      <c r="K4" s="140">
        <v>1</v>
      </c>
      <c r="L4" s="140">
        <v>3</v>
      </c>
      <c r="M4" s="140">
        <v>2</v>
      </c>
      <c r="N4" s="140">
        <v>3</v>
      </c>
      <c r="O4" s="140">
        <v>2</v>
      </c>
      <c r="Q4" s="89" t="s">
        <v>325</v>
      </c>
      <c r="R4" s="43" t="s">
        <v>316</v>
      </c>
      <c r="S4" s="125">
        <v>43021</v>
      </c>
      <c r="T4" s="117">
        <v>43077</v>
      </c>
      <c r="V4" s="43" t="s">
        <v>317</v>
      </c>
      <c r="X4" s="43" t="s">
        <v>318</v>
      </c>
      <c r="Y4" s="43" t="s">
        <v>319</v>
      </c>
      <c r="Z4" s="43" t="s">
        <v>320</v>
      </c>
      <c r="AA4" s="43" t="s">
        <v>20</v>
      </c>
      <c r="AB4" s="144">
        <v>1.9999999552965199E-2</v>
      </c>
      <c r="AC4" s="125">
        <v>43173</v>
      </c>
      <c r="AE4" s="117">
        <v>43641</v>
      </c>
      <c r="AF4" s="43" t="s">
        <v>75</v>
      </c>
      <c r="AG4" s="43" t="s">
        <v>322</v>
      </c>
      <c r="AJ4" s="140">
        <v>0</v>
      </c>
      <c r="AK4" s="140">
        <v>0</v>
      </c>
      <c r="AL4" s="140">
        <v>0</v>
      </c>
      <c r="AM4" s="140">
        <v>0</v>
      </c>
      <c r="AN4" s="140">
        <v>0</v>
      </c>
      <c r="AO4" s="140">
        <v>1</v>
      </c>
      <c r="AP4" s="140">
        <v>1</v>
      </c>
      <c r="AQ4" s="140">
        <v>1</v>
      </c>
      <c r="AR4" s="140">
        <v>-1</v>
      </c>
      <c r="AS4" s="140">
        <v>0</v>
      </c>
      <c r="AT4" s="140">
        <v>0</v>
      </c>
      <c r="AU4" s="140">
        <v>0</v>
      </c>
      <c r="AV4" s="140">
        <v>1</v>
      </c>
      <c r="AW4" s="140">
        <v>1</v>
      </c>
      <c r="AX4" s="140">
        <v>1</v>
      </c>
      <c r="AY4" s="140">
        <v>0</v>
      </c>
      <c r="AZ4" s="140">
        <v>0</v>
      </c>
      <c r="BA4" s="140">
        <v>0</v>
      </c>
      <c r="BB4" s="140">
        <v>0</v>
      </c>
      <c r="BC4" s="140">
        <v>0</v>
      </c>
      <c r="BD4" s="140">
        <v>0</v>
      </c>
      <c r="BE4" s="140">
        <v>0</v>
      </c>
      <c r="BF4" s="140">
        <v>-1</v>
      </c>
      <c r="BG4" s="140">
        <v>0</v>
      </c>
      <c r="BH4" s="140">
        <v>0</v>
      </c>
      <c r="BI4" s="140">
        <v>0</v>
      </c>
      <c r="BJ4" s="140">
        <v>0</v>
      </c>
      <c r="BK4" s="140">
        <v>0</v>
      </c>
      <c r="BL4" s="140">
        <v>0</v>
      </c>
      <c r="BM4" s="140">
        <v>0</v>
      </c>
      <c r="BN4" s="140">
        <v>0</v>
      </c>
      <c r="BO4" s="140">
        <v>0</v>
      </c>
      <c r="BX4" s="43">
        <v>12</v>
      </c>
      <c r="BY4" s="90">
        <f t="shared" si="0"/>
        <v>2</v>
      </c>
      <c r="CT4" s="90">
        <f t="shared" si="1"/>
        <v>0</v>
      </c>
      <c r="CU4" s="90">
        <f t="shared" si="2"/>
        <v>0</v>
      </c>
    </row>
    <row r="5" spans="1:99" ht="12" customHeight="1">
      <c r="A5" s="43">
        <v>687</v>
      </c>
      <c r="B5" s="89" t="s">
        <v>312</v>
      </c>
      <c r="C5" s="89" t="s">
        <v>326</v>
      </c>
      <c r="D5" s="89" t="s">
        <v>327</v>
      </c>
      <c r="F5" s="43">
        <v>525881</v>
      </c>
      <c r="G5" s="43">
        <v>174991</v>
      </c>
      <c r="H5" s="89" t="s">
        <v>170</v>
      </c>
      <c r="I5" s="125">
        <v>43136</v>
      </c>
      <c r="J5" s="117">
        <v>43738</v>
      </c>
      <c r="K5" s="140">
        <v>1</v>
      </c>
      <c r="L5" s="140">
        <v>2</v>
      </c>
      <c r="M5" s="140">
        <v>1</v>
      </c>
      <c r="N5" s="140">
        <v>2</v>
      </c>
      <c r="O5" s="140">
        <v>1</v>
      </c>
      <c r="Q5" s="89" t="s">
        <v>328</v>
      </c>
      <c r="R5" s="43" t="s">
        <v>316</v>
      </c>
      <c r="S5" s="125">
        <v>43035</v>
      </c>
      <c r="T5" s="117">
        <v>43089</v>
      </c>
      <c r="V5" s="43" t="s">
        <v>317</v>
      </c>
      <c r="X5" s="43" t="s">
        <v>318</v>
      </c>
      <c r="Y5" s="43" t="s">
        <v>319</v>
      </c>
      <c r="Z5" s="43" t="s">
        <v>320</v>
      </c>
      <c r="AA5" s="43" t="s">
        <v>321</v>
      </c>
      <c r="AB5" s="144">
        <v>4.0000001899898104E-3</v>
      </c>
      <c r="AC5" s="125">
        <v>43136</v>
      </c>
      <c r="AE5" s="117">
        <v>43738</v>
      </c>
      <c r="AF5" s="43" t="s">
        <v>75</v>
      </c>
      <c r="AG5" s="43" t="s">
        <v>322</v>
      </c>
      <c r="AJ5" s="140">
        <v>0</v>
      </c>
      <c r="AK5" s="140">
        <v>0</v>
      </c>
      <c r="AL5" s="140">
        <v>0</v>
      </c>
      <c r="AM5" s="140">
        <v>0</v>
      </c>
      <c r="AN5" s="140">
        <v>2</v>
      </c>
      <c r="AO5" s="140">
        <v>0</v>
      </c>
      <c r="AP5" s="140">
        <v>0</v>
      </c>
      <c r="AQ5" s="140">
        <v>-1</v>
      </c>
      <c r="AR5" s="140">
        <v>0</v>
      </c>
      <c r="AS5" s="140">
        <v>0</v>
      </c>
      <c r="AT5" s="140">
        <v>0</v>
      </c>
      <c r="AU5" s="140">
        <v>2</v>
      </c>
      <c r="AV5" s="140">
        <v>0</v>
      </c>
      <c r="AW5" s="140">
        <v>0</v>
      </c>
      <c r="AX5" s="140">
        <v>-1</v>
      </c>
      <c r="AY5" s="140">
        <v>0</v>
      </c>
      <c r="AZ5" s="140">
        <v>0</v>
      </c>
      <c r="BA5" s="140">
        <v>0</v>
      </c>
      <c r="BB5" s="140">
        <v>0</v>
      </c>
      <c r="BC5" s="140">
        <v>0</v>
      </c>
      <c r="BD5" s="140">
        <v>0</v>
      </c>
      <c r="BE5" s="140">
        <v>0</v>
      </c>
      <c r="BF5" s="140">
        <v>0</v>
      </c>
      <c r="BG5" s="140">
        <v>0</v>
      </c>
      <c r="BH5" s="140">
        <v>0</v>
      </c>
      <c r="BI5" s="140">
        <v>0</v>
      </c>
      <c r="BJ5" s="140">
        <v>0</v>
      </c>
      <c r="BK5" s="140">
        <v>0</v>
      </c>
      <c r="BL5" s="140">
        <v>0</v>
      </c>
      <c r="BM5" s="140">
        <v>0</v>
      </c>
      <c r="BN5" s="140">
        <v>0</v>
      </c>
      <c r="BO5" s="140">
        <v>0</v>
      </c>
      <c r="BR5" s="43" t="s">
        <v>329</v>
      </c>
      <c r="BX5" s="43">
        <v>12</v>
      </c>
      <c r="BY5" s="90">
        <f t="shared" si="0"/>
        <v>1</v>
      </c>
      <c r="CT5" s="90">
        <f t="shared" si="1"/>
        <v>0</v>
      </c>
      <c r="CU5" s="90">
        <f t="shared" si="2"/>
        <v>0</v>
      </c>
    </row>
    <row r="6" spans="1:99" ht="12" customHeight="1">
      <c r="A6" s="43">
        <v>700</v>
      </c>
      <c r="B6" s="89" t="s">
        <v>312</v>
      </c>
      <c r="C6" s="89" t="s">
        <v>330</v>
      </c>
      <c r="D6" s="89" t="s">
        <v>331</v>
      </c>
      <c r="F6" s="43">
        <v>528024</v>
      </c>
      <c r="G6" s="43">
        <v>173250</v>
      </c>
      <c r="H6" s="89" t="s">
        <v>173</v>
      </c>
      <c r="I6" s="125">
        <v>43555</v>
      </c>
      <c r="J6" s="117">
        <v>43794</v>
      </c>
      <c r="K6" s="140">
        <v>1</v>
      </c>
      <c r="L6" s="140">
        <v>4</v>
      </c>
      <c r="M6" s="140">
        <v>3</v>
      </c>
      <c r="N6" s="140">
        <v>4</v>
      </c>
      <c r="O6" s="140">
        <v>3</v>
      </c>
      <c r="Q6" s="89" t="s">
        <v>332</v>
      </c>
      <c r="R6" s="43" t="s">
        <v>316</v>
      </c>
      <c r="S6" s="125">
        <v>43180</v>
      </c>
      <c r="T6" s="117">
        <v>43235</v>
      </c>
      <c r="V6" s="43" t="s">
        <v>317</v>
      </c>
      <c r="X6" s="43" t="s">
        <v>318</v>
      </c>
      <c r="Y6" s="43" t="s">
        <v>319</v>
      </c>
      <c r="Z6" s="43" t="s">
        <v>320</v>
      </c>
      <c r="AA6" s="43" t="s">
        <v>321</v>
      </c>
      <c r="AB6" s="144">
        <v>2.9999999329447701E-2</v>
      </c>
      <c r="AC6" s="125">
        <v>43555</v>
      </c>
      <c r="AE6" s="117">
        <v>43794</v>
      </c>
      <c r="AF6" s="43" t="s">
        <v>75</v>
      </c>
      <c r="AG6" s="43" t="s">
        <v>322</v>
      </c>
      <c r="AJ6" s="140">
        <v>0</v>
      </c>
      <c r="AK6" s="140">
        <v>0</v>
      </c>
      <c r="AL6" s="140">
        <v>0</v>
      </c>
      <c r="AM6" s="140">
        <v>0</v>
      </c>
      <c r="AN6" s="140">
        <v>1</v>
      </c>
      <c r="AO6" s="140">
        <v>0</v>
      </c>
      <c r="AP6" s="140">
        <v>0</v>
      </c>
      <c r="AQ6" s="140">
        <v>2</v>
      </c>
      <c r="AR6" s="140">
        <v>0</v>
      </c>
      <c r="AS6" s="140">
        <v>0</v>
      </c>
      <c r="AT6" s="140">
        <v>0</v>
      </c>
      <c r="AU6" s="140">
        <v>1</v>
      </c>
      <c r="AV6" s="140">
        <v>0</v>
      </c>
      <c r="AW6" s="140">
        <v>0</v>
      </c>
      <c r="AX6" s="140">
        <v>2</v>
      </c>
      <c r="AY6" s="140">
        <v>0</v>
      </c>
      <c r="AZ6" s="140">
        <v>0</v>
      </c>
      <c r="BA6" s="140">
        <v>0</v>
      </c>
      <c r="BB6" s="140">
        <v>0</v>
      </c>
      <c r="BC6" s="140">
        <v>0</v>
      </c>
      <c r="BD6" s="140">
        <v>0</v>
      </c>
      <c r="BE6" s="140">
        <v>0</v>
      </c>
      <c r="BF6" s="140">
        <v>0</v>
      </c>
      <c r="BG6" s="140">
        <v>0</v>
      </c>
      <c r="BH6" s="140">
        <v>0</v>
      </c>
      <c r="BI6" s="140">
        <v>0</v>
      </c>
      <c r="BJ6" s="140">
        <v>0</v>
      </c>
      <c r="BK6" s="140">
        <v>0</v>
      </c>
      <c r="BL6" s="140">
        <v>0</v>
      </c>
      <c r="BM6" s="140">
        <v>0</v>
      </c>
      <c r="BN6" s="140">
        <v>0</v>
      </c>
      <c r="BO6" s="140">
        <v>0</v>
      </c>
      <c r="BX6" s="43">
        <v>12</v>
      </c>
      <c r="BY6" s="90">
        <f t="shared" si="0"/>
        <v>3</v>
      </c>
      <c r="CT6" s="90">
        <f t="shared" si="1"/>
        <v>0</v>
      </c>
      <c r="CU6" s="90">
        <f t="shared" si="2"/>
        <v>0</v>
      </c>
    </row>
    <row r="7" spans="1:99" ht="12" customHeight="1">
      <c r="A7" s="43">
        <v>730</v>
      </c>
      <c r="B7" s="89" t="s">
        <v>312</v>
      </c>
      <c r="C7" s="89" t="s">
        <v>333</v>
      </c>
      <c r="D7" s="89" t="s">
        <v>334</v>
      </c>
      <c r="F7" s="43">
        <v>527663</v>
      </c>
      <c r="G7" s="43">
        <v>174345</v>
      </c>
      <c r="H7" s="89" t="s">
        <v>174</v>
      </c>
      <c r="I7" s="125">
        <v>43556</v>
      </c>
      <c r="J7" s="117">
        <v>43888</v>
      </c>
      <c r="K7" s="140">
        <v>0</v>
      </c>
      <c r="L7" s="140">
        <v>1</v>
      </c>
      <c r="M7" s="140">
        <v>1</v>
      </c>
      <c r="N7" s="140">
        <v>1</v>
      </c>
      <c r="O7" s="140">
        <v>1</v>
      </c>
      <c r="Q7" s="89" t="s">
        <v>335</v>
      </c>
      <c r="R7" s="43" t="s">
        <v>316</v>
      </c>
      <c r="S7" s="125">
        <v>43265</v>
      </c>
      <c r="T7" s="117">
        <v>43304</v>
      </c>
      <c r="V7" s="43" t="s">
        <v>317</v>
      </c>
      <c r="X7" s="43" t="s">
        <v>318</v>
      </c>
      <c r="Y7" s="43" t="s">
        <v>336</v>
      </c>
      <c r="Z7" s="43" t="s">
        <v>320</v>
      </c>
      <c r="AA7" s="43" t="s">
        <v>36</v>
      </c>
      <c r="AB7" s="144">
        <v>1.4000000432133701E-2</v>
      </c>
      <c r="AC7" s="125">
        <v>43556</v>
      </c>
      <c r="AD7" s="43" t="s">
        <v>329</v>
      </c>
      <c r="AE7" s="117">
        <v>43888</v>
      </c>
      <c r="AF7" s="43" t="s">
        <v>75</v>
      </c>
      <c r="AG7" s="43" t="s">
        <v>322</v>
      </c>
      <c r="AJ7" s="140">
        <v>0</v>
      </c>
      <c r="AK7" s="140">
        <v>0</v>
      </c>
      <c r="AL7" s="140">
        <v>0</v>
      </c>
      <c r="AM7" s="140">
        <v>0</v>
      </c>
      <c r="AN7" s="140">
        <v>0</v>
      </c>
      <c r="AO7" s="140">
        <v>0</v>
      </c>
      <c r="AP7" s="140">
        <v>0</v>
      </c>
      <c r="AQ7" s="140">
        <v>1</v>
      </c>
      <c r="AR7" s="140">
        <v>0</v>
      </c>
      <c r="AS7" s="140">
        <v>0</v>
      </c>
      <c r="AT7" s="140">
        <v>0</v>
      </c>
      <c r="AU7" s="140">
        <v>0</v>
      </c>
      <c r="AV7" s="140">
        <v>0</v>
      </c>
      <c r="AW7" s="140">
        <v>0</v>
      </c>
      <c r="AX7" s="140">
        <v>0</v>
      </c>
      <c r="AY7" s="140">
        <v>0</v>
      </c>
      <c r="AZ7" s="140">
        <v>0</v>
      </c>
      <c r="BA7" s="140">
        <v>0</v>
      </c>
      <c r="BB7" s="140">
        <v>0</v>
      </c>
      <c r="BC7" s="140">
        <v>0</v>
      </c>
      <c r="BD7" s="140">
        <v>0</v>
      </c>
      <c r="BE7" s="140">
        <v>1</v>
      </c>
      <c r="BF7" s="140">
        <v>0</v>
      </c>
      <c r="BG7" s="140">
        <v>0</v>
      </c>
      <c r="BH7" s="140">
        <v>0</v>
      </c>
      <c r="BI7" s="140">
        <v>0</v>
      </c>
      <c r="BJ7" s="140">
        <v>0</v>
      </c>
      <c r="BK7" s="140">
        <v>0</v>
      </c>
      <c r="BL7" s="140">
        <v>0</v>
      </c>
      <c r="BM7" s="140">
        <v>0</v>
      </c>
      <c r="BN7" s="140">
        <v>0</v>
      </c>
      <c r="BO7" s="140">
        <v>0</v>
      </c>
      <c r="BX7" s="43">
        <v>12</v>
      </c>
      <c r="BY7" s="90">
        <f t="shared" si="0"/>
        <v>1</v>
      </c>
      <c r="CT7" s="90">
        <f t="shared" si="1"/>
        <v>0</v>
      </c>
      <c r="CU7" s="90">
        <f t="shared" si="2"/>
        <v>0</v>
      </c>
    </row>
    <row r="8" spans="1:99" ht="12" customHeight="1">
      <c r="A8" s="43">
        <v>955</v>
      </c>
      <c r="B8" s="89" t="s">
        <v>312</v>
      </c>
      <c r="C8" s="89" t="s">
        <v>337</v>
      </c>
      <c r="D8" s="89" t="s">
        <v>338</v>
      </c>
      <c r="F8" s="43">
        <v>527307</v>
      </c>
      <c r="G8" s="43">
        <v>175395</v>
      </c>
      <c r="H8" s="89" t="s">
        <v>174</v>
      </c>
      <c r="I8" s="125">
        <v>43728</v>
      </c>
      <c r="J8" s="117">
        <v>43780</v>
      </c>
      <c r="K8" s="140">
        <v>1</v>
      </c>
      <c r="L8" s="140">
        <v>1</v>
      </c>
      <c r="M8" s="140">
        <v>0</v>
      </c>
      <c r="N8" s="140">
        <v>2</v>
      </c>
      <c r="O8" s="140">
        <v>1</v>
      </c>
      <c r="Q8" s="89" t="s">
        <v>339</v>
      </c>
      <c r="R8" s="43" t="s">
        <v>316</v>
      </c>
      <c r="S8" s="125">
        <v>43690</v>
      </c>
      <c r="T8" s="117">
        <v>43727</v>
      </c>
      <c r="U8" s="43" t="s">
        <v>329</v>
      </c>
      <c r="V8" s="43" t="s">
        <v>317</v>
      </c>
      <c r="X8" s="43" t="s">
        <v>318</v>
      </c>
      <c r="Y8" s="43" t="s">
        <v>319</v>
      </c>
      <c r="Z8" s="43" t="s">
        <v>320</v>
      </c>
      <c r="AA8" s="43" t="s">
        <v>321</v>
      </c>
      <c r="AB8" s="144">
        <v>4.0000001899898104E-3</v>
      </c>
      <c r="AC8" s="125">
        <v>43728</v>
      </c>
      <c r="AD8" s="43" t="s">
        <v>329</v>
      </c>
      <c r="AE8" s="117">
        <v>43780</v>
      </c>
      <c r="AF8" s="43" t="s">
        <v>75</v>
      </c>
      <c r="AG8" s="43" t="s">
        <v>322</v>
      </c>
      <c r="AJ8" s="140">
        <v>0</v>
      </c>
      <c r="AK8" s="140">
        <v>0</v>
      </c>
      <c r="AL8" s="140">
        <v>0</v>
      </c>
      <c r="AM8" s="140">
        <v>0</v>
      </c>
      <c r="AN8" s="140">
        <v>0</v>
      </c>
      <c r="AO8" s="140">
        <v>1</v>
      </c>
      <c r="AP8" s="140">
        <v>0</v>
      </c>
      <c r="AQ8" s="140">
        <v>-1</v>
      </c>
      <c r="AR8" s="140">
        <v>0</v>
      </c>
      <c r="AS8" s="140">
        <v>0</v>
      </c>
      <c r="AT8" s="140">
        <v>0</v>
      </c>
      <c r="AU8" s="140">
        <v>0</v>
      </c>
      <c r="AV8" s="140">
        <v>1</v>
      </c>
      <c r="AW8" s="140">
        <v>0</v>
      </c>
      <c r="AX8" s="140">
        <v>0</v>
      </c>
      <c r="AY8" s="140">
        <v>0</v>
      </c>
      <c r="AZ8" s="140">
        <v>0</v>
      </c>
      <c r="BA8" s="140">
        <v>0</v>
      </c>
      <c r="BB8" s="140">
        <v>0</v>
      </c>
      <c r="BC8" s="140">
        <v>0</v>
      </c>
      <c r="BD8" s="140">
        <v>0</v>
      </c>
      <c r="BE8" s="140">
        <v>-1</v>
      </c>
      <c r="BF8" s="140">
        <v>0</v>
      </c>
      <c r="BG8" s="140">
        <v>0</v>
      </c>
      <c r="BH8" s="140">
        <v>0</v>
      </c>
      <c r="BI8" s="140">
        <v>0</v>
      </c>
      <c r="BJ8" s="140">
        <v>0</v>
      </c>
      <c r="BK8" s="140">
        <v>0</v>
      </c>
      <c r="BL8" s="140">
        <v>0</v>
      </c>
      <c r="BM8" s="140">
        <v>0</v>
      </c>
      <c r="BN8" s="140">
        <v>0</v>
      </c>
      <c r="BO8" s="140">
        <v>0</v>
      </c>
      <c r="BP8" s="43" t="s">
        <v>139</v>
      </c>
      <c r="BX8" s="43">
        <v>12</v>
      </c>
      <c r="BY8" s="90">
        <f t="shared" si="0"/>
        <v>0</v>
      </c>
      <c r="CT8" s="90">
        <f t="shared" si="1"/>
        <v>0</v>
      </c>
      <c r="CU8" s="90">
        <f t="shared" si="2"/>
        <v>0</v>
      </c>
    </row>
    <row r="9" spans="1:99" ht="12" customHeight="1">
      <c r="A9" s="43">
        <v>955</v>
      </c>
      <c r="B9" s="89" t="s">
        <v>312</v>
      </c>
      <c r="C9" s="89" t="s">
        <v>337</v>
      </c>
      <c r="D9" s="89" t="s">
        <v>338</v>
      </c>
      <c r="F9" s="43">
        <v>527307</v>
      </c>
      <c r="G9" s="43">
        <v>175395</v>
      </c>
      <c r="H9" s="89" t="s">
        <v>174</v>
      </c>
      <c r="I9" s="125">
        <v>43728</v>
      </c>
      <c r="J9" s="117">
        <v>43780</v>
      </c>
      <c r="K9" s="140">
        <v>0</v>
      </c>
      <c r="L9" s="140">
        <v>1</v>
      </c>
      <c r="M9" s="140">
        <v>1</v>
      </c>
      <c r="N9" s="140">
        <v>2</v>
      </c>
      <c r="O9" s="140">
        <v>1</v>
      </c>
      <c r="Q9" s="89" t="s">
        <v>339</v>
      </c>
      <c r="R9" s="43" t="s">
        <v>316</v>
      </c>
      <c r="S9" s="125">
        <v>43690</v>
      </c>
      <c r="T9" s="117">
        <v>43727</v>
      </c>
      <c r="U9" s="43" t="s">
        <v>329</v>
      </c>
      <c r="V9" s="43" t="s">
        <v>317</v>
      </c>
      <c r="X9" s="43" t="s">
        <v>318</v>
      </c>
      <c r="Y9" s="43" t="s">
        <v>319</v>
      </c>
      <c r="Z9" s="43" t="s">
        <v>320</v>
      </c>
      <c r="AA9" s="43" t="s">
        <v>340</v>
      </c>
      <c r="AB9" s="144">
        <v>1.4000000432133701E-2</v>
      </c>
      <c r="AC9" s="125">
        <v>43728</v>
      </c>
      <c r="AD9" s="43" t="s">
        <v>329</v>
      </c>
      <c r="AE9" s="117">
        <v>43780</v>
      </c>
      <c r="AF9" s="43" t="s">
        <v>75</v>
      </c>
      <c r="AG9" s="43" t="s">
        <v>322</v>
      </c>
      <c r="AJ9" s="140">
        <v>0</v>
      </c>
      <c r="AK9" s="140">
        <v>0</v>
      </c>
      <c r="AL9" s="140">
        <v>0</v>
      </c>
      <c r="AM9" s="140">
        <v>0</v>
      </c>
      <c r="AN9" s="140">
        <v>0</v>
      </c>
      <c r="AO9" s="140">
        <v>0</v>
      </c>
      <c r="AP9" s="140">
        <v>0</v>
      </c>
      <c r="AQ9" s="140">
        <v>1</v>
      </c>
      <c r="AR9" s="140">
        <v>0</v>
      </c>
      <c r="AS9" s="140">
        <v>0</v>
      </c>
      <c r="AT9" s="140">
        <v>0</v>
      </c>
      <c r="AU9" s="140">
        <v>0</v>
      </c>
      <c r="AV9" s="140">
        <v>0</v>
      </c>
      <c r="AW9" s="140">
        <v>0</v>
      </c>
      <c r="AX9" s="140">
        <v>1</v>
      </c>
      <c r="AY9" s="140">
        <v>0</v>
      </c>
      <c r="AZ9" s="140">
        <v>0</v>
      </c>
      <c r="BA9" s="140">
        <v>0</v>
      </c>
      <c r="BB9" s="140">
        <v>0</v>
      </c>
      <c r="BC9" s="140">
        <v>0</v>
      </c>
      <c r="BD9" s="140">
        <v>0</v>
      </c>
      <c r="BE9" s="140">
        <v>0</v>
      </c>
      <c r="BF9" s="140">
        <v>0</v>
      </c>
      <c r="BG9" s="140">
        <v>0</v>
      </c>
      <c r="BH9" s="140">
        <v>0</v>
      </c>
      <c r="BI9" s="140">
        <v>0</v>
      </c>
      <c r="BJ9" s="140">
        <v>0</v>
      </c>
      <c r="BK9" s="140">
        <v>0</v>
      </c>
      <c r="BL9" s="140">
        <v>0</v>
      </c>
      <c r="BM9" s="140">
        <v>0</v>
      </c>
      <c r="BN9" s="140">
        <v>0</v>
      </c>
      <c r="BO9" s="140">
        <v>0</v>
      </c>
      <c r="BP9" s="43" t="s">
        <v>139</v>
      </c>
      <c r="BX9" s="43">
        <v>12</v>
      </c>
      <c r="BY9" s="90">
        <f t="shared" si="0"/>
        <v>1</v>
      </c>
      <c r="CT9" s="90">
        <f t="shared" si="1"/>
        <v>0</v>
      </c>
      <c r="CU9" s="90">
        <f t="shared" si="2"/>
        <v>0</v>
      </c>
    </row>
    <row r="10" spans="1:99" ht="12" customHeight="1">
      <c r="A10" s="43">
        <v>1181</v>
      </c>
      <c r="B10" s="89" t="s">
        <v>312</v>
      </c>
      <c r="C10" s="89" t="s">
        <v>341</v>
      </c>
      <c r="D10" s="89" t="s">
        <v>342</v>
      </c>
      <c r="F10" s="43">
        <v>523800</v>
      </c>
      <c r="G10" s="43">
        <v>175079</v>
      </c>
      <c r="H10" s="89" t="s">
        <v>169</v>
      </c>
      <c r="I10" s="125">
        <v>43647</v>
      </c>
      <c r="J10" s="117">
        <v>43909</v>
      </c>
      <c r="K10" s="140">
        <v>0</v>
      </c>
      <c r="L10" s="140">
        <v>1</v>
      </c>
      <c r="M10" s="140">
        <v>1</v>
      </c>
      <c r="N10" s="140">
        <v>1</v>
      </c>
      <c r="O10" s="140">
        <v>1</v>
      </c>
      <c r="Q10" s="89" t="s">
        <v>343</v>
      </c>
      <c r="R10" s="43" t="s">
        <v>316</v>
      </c>
      <c r="S10" s="125">
        <v>43411</v>
      </c>
      <c r="T10" s="117">
        <v>43586</v>
      </c>
      <c r="U10" s="43" t="s">
        <v>329</v>
      </c>
      <c r="V10" s="43" t="s">
        <v>317</v>
      </c>
      <c r="X10" s="43" t="s">
        <v>318</v>
      </c>
      <c r="Y10" s="43" t="s">
        <v>336</v>
      </c>
      <c r="Z10" s="43" t="s">
        <v>320</v>
      </c>
      <c r="AA10" s="43" t="s">
        <v>30</v>
      </c>
      <c r="AB10" s="144">
        <v>4.9999998882412902E-3</v>
      </c>
      <c r="AC10" s="125">
        <v>43647</v>
      </c>
      <c r="AD10" s="43" t="s">
        <v>329</v>
      </c>
      <c r="AE10" s="117">
        <v>43909</v>
      </c>
      <c r="AF10" s="43" t="s">
        <v>75</v>
      </c>
      <c r="AG10" s="43" t="s">
        <v>322</v>
      </c>
      <c r="AJ10" s="140">
        <v>0</v>
      </c>
      <c r="AK10" s="140">
        <v>0</v>
      </c>
      <c r="AL10" s="140">
        <v>0</v>
      </c>
      <c r="AM10" s="140">
        <v>0</v>
      </c>
      <c r="AN10" s="140">
        <v>0</v>
      </c>
      <c r="AO10" s="140">
        <v>1</v>
      </c>
      <c r="AP10" s="140">
        <v>0</v>
      </c>
      <c r="AQ10" s="140">
        <v>0</v>
      </c>
      <c r="AR10" s="140">
        <v>0</v>
      </c>
      <c r="AS10" s="140">
        <v>0</v>
      </c>
      <c r="AT10" s="140">
        <v>0</v>
      </c>
      <c r="AU10" s="140">
        <v>0</v>
      </c>
      <c r="AV10" s="140">
        <v>1</v>
      </c>
      <c r="AW10" s="140">
        <v>0</v>
      </c>
      <c r="AX10" s="140">
        <v>0</v>
      </c>
      <c r="AY10" s="140">
        <v>0</v>
      </c>
      <c r="AZ10" s="140">
        <v>0</v>
      </c>
      <c r="BA10" s="140">
        <v>0</v>
      </c>
      <c r="BB10" s="140">
        <v>0</v>
      </c>
      <c r="BC10" s="140">
        <v>0</v>
      </c>
      <c r="BD10" s="140">
        <v>0</v>
      </c>
      <c r="BE10" s="140">
        <v>0</v>
      </c>
      <c r="BF10" s="140">
        <v>0</v>
      </c>
      <c r="BG10" s="140">
        <v>0</v>
      </c>
      <c r="BH10" s="140">
        <v>0</v>
      </c>
      <c r="BI10" s="140">
        <v>0</v>
      </c>
      <c r="BJ10" s="140">
        <v>0</v>
      </c>
      <c r="BK10" s="140">
        <v>0</v>
      </c>
      <c r="BL10" s="140">
        <v>0</v>
      </c>
      <c r="BM10" s="140">
        <v>0</v>
      </c>
      <c r="BN10" s="140">
        <v>0</v>
      </c>
      <c r="BO10" s="140">
        <v>0</v>
      </c>
      <c r="BP10" s="43" t="s">
        <v>140</v>
      </c>
      <c r="BX10" s="43">
        <v>12</v>
      </c>
      <c r="BY10" s="90">
        <f t="shared" si="0"/>
        <v>1</v>
      </c>
      <c r="CT10" s="90">
        <f t="shared" si="1"/>
        <v>0</v>
      </c>
      <c r="CU10" s="90">
        <f t="shared" si="2"/>
        <v>0</v>
      </c>
    </row>
    <row r="11" spans="1:99" ht="12" customHeight="1">
      <c r="A11" s="43">
        <v>1364</v>
      </c>
      <c r="B11" s="89" t="s">
        <v>312</v>
      </c>
      <c r="C11" s="89" t="s">
        <v>344</v>
      </c>
      <c r="D11" s="89" t="s">
        <v>345</v>
      </c>
      <c r="E11" s="89" t="s">
        <v>346</v>
      </c>
      <c r="F11" s="43">
        <v>527233</v>
      </c>
      <c r="G11" s="43">
        <v>171332</v>
      </c>
      <c r="H11" s="89" t="s">
        <v>141</v>
      </c>
      <c r="I11" s="125">
        <v>43735</v>
      </c>
      <c r="J11" s="117">
        <v>43921</v>
      </c>
      <c r="K11" s="140">
        <v>1</v>
      </c>
      <c r="L11" s="140">
        <v>1</v>
      </c>
      <c r="M11" s="140">
        <v>0</v>
      </c>
      <c r="N11" s="140">
        <v>2</v>
      </c>
      <c r="O11" s="140">
        <v>1</v>
      </c>
      <c r="Q11" s="89" t="s">
        <v>347</v>
      </c>
      <c r="R11" s="43" t="s">
        <v>316</v>
      </c>
      <c r="S11" s="125">
        <v>43389</v>
      </c>
      <c r="T11" s="117">
        <v>43445</v>
      </c>
      <c r="V11" s="43" t="s">
        <v>317</v>
      </c>
      <c r="X11" s="43" t="s">
        <v>318</v>
      </c>
      <c r="Y11" s="43" t="s">
        <v>348</v>
      </c>
      <c r="Z11" s="43" t="s">
        <v>320</v>
      </c>
      <c r="AA11" s="43" t="s">
        <v>321</v>
      </c>
      <c r="AB11" s="144">
        <v>3.0000000260770299E-3</v>
      </c>
      <c r="AC11" s="125">
        <v>43735</v>
      </c>
      <c r="AD11" s="43" t="s">
        <v>329</v>
      </c>
      <c r="AE11" s="117">
        <v>43921</v>
      </c>
      <c r="AF11" s="43" t="s">
        <v>75</v>
      </c>
      <c r="AG11" s="43" t="s">
        <v>322</v>
      </c>
      <c r="AJ11" s="140">
        <v>0</v>
      </c>
      <c r="AK11" s="140">
        <v>0</v>
      </c>
      <c r="AL11" s="140">
        <v>0</v>
      </c>
      <c r="AM11" s="140">
        <v>0</v>
      </c>
      <c r="AN11" s="140">
        <v>0</v>
      </c>
      <c r="AO11" s="140">
        <v>1</v>
      </c>
      <c r="AP11" s="140">
        <v>-1</v>
      </c>
      <c r="AQ11" s="140">
        <v>0</v>
      </c>
      <c r="AR11" s="140">
        <v>0</v>
      </c>
      <c r="AS11" s="140">
        <v>0</v>
      </c>
      <c r="AT11" s="140">
        <v>0</v>
      </c>
      <c r="AU11" s="140">
        <v>0</v>
      </c>
      <c r="AV11" s="140">
        <v>1</v>
      </c>
      <c r="AW11" s="140">
        <v>-1</v>
      </c>
      <c r="AX11" s="140">
        <v>0</v>
      </c>
      <c r="AY11" s="140">
        <v>0</v>
      </c>
      <c r="AZ11" s="140">
        <v>0</v>
      </c>
      <c r="BA11" s="140">
        <v>0</v>
      </c>
      <c r="BB11" s="140">
        <v>0</v>
      </c>
      <c r="BC11" s="140">
        <v>0</v>
      </c>
      <c r="BD11" s="140">
        <v>0</v>
      </c>
      <c r="BE11" s="140">
        <v>0</v>
      </c>
      <c r="BF11" s="140">
        <v>0</v>
      </c>
      <c r="BG11" s="140">
        <v>0</v>
      </c>
      <c r="BH11" s="140">
        <v>0</v>
      </c>
      <c r="BI11" s="140">
        <v>0</v>
      </c>
      <c r="BJ11" s="140">
        <v>0</v>
      </c>
      <c r="BK11" s="140">
        <v>0</v>
      </c>
      <c r="BL11" s="140">
        <v>0</v>
      </c>
      <c r="BM11" s="140">
        <v>0</v>
      </c>
      <c r="BN11" s="140">
        <v>0</v>
      </c>
      <c r="BO11" s="140">
        <v>0</v>
      </c>
      <c r="BX11" s="43">
        <v>12</v>
      </c>
      <c r="BY11" s="90">
        <f t="shared" si="0"/>
        <v>0</v>
      </c>
      <c r="CT11" s="90">
        <f t="shared" si="1"/>
        <v>0</v>
      </c>
      <c r="CU11" s="90">
        <f t="shared" si="2"/>
        <v>0</v>
      </c>
    </row>
    <row r="12" spans="1:99" ht="12" customHeight="1">
      <c r="A12" s="43">
        <v>1364</v>
      </c>
      <c r="B12" s="89" t="s">
        <v>312</v>
      </c>
      <c r="C12" s="89" t="s">
        <v>344</v>
      </c>
      <c r="D12" s="89" t="s">
        <v>345</v>
      </c>
      <c r="E12" s="89" t="s">
        <v>349</v>
      </c>
      <c r="F12" s="43">
        <v>527233</v>
      </c>
      <c r="G12" s="43">
        <v>171332</v>
      </c>
      <c r="H12" s="89" t="s">
        <v>141</v>
      </c>
      <c r="I12" s="125">
        <v>43735</v>
      </c>
      <c r="J12" s="117">
        <v>43921</v>
      </c>
      <c r="K12" s="140">
        <v>0</v>
      </c>
      <c r="L12" s="140">
        <v>1</v>
      </c>
      <c r="M12" s="140">
        <v>1</v>
      </c>
      <c r="N12" s="140">
        <v>2</v>
      </c>
      <c r="O12" s="140">
        <v>1</v>
      </c>
      <c r="Q12" s="89" t="s">
        <v>347</v>
      </c>
      <c r="R12" s="43" t="s">
        <v>316</v>
      </c>
      <c r="S12" s="125">
        <v>43389</v>
      </c>
      <c r="T12" s="117">
        <v>43445</v>
      </c>
      <c r="V12" s="43" t="s">
        <v>317</v>
      </c>
      <c r="X12" s="43" t="s">
        <v>318</v>
      </c>
      <c r="Y12" s="43" t="s">
        <v>348</v>
      </c>
      <c r="Z12" s="43" t="s">
        <v>320</v>
      </c>
      <c r="AA12" s="43" t="s">
        <v>340</v>
      </c>
      <c r="AB12" s="144">
        <v>2.0000000949949E-3</v>
      </c>
      <c r="AC12" s="125">
        <v>43735</v>
      </c>
      <c r="AD12" s="43" t="s">
        <v>329</v>
      </c>
      <c r="AE12" s="117">
        <v>43921</v>
      </c>
      <c r="AF12" s="43" t="s">
        <v>75</v>
      </c>
      <c r="AG12" s="43" t="s">
        <v>322</v>
      </c>
      <c r="AJ12" s="140">
        <v>0</v>
      </c>
      <c r="AK12" s="140">
        <v>0</v>
      </c>
      <c r="AL12" s="140">
        <v>0</v>
      </c>
      <c r="AM12" s="140">
        <v>0</v>
      </c>
      <c r="AN12" s="140">
        <v>0</v>
      </c>
      <c r="AO12" s="140">
        <v>1</v>
      </c>
      <c r="AP12" s="140">
        <v>0</v>
      </c>
      <c r="AQ12" s="140">
        <v>0</v>
      </c>
      <c r="AR12" s="140">
        <v>0</v>
      </c>
      <c r="AS12" s="140">
        <v>0</v>
      </c>
      <c r="AT12" s="140">
        <v>0</v>
      </c>
      <c r="AU12" s="140">
        <v>0</v>
      </c>
      <c r="AV12" s="140">
        <v>1</v>
      </c>
      <c r="AW12" s="140">
        <v>0</v>
      </c>
      <c r="AX12" s="140">
        <v>0</v>
      </c>
      <c r="AY12" s="140">
        <v>0</v>
      </c>
      <c r="AZ12" s="140">
        <v>0</v>
      </c>
      <c r="BA12" s="140">
        <v>0</v>
      </c>
      <c r="BB12" s="140">
        <v>0</v>
      </c>
      <c r="BC12" s="140">
        <v>0</v>
      </c>
      <c r="BD12" s="140">
        <v>0</v>
      </c>
      <c r="BE12" s="140">
        <v>0</v>
      </c>
      <c r="BF12" s="140">
        <v>0</v>
      </c>
      <c r="BG12" s="140">
        <v>0</v>
      </c>
      <c r="BH12" s="140">
        <v>0</v>
      </c>
      <c r="BI12" s="140">
        <v>0</v>
      </c>
      <c r="BJ12" s="140">
        <v>0</v>
      </c>
      <c r="BK12" s="140">
        <v>0</v>
      </c>
      <c r="BL12" s="140">
        <v>0</v>
      </c>
      <c r="BM12" s="140">
        <v>0</v>
      </c>
      <c r="BN12" s="140">
        <v>0</v>
      </c>
      <c r="BO12" s="140">
        <v>0</v>
      </c>
      <c r="BX12" s="43">
        <v>12</v>
      </c>
      <c r="BY12" s="90">
        <f t="shared" si="0"/>
        <v>1</v>
      </c>
      <c r="CT12" s="90">
        <f t="shared" si="1"/>
        <v>0</v>
      </c>
      <c r="CU12" s="90">
        <f t="shared" si="2"/>
        <v>0</v>
      </c>
    </row>
    <row r="13" spans="1:99" ht="12" customHeight="1">
      <c r="A13" s="43">
        <v>1576</v>
      </c>
      <c r="B13" s="89" t="s">
        <v>312</v>
      </c>
      <c r="C13" s="89" t="s">
        <v>350</v>
      </c>
      <c r="D13" s="89" t="s">
        <v>351</v>
      </c>
      <c r="F13" s="43">
        <v>528559</v>
      </c>
      <c r="G13" s="43">
        <v>174195</v>
      </c>
      <c r="H13" s="89" t="s">
        <v>138</v>
      </c>
      <c r="I13" s="125">
        <v>42825</v>
      </c>
      <c r="J13" s="117">
        <v>43921</v>
      </c>
      <c r="K13" s="140">
        <v>1</v>
      </c>
      <c r="L13" s="140">
        <v>2</v>
      </c>
      <c r="M13" s="140">
        <v>1</v>
      </c>
      <c r="N13" s="140">
        <v>3</v>
      </c>
      <c r="O13" s="140">
        <v>2</v>
      </c>
      <c r="Q13" s="89" t="s">
        <v>352</v>
      </c>
      <c r="R13" s="43" t="s">
        <v>316</v>
      </c>
      <c r="S13" s="125">
        <v>42020</v>
      </c>
      <c r="T13" s="117">
        <v>42115</v>
      </c>
      <c r="V13" s="43" t="s">
        <v>317</v>
      </c>
      <c r="X13" s="43" t="s">
        <v>318</v>
      </c>
      <c r="Y13" s="43" t="s">
        <v>319</v>
      </c>
      <c r="Z13" s="43" t="s">
        <v>320</v>
      </c>
      <c r="AA13" s="43" t="s">
        <v>321</v>
      </c>
      <c r="AB13" s="144">
        <v>8.0000003799796104E-3</v>
      </c>
      <c r="AC13" s="125">
        <v>42825</v>
      </c>
      <c r="AE13" s="117">
        <v>43921</v>
      </c>
      <c r="AF13" s="43" t="s">
        <v>75</v>
      </c>
      <c r="AG13" s="43" t="s">
        <v>322</v>
      </c>
      <c r="AJ13" s="140">
        <v>0</v>
      </c>
      <c r="AK13" s="140">
        <v>0</v>
      </c>
      <c r="AL13" s="140">
        <v>0</v>
      </c>
      <c r="AM13" s="140">
        <v>0</v>
      </c>
      <c r="AN13" s="140">
        <v>0</v>
      </c>
      <c r="AO13" s="140">
        <v>1</v>
      </c>
      <c r="AP13" s="140">
        <v>1</v>
      </c>
      <c r="AQ13" s="140">
        <v>0</v>
      </c>
      <c r="AR13" s="140">
        <v>-1</v>
      </c>
      <c r="AS13" s="140">
        <v>0</v>
      </c>
      <c r="AT13" s="140">
        <v>0</v>
      </c>
      <c r="AU13" s="140">
        <v>0</v>
      </c>
      <c r="AV13" s="140">
        <v>1</v>
      </c>
      <c r="AW13" s="140">
        <v>1</v>
      </c>
      <c r="AX13" s="140">
        <v>0</v>
      </c>
      <c r="AY13" s="140">
        <v>-1</v>
      </c>
      <c r="AZ13" s="140">
        <v>0</v>
      </c>
      <c r="BA13" s="140">
        <v>0</v>
      </c>
      <c r="BB13" s="140">
        <v>0</v>
      </c>
      <c r="BC13" s="140">
        <v>0</v>
      </c>
      <c r="BD13" s="140">
        <v>0</v>
      </c>
      <c r="BE13" s="140">
        <v>0</v>
      </c>
      <c r="BF13" s="140">
        <v>0</v>
      </c>
      <c r="BG13" s="140">
        <v>0</v>
      </c>
      <c r="BH13" s="140">
        <v>0</v>
      </c>
      <c r="BI13" s="140">
        <v>0</v>
      </c>
      <c r="BJ13" s="140">
        <v>0</v>
      </c>
      <c r="BK13" s="140">
        <v>0</v>
      </c>
      <c r="BL13" s="140">
        <v>0</v>
      </c>
      <c r="BM13" s="140">
        <v>0</v>
      </c>
      <c r="BN13" s="140">
        <v>0</v>
      </c>
      <c r="BO13" s="140">
        <v>0</v>
      </c>
      <c r="BX13" s="43">
        <v>12</v>
      </c>
      <c r="BY13" s="90">
        <f t="shared" si="0"/>
        <v>1</v>
      </c>
      <c r="CT13" s="90">
        <f t="shared" si="1"/>
        <v>0</v>
      </c>
      <c r="CU13" s="90">
        <f t="shared" si="2"/>
        <v>0</v>
      </c>
    </row>
    <row r="14" spans="1:99" ht="12" customHeight="1">
      <c r="A14" s="43">
        <v>1576</v>
      </c>
      <c r="B14" s="89" t="s">
        <v>312</v>
      </c>
      <c r="C14" s="89" t="s">
        <v>350</v>
      </c>
      <c r="D14" s="89" t="s">
        <v>351</v>
      </c>
      <c r="F14" s="43">
        <v>528559</v>
      </c>
      <c r="G14" s="43">
        <v>174195</v>
      </c>
      <c r="H14" s="89" t="s">
        <v>138</v>
      </c>
      <c r="I14" s="125">
        <v>42825</v>
      </c>
      <c r="J14" s="117">
        <v>43921</v>
      </c>
      <c r="K14" s="140">
        <v>0</v>
      </c>
      <c r="L14" s="140">
        <v>1</v>
      </c>
      <c r="M14" s="140">
        <v>1</v>
      </c>
      <c r="N14" s="140">
        <v>3</v>
      </c>
      <c r="O14" s="140">
        <v>2</v>
      </c>
      <c r="Q14" s="89" t="s">
        <v>352</v>
      </c>
      <c r="R14" s="43" t="s">
        <v>316</v>
      </c>
      <c r="S14" s="125">
        <v>42020</v>
      </c>
      <c r="T14" s="117">
        <v>42115</v>
      </c>
      <c r="V14" s="43" t="s">
        <v>317</v>
      </c>
      <c r="X14" s="43" t="s">
        <v>318</v>
      </c>
      <c r="Y14" s="43" t="s">
        <v>319</v>
      </c>
      <c r="Z14" s="43" t="s">
        <v>320</v>
      </c>
      <c r="AA14" s="43" t="s">
        <v>353</v>
      </c>
      <c r="AB14" s="144">
        <v>8.0000003799796104E-3</v>
      </c>
      <c r="AC14" s="125">
        <v>42825</v>
      </c>
      <c r="AE14" s="117">
        <v>43921</v>
      </c>
      <c r="AF14" s="43" t="s">
        <v>75</v>
      </c>
      <c r="AG14" s="43" t="s">
        <v>322</v>
      </c>
      <c r="AJ14" s="140">
        <v>0</v>
      </c>
      <c r="AK14" s="140">
        <v>0</v>
      </c>
      <c r="AL14" s="140">
        <v>0</v>
      </c>
      <c r="AM14" s="140">
        <v>0</v>
      </c>
      <c r="AN14" s="140">
        <v>0</v>
      </c>
      <c r="AO14" s="140">
        <v>0</v>
      </c>
      <c r="AP14" s="140">
        <v>0</v>
      </c>
      <c r="AQ14" s="140">
        <v>1</v>
      </c>
      <c r="AR14" s="140">
        <v>0</v>
      </c>
      <c r="AS14" s="140">
        <v>0</v>
      </c>
      <c r="AT14" s="140">
        <v>0</v>
      </c>
      <c r="AU14" s="140">
        <v>0</v>
      </c>
      <c r="AV14" s="140">
        <v>0</v>
      </c>
      <c r="AW14" s="140">
        <v>0</v>
      </c>
      <c r="AX14" s="140">
        <v>1</v>
      </c>
      <c r="AY14" s="140">
        <v>0</v>
      </c>
      <c r="AZ14" s="140">
        <v>0</v>
      </c>
      <c r="BA14" s="140">
        <v>0</v>
      </c>
      <c r="BB14" s="140">
        <v>0</v>
      </c>
      <c r="BC14" s="140">
        <v>0</v>
      </c>
      <c r="BD14" s="140">
        <v>0</v>
      </c>
      <c r="BE14" s="140">
        <v>0</v>
      </c>
      <c r="BF14" s="140">
        <v>0</v>
      </c>
      <c r="BG14" s="140">
        <v>0</v>
      </c>
      <c r="BH14" s="140">
        <v>0</v>
      </c>
      <c r="BI14" s="140">
        <v>0</v>
      </c>
      <c r="BJ14" s="140">
        <v>0</v>
      </c>
      <c r="BK14" s="140">
        <v>0</v>
      </c>
      <c r="BL14" s="140">
        <v>0</v>
      </c>
      <c r="BM14" s="140">
        <v>0</v>
      </c>
      <c r="BN14" s="140">
        <v>0</v>
      </c>
      <c r="BO14" s="140">
        <v>0</v>
      </c>
      <c r="BX14" s="43">
        <v>12</v>
      </c>
      <c r="BY14" s="90">
        <f t="shared" si="0"/>
        <v>1</v>
      </c>
      <c r="CT14" s="90">
        <f t="shared" si="1"/>
        <v>0</v>
      </c>
      <c r="CU14" s="90">
        <f t="shared" si="2"/>
        <v>0</v>
      </c>
    </row>
    <row r="15" spans="1:99" ht="12" customHeight="1">
      <c r="A15" s="43">
        <v>1642</v>
      </c>
      <c r="B15" s="89" t="s">
        <v>312</v>
      </c>
      <c r="C15" s="89" t="s">
        <v>354</v>
      </c>
      <c r="D15" s="89" t="s">
        <v>355</v>
      </c>
      <c r="F15" s="43">
        <v>529269</v>
      </c>
      <c r="G15" s="43">
        <v>171759</v>
      </c>
      <c r="H15" s="89" t="s">
        <v>171</v>
      </c>
      <c r="I15" s="125">
        <v>42411</v>
      </c>
      <c r="J15" s="117">
        <v>43921</v>
      </c>
      <c r="K15" s="140">
        <v>0</v>
      </c>
      <c r="L15" s="140">
        <v>2</v>
      </c>
      <c r="M15" s="140">
        <v>2</v>
      </c>
      <c r="N15" s="140">
        <v>2</v>
      </c>
      <c r="O15" s="140">
        <v>2</v>
      </c>
      <c r="Q15" s="89" t="s">
        <v>356</v>
      </c>
      <c r="R15" s="43" t="s">
        <v>316</v>
      </c>
      <c r="S15" s="125">
        <v>41250</v>
      </c>
      <c r="T15" s="117">
        <v>41353</v>
      </c>
      <c r="V15" s="43" t="s">
        <v>317</v>
      </c>
      <c r="X15" s="43" t="s">
        <v>318</v>
      </c>
      <c r="Y15" s="43" t="s">
        <v>319</v>
      </c>
      <c r="Z15" s="43" t="s">
        <v>320</v>
      </c>
      <c r="AA15" s="43" t="s">
        <v>353</v>
      </c>
      <c r="AB15" s="144">
        <v>7.8000001609325395E-2</v>
      </c>
      <c r="AC15" s="125">
        <v>42411</v>
      </c>
      <c r="AE15" s="117">
        <v>43921</v>
      </c>
      <c r="AF15" s="43" t="s">
        <v>75</v>
      </c>
      <c r="AG15" s="43" t="s">
        <v>322</v>
      </c>
      <c r="AJ15" s="140">
        <v>0</v>
      </c>
      <c r="AK15" s="140">
        <v>0</v>
      </c>
      <c r="AL15" s="140">
        <v>0</v>
      </c>
      <c r="AM15" s="140">
        <v>0</v>
      </c>
      <c r="AN15" s="140">
        <v>0</v>
      </c>
      <c r="AO15" s="140">
        <v>0</v>
      </c>
      <c r="AP15" s="140">
        <v>1</v>
      </c>
      <c r="AQ15" s="140">
        <v>1</v>
      </c>
      <c r="AR15" s="140">
        <v>0</v>
      </c>
      <c r="AS15" s="140">
        <v>0</v>
      </c>
      <c r="AT15" s="140">
        <v>0</v>
      </c>
      <c r="AU15" s="140">
        <v>0</v>
      </c>
      <c r="AV15" s="140">
        <v>0</v>
      </c>
      <c r="AW15" s="140">
        <v>1</v>
      </c>
      <c r="AX15" s="140">
        <v>0</v>
      </c>
      <c r="AY15" s="140">
        <v>0</v>
      </c>
      <c r="AZ15" s="140">
        <v>0</v>
      </c>
      <c r="BA15" s="140">
        <v>0</v>
      </c>
      <c r="BB15" s="140">
        <v>0</v>
      </c>
      <c r="BC15" s="140">
        <v>0</v>
      </c>
      <c r="BD15" s="140">
        <v>0</v>
      </c>
      <c r="BE15" s="140">
        <v>0</v>
      </c>
      <c r="BF15" s="140">
        <v>0</v>
      </c>
      <c r="BG15" s="140">
        <v>0</v>
      </c>
      <c r="BH15" s="140">
        <v>0</v>
      </c>
      <c r="BI15" s="140">
        <v>0</v>
      </c>
      <c r="BJ15" s="140">
        <v>0</v>
      </c>
      <c r="BK15" s="140">
        <v>0</v>
      </c>
      <c r="BL15" s="140">
        <v>1</v>
      </c>
      <c r="BM15" s="140">
        <v>0</v>
      </c>
      <c r="BN15" s="140">
        <v>0</v>
      </c>
      <c r="BO15" s="140">
        <v>0</v>
      </c>
      <c r="BX15" s="43">
        <v>12</v>
      </c>
      <c r="BY15" s="90">
        <f t="shared" si="0"/>
        <v>2</v>
      </c>
      <c r="CT15" s="90">
        <f t="shared" si="1"/>
        <v>0</v>
      </c>
      <c r="CU15" s="90">
        <f t="shared" si="2"/>
        <v>0</v>
      </c>
    </row>
    <row r="16" spans="1:99" ht="12" customHeight="1">
      <c r="A16" s="43">
        <v>1867</v>
      </c>
      <c r="B16" s="89" t="s">
        <v>312</v>
      </c>
      <c r="C16" s="89" t="s">
        <v>357</v>
      </c>
      <c r="D16" s="89" t="s">
        <v>358</v>
      </c>
      <c r="F16" s="43">
        <v>526162</v>
      </c>
      <c r="G16" s="43">
        <v>172667</v>
      </c>
      <c r="H16" s="89" t="s">
        <v>168</v>
      </c>
      <c r="I16" s="125">
        <v>43636</v>
      </c>
      <c r="J16" s="117">
        <v>43818</v>
      </c>
      <c r="K16" s="140">
        <v>0</v>
      </c>
      <c r="L16" s="140">
        <v>5</v>
      </c>
      <c r="M16" s="140">
        <v>5</v>
      </c>
      <c r="N16" s="140">
        <v>5</v>
      </c>
      <c r="O16" s="140">
        <v>5</v>
      </c>
      <c r="Q16" s="89" t="s">
        <v>359</v>
      </c>
      <c r="R16" s="43" t="s">
        <v>360</v>
      </c>
      <c r="S16" s="125">
        <v>43564</v>
      </c>
      <c r="T16" s="117">
        <v>43619</v>
      </c>
      <c r="U16" s="43" t="s">
        <v>329</v>
      </c>
      <c r="V16" s="43" t="s">
        <v>317</v>
      </c>
      <c r="X16" s="43" t="s">
        <v>318</v>
      </c>
      <c r="Y16" s="43" t="s">
        <v>361</v>
      </c>
      <c r="Z16" s="43" t="s">
        <v>320</v>
      </c>
      <c r="AA16" s="43" t="s">
        <v>353</v>
      </c>
      <c r="AB16" s="144">
        <v>2.9999999329447701E-2</v>
      </c>
      <c r="AC16" s="125">
        <v>43636</v>
      </c>
      <c r="AD16" s="43" t="s">
        <v>329</v>
      </c>
      <c r="AE16" s="117">
        <v>43818</v>
      </c>
      <c r="AF16" s="43" t="s">
        <v>75</v>
      </c>
      <c r="AG16" s="43" t="s">
        <v>322</v>
      </c>
      <c r="AJ16" s="140">
        <v>0</v>
      </c>
      <c r="AK16" s="140">
        <v>0</v>
      </c>
      <c r="AL16" s="140">
        <v>0</v>
      </c>
      <c r="AM16" s="140">
        <v>0</v>
      </c>
      <c r="AN16" s="140">
        <v>0</v>
      </c>
      <c r="AO16" s="140">
        <v>1</v>
      </c>
      <c r="AP16" s="140">
        <v>2</v>
      </c>
      <c r="AQ16" s="140">
        <v>2</v>
      </c>
      <c r="AR16" s="140">
        <v>0</v>
      </c>
      <c r="AS16" s="140">
        <v>0</v>
      </c>
      <c r="AT16" s="140">
        <v>0</v>
      </c>
      <c r="AU16" s="140">
        <v>0</v>
      </c>
      <c r="AV16" s="140">
        <v>1</v>
      </c>
      <c r="AW16" s="140">
        <v>1</v>
      </c>
      <c r="AX16" s="140">
        <v>0</v>
      </c>
      <c r="AY16" s="140">
        <v>0</v>
      </c>
      <c r="AZ16" s="140">
        <v>0</v>
      </c>
      <c r="BA16" s="140">
        <v>0</v>
      </c>
      <c r="BB16" s="140">
        <v>0</v>
      </c>
      <c r="BC16" s="140">
        <v>0</v>
      </c>
      <c r="BD16" s="140">
        <v>1</v>
      </c>
      <c r="BE16" s="140">
        <v>2</v>
      </c>
      <c r="BF16" s="140">
        <v>0</v>
      </c>
      <c r="BG16" s="140">
        <v>0</v>
      </c>
      <c r="BH16" s="140">
        <v>0</v>
      </c>
      <c r="BI16" s="140">
        <v>0</v>
      </c>
      <c r="BJ16" s="140">
        <v>0</v>
      </c>
      <c r="BK16" s="140">
        <v>0</v>
      </c>
      <c r="BL16" s="140">
        <v>0</v>
      </c>
      <c r="BM16" s="140">
        <v>0</v>
      </c>
      <c r="BN16" s="140">
        <v>0</v>
      </c>
      <c r="BO16" s="140">
        <v>0</v>
      </c>
      <c r="BX16" s="43">
        <v>1</v>
      </c>
      <c r="BY16" s="90">
        <f t="shared" si="0"/>
        <v>5</v>
      </c>
      <c r="CT16" s="90">
        <f t="shared" si="1"/>
        <v>0</v>
      </c>
      <c r="CU16" s="90">
        <f t="shared" si="2"/>
        <v>0</v>
      </c>
    </row>
    <row r="17" spans="1:99" ht="12" customHeight="1">
      <c r="A17" s="43">
        <v>1950</v>
      </c>
      <c r="B17" s="89" t="s">
        <v>312</v>
      </c>
      <c r="C17" s="89" t="s">
        <v>362</v>
      </c>
      <c r="D17" s="89" t="s">
        <v>363</v>
      </c>
      <c r="F17" s="43">
        <v>527686</v>
      </c>
      <c r="G17" s="43">
        <v>175796</v>
      </c>
      <c r="H17" s="89" t="s">
        <v>175</v>
      </c>
      <c r="I17" s="125">
        <v>43619</v>
      </c>
      <c r="J17" s="117">
        <v>43774</v>
      </c>
      <c r="K17" s="140">
        <v>0</v>
      </c>
      <c r="L17" s="140">
        <v>1</v>
      </c>
      <c r="M17" s="140">
        <v>1</v>
      </c>
      <c r="N17" s="140">
        <v>1</v>
      </c>
      <c r="O17" s="140">
        <v>1</v>
      </c>
      <c r="Q17" s="89" t="s">
        <v>364</v>
      </c>
      <c r="R17" s="43" t="s">
        <v>316</v>
      </c>
      <c r="S17" s="125">
        <v>42678</v>
      </c>
      <c r="T17" s="117">
        <v>42759</v>
      </c>
      <c r="V17" s="43" t="s">
        <v>317</v>
      </c>
      <c r="X17" s="43" t="s">
        <v>318</v>
      </c>
      <c r="Y17" s="43" t="s">
        <v>319</v>
      </c>
      <c r="Z17" s="43" t="s">
        <v>320</v>
      </c>
      <c r="AA17" s="43" t="s">
        <v>353</v>
      </c>
      <c r="AB17" s="144">
        <v>8.0000003799796104E-3</v>
      </c>
      <c r="AC17" s="125">
        <v>43619</v>
      </c>
      <c r="AD17" s="43" t="s">
        <v>329</v>
      </c>
      <c r="AE17" s="117">
        <v>43774</v>
      </c>
      <c r="AF17" s="43" t="s">
        <v>75</v>
      </c>
      <c r="AG17" s="43" t="s">
        <v>322</v>
      </c>
      <c r="AJ17" s="140">
        <v>0</v>
      </c>
      <c r="AK17" s="140">
        <v>0</v>
      </c>
      <c r="AL17" s="140">
        <v>0</v>
      </c>
      <c r="AM17" s="140">
        <v>0</v>
      </c>
      <c r="AN17" s="140">
        <v>0</v>
      </c>
      <c r="AO17" s="140">
        <v>1</v>
      </c>
      <c r="AP17" s="140">
        <v>0</v>
      </c>
      <c r="AQ17" s="140">
        <v>0</v>
      </c>
      <c r="AR17" s="140">
        <v>0</v>
      </c>
      <c r="AS17" s="140">
        <v>0</v>
      </c>
      <c r="AT17" s="140">
        <v>0</v>
      </c>
      <c r="AU17" s="140">
        <v>0</v>
      </c>
      <c r="AV17" s="140">
        <v>1</v>
      </c>
      <c r="AW17" s="140">
        <v>0</v>
      </c>
      <c r="AX17" s="140">
        <v>0</v>
      </c>
      <c r="AY17" s="140">
        <v>0</v>
      </c>
      <c r="AZ17" s="140">
        <v>0</v>
      </c>
      <c r="BA17" s="140">
        <v>0</v>
      </c>
      <c r="BB17" s="140">
        <v>0</v>
      </c>
      <c r="BC17" s="140">
        <v>0</v>
      </c>
      <c r="BD17" s="140">
        <v>0</v>
      </c>
      <c r="BE17" s="140">
        <v>0</v>
      </c>
      <c r="BF17" s="140">
        <v>0</v>
      </c>
      <c r="BG17" s="140">
        <v>0</v>
      </c>
      <c r="BH17" s="140">
        <v>0</v>
      </c>
      <c r="BI17" s="140">
        <v>0</v>
      </c>
      <c r="BJ17" s="140">
        <v>0</v>
      </c>
      <c r="BK17" s="140">
        <v>0</v>
      </c>
      <c r="BL17" s="140">
        <v>0</v>
      </c>
      <c r="BM17" s="140">
        <v>0</v>
      </c>
      <c r="BN17" s="140">
        <v>0</v>
      </c>
      <c r="BO17" s="140">
        <v>0</v>
      </c>
      <c r="BX17" s="43">
        <v>12</v>
      </c>
      <c r="BY17" s="90">
        <f t="shared" si="0"/>
        <v>1</v>
      </c>
      <c r="CT17" s="90">
        <f t="shared" si="1"/>
        <v>0</v>
      </c>
      <c r="CU17" s="90">
        <f t="shared" si="2"/>
        <v>0</v>
      </c>
    </row>
    <row r="18" spans="1:99" ht="12" customHeight="1">
      <c r="A18" s="43">
        <v>2088</v>
      </c>
      <c r="B18" s="89" t="s">
        <v>312</v>
      </c>
      <c r="C18" s="89" t="s">
        <v>365</v>
      </c>
      <c r="D18" s="89" t="s">
        <v>366</v>
      </c>
      <c r="E18" s="89" t="s">
        <v>367</v>
      </c>
      <c r="F18" s="43">
        <v>527545</v>
      </c>
      <c r="G18" s="43">
        <v>170687</v>
      </c>
      <c r="H18" s="89" t="s">
        <v>172</v>
      </c>
      <c r="I18" s="125">
        <v>43347</v>
      </c>
      <c r="J18" s="117">
        <v>43725</v>
      </c>
      <c r="K18" s="140">
        <v>1</v>
      </c>
      <c r="L18" s="140">
        <v>5</v>
      </c>
      <c r="M18" s="140">
        <v>4</v>
      </c>
      <c r="N18" s="140">
        <v>9</v>
      </c>
      <c r="O18" s="140">
        <v>8</v>
      </c>
      <c r="Q18" s="89" t="s">
        <v>368</v>
      </c>
      <c r="R18" s="43" t="s">
        <v>316</v>
      </c>
      <c r="S18" s="125">
        <v>42927</v>
      </c>
      <c r="T18" s="117">
        <v>43063</v>
      </c>
      <c r="V18" s="43" t="s">
        <v>317</v>
      </c>
      <c r="X18" s="43" t="s">
        <v>318</v>
      </c>
      <c r="Y18" s="43" t="s">
        <v>361</v>
      </c>
      <c r="Z18" s="43" t="s">
        <v>320</v>
      </c>
      <c r="AA18" s="43" t="s">
        <v>353</v>
      </c>
      <c r="AB18" s="144">
        <v>3.9000000804662698E-2</v>
      </c>
      <c r="AC18" s="125">
        <v>43347</v>
      </c>
      <c r="AE18" s="117">
        <v>43725</v>
      </c>
      <c r="AF18" s="43" t="s">
        <v>75</v>
      </c>
      <c r="AG18" s="43" t="s">
        <v>322</v>
      </c>
      <c r="AJ18" s="140">
        <v>0</v>
      </c>
      <c r="AK18" s="140">
        <v>0</v>
      </c>
      <c r="AL18" s="140">
        <v>0</v>
      </c>
      <c r="AM18" s="140">
        <v>0</v>
      </c>
      <c r="AN18" s="140">
        <v>0</v>
      </c>
      <c r="AO18" s="140">
        <v>0</v>
      </c>
      <c r="AP18" s="140">
        <v>5</v>
      </c>
      <c r="AQ18" s="140">
        <v>-1</v>
      </c>
      <c r="AR18" s="140">
        <v>0</v>
      </c>
      <c r="AS18" s="140">
        <v>0</v>
      </c>
      <c r="AT18" s="140">
        <v>0</v>
      </c>
      <c r="AU18" s="140">
        <v>0</v>
      </c>
      <c r="AV18" s="140">
        <v>0</v>
      </c>
      <c r="AW18" s="140">
        <v>5</v>
      </c>
      <c r="AX18" s="140">
        <v>0</v>
      </c>
      <c r="AY18" s="140">
        <v>0</v>
      </c>
      <c r="AZ18" s="140">
        <v>0</v>
      </c>
      <c r="BA18" s="140">
        <v>0</v>
      </c>
      <c r="BB18" s="140">
        <v>0</v>
      </c>
      <c r="BC18" s="140">
        <v>0</v>
      </c>
      <c r="BD18" s="140">
        <v>0</v>
      </c>
      <c r="BE18" s="140">
        <v>-1</v>
      </c>
      <c r="BF18" s="140">
        <v>0</v>
      </c>
      <c r="BG18" s="140">
        <v>0</v>
      </c>
      <c r="BH18" s="140">
        <v>0</v>
      </c>
      <c r="BI18" s="140">
        <v>0</v>
      </c>
      <c r="BJ18" s="140">
        <v>0</v>
      </c>
      <c r="BK18" s="140">
        <v>0</v>
      </c>
      <c r="BL18" s="140">
        <v>0</v>
      </c>
      <c r="BM18" s="140">
        <v>0</v>
      </c>
      <c r="BN18" s="140">
        <v>0</v>
      </c>
      <c r="BO18" s="140">
        <v>0</v>
      </c>
      <c r="BX18" s="43">
        <v>1</v>
      </c>
      <c r="BY18" s="90">
        <f t="shared" si="0"/>
        <v>4</v>
      </c>
      <c r="CT18" s="90">
        <f t="shared" si="1"/>
        <v>0</v>
      </c>
      <c r="CU18" s="90">
        <f t="shared" si="2"/>
        <v>0</v>
      </c>
    </row>
    <row r="19" spans="1:99" ht="12" customHeight="1">
      <c r="A19" s="43">
        <v>2088</v>
      </c>
      <c r="B19" s="89" t="s">
        <v>312</v>
      </c>
      <c r="C19" s="89" t="s">
        <v>365</v>
      </c>
      <c r="D19" s="89" t="s">
        <v>366</v>
      </c>
      <c r="E19" s="89" t="s">
        <v>369</v>
      </c>
      <c r="F19" s="43">
        <v>527545</v>
      </c>
      <c r="G19" s="43">
        <v>170687</v>
      </c>
      <c r="H19" s="89" t="s">
        <v>172</v>
      </c>
      <c r="I19" s="125">
        <v>43347</v>
      </c>
      <c r="J19" s="117">
        <v>43725</v>
      </c>
      <c r="K19" s="140">
        <v>0</v>
      </c>
      <c r="L19" s="140">
        <v>4</v>
      </c>
      <c r="M19" s="140">
        <v>4</v>
      </c>
      <c r="N19" s="140">
        <v>9</v>
      </c>
      <c r="O19" s="140">
        <v>8</v>
      </c>
      <c r="Q19" s="89" t="s">
        <v>368</v>
      </c>
      <c r="R19" s="43" t="s">
        <v>316</v>
      </c>
      <c r="S19" s="125">
        <v>42927</v>
      </c>
      <c r="T19" s="117">
        <v>43063</v>
      </c>
      <c r="V19" s="43" t="s">
        <v>317</v>
      </c>
      <c r="X19" s="43" t="s">
        <v>318</v>
      </c>
      <c r="Y19" s="43" t="s">
        <v>361</v>
      </c>
      <c r="Z19" s="43" t="s">
        <v>320</v>
      </c>
      <c r="AA19" s="43" t="s">
        <v>353</v>
      </c>
      <c r="AB19" s="144">
        <v>3.0999999493360499E-2</v>
      </c>
      <c r="AC19" s="125">
        <v>43347</v>
      </c>
      <c r="AE19" s="117">
        <v>43725</v>
      </c>
      <c r="AF19" s="43" t="s">
        <v>75</v>
      </c>
      <c r="AG19" s="43" t="s">
        <v>322</v>
      </c>
      <c r="AJ19" s="140">
        <v>0</v>
      </c>
      <c r="AK19" s="140">
        <v>0</v>
      </c>
      <c r="AL19" s="140">
        <v>0</v>
      </c>
      <c r="AM19" s="140">
        <v>0</v>
      </c>
      <c r="AN19" s="140">
        <v>0</v>
      </c>
      <c r="AO19" s="140">
        <v>1</v>
      </c>
      <c r="AP19" s="140">
        <v>3</v>
      </c>
      <c r="AQ19" s="140">
        <v>0</v>
      </c>
      <c r="AR19" s="140">
        <v>0</v>
      </c>
      <c r="AS19" s="140">
        <v>0</v>
      </c>
      <c r="AT19" s="140">
        <v>0</v>
      </c>
      <c r="AU19" s="140">
        <v>0</v>
      </c>
      <c r="AV19" s="140">
        <v>1</v>
      </c>
      <c r="AW19" s="140">
        <v>3</v>
      </c>
      <c r="AX19" s="140">
        <v>0</v>
      </c>
      <c r="AY19" s="140">
        <v>0</v>
      </c>
      <c r="AZ19" s="140">
        <v>0</v>
      </c>
      <c r="BA19" s="140">
        <v>0</v>
      </c>
      <c r="BB19" s="140">
        <v>0</v>
      </c>
      <c r="BC19" s="140">
        <v>0</v>
      </c>
      <c r="BD19" s="140">
        <v>0</v>
      </c>
      <c r="BE19" s="140">
        <v>0</v>
      </c>
      <c r="BF19" s="140">
        <v>0</v>
      </c>
      <c r="BG19" s="140">
        <v>0</v>
      </c>
      <c r="BH19" s="140">
        <v>0</v>
      </c>
      <c r="BI19" s="140">
        <v>0</v>
      </c>
      <c r="BJ19" s="140">
        <v>0</v>
      </c>
      <c r="BK19" s="140">
        <v>0</v>
      </c>
      <c r="BL19" s="140">
        <v>0</v>
      </c>
      <c r="BM19" s="140">
        <v>0</v>
      </c>
      <c r="BN19" s="140">
        <v>0</v>
      </c>
      <c r="BO19" s="140">
        <v>0</v>
      </c>
      <c r="BX19" s="43">
        <v>1</v>
      </c>
      <c r="BY19" s="90">
        <f t="shared" si="0"/>
        <v>4</v>
      </c>
      <c r="CT19" s="90">
        <f t="shared" si="1"/>
        <v>0</v>
      </c>
      <c r="CU19" s="90">
        <f t="shared" si="2"/>
        <v>0</v>
      </c>
    </row>
    <row r="20" spans="1:99" ht="12" customHeight="1">
      <c r="A20" s="43">
        <v>2258</v>
      </c>
      <c r="B20" s="89" t="s">
        <v>312</v>
      </c>
      <c r="C20" s="89" t="s">
        <v>370</v>
      </c>
      <c r="D20" s="89" t="s">
        <v>371</v>
      </c>
      <c r="F20" s="43">
        <v>527574</v>
      </c>
      <c r="G20" s="43">
        <v>171046</v>
      </c>
      <c r="H20" s="89" t="s">
        <v>172</v>
      </c>
      <c r="I20" s="125">
        <v>43612</v>
      </c>
      <c r="J20" s="117">
        <v>43769</v>
      </c>
      <c r="K20" s="140">
        <v>0</v>
      </c>
      <c r="L20" s="140">
        <v>1</v>
      </c>
      <c r="M20" s="140">
        <v>1</v>
      </c>
      <c r="N20" s="140">
        <v>1</v>
      </c>
      <c r="O20" s="140">
        <v>1</v>
      </c>
      <c r="Q20" s="89" t="s">
        <v>372</v>
      </c>
      <c r="R20" s="43" t="s">
        <v>316</v>
      </c>
      <c r="S20" s="125">
        <v>42760</v>
      </c>
      <c r="T20" s="117">
        <v>42831</v>
      </c>
      <c r="V20" s="43" t="s">
        <v>317</v>
      </c>
      <c r="X20" s="43" t="s">
        <v>318</v>
      </c>
      <c r="Y20" s="43" t="s">
        <v>336</v>
      </c>
      <c r="Z20" s="43" t="s">
        <v>320</v>
      </c>
      <c r="AA20" s="43" t="s">
        <v>33</v>
      </c>
      <c r="AB20" s="144">
        <v>6.0000000521540598E-3</v>
      </c>
      <c r="AC20" s="125">
        <v>43612</v>
      </c>
      <c r="AD20" s="43" t="s">
        <v>329</v>
      </c>
      <c r="AE20" s="117">
        <v>43769</v>
      </c>
      <c r="AF20" s="43" t="s">
        <v>75</v>
      </c>
      <c r="AG20" s="43" t="s">
        <v>322</v>
      </c>
      <c r="AJ20" s="140">
        <v>0</v>
      </c>
      <c r="AK20" s="140">
        <v>0</v>
      </c>
      <c r="AL20" s="140">
        <v>0</v>
      </c>
      <c r="AM20" s="140">
        <v>0</v>
      </c>
      <c r="AN20" s="140">
        <v>0</v>
      </c>
      <c r="AO20" s="140">
        <v>1</v>
      </c>
      <c r="AP20" s="140">
        <v>0</v>
      </c>
      <c r="AQ20" s="140">
        <v>0</v>
      </c>
      <c r="AR20" s="140">
        <v>0</v>
      </c>
      <c r="AS20" s="140">
        <v>0</v>
      </c>
      <c r="AT20" s="140">
        <v>0</v>
      </c>
      <c r="AU20" s="140">
        <v>0</v>
      </c>
      <c r="AV20" s="140">
        <v>0</v>
      </c>
      <c r="AW20" s="140">
        <v>0</v>
      </c>
      <c r="AX20" s="140">
        <v>0</v>
      </c>
      <c r="AY20" s="140">
        <v>0</v>
      </c>
      <c r="AZ20" s="140">
        <v>0</v>
      </c>
      <c r="BA20" s="140">
        <v>0</v>
      </c>
      <c r="BB20" s="140">
        <v>0</v>
      </c>
      <c r="BC20" s="140">
        <v>1</v>
      </c>
      <c r="BD20" s="140">
        <v>0</v>
      </c>
      <c r="BE20" s="140">
        <v>0</v>
      </c>
      <c r="BF20" s="140">
        <v>0</v>
      </c>
      <c r="BG20" s="140">
        <v>0</v>
      </c>
      <c r="BH20" s="140">
        <v>0</v>
      </c>
      <c r="BI20" s="140">
        <v>0</v>
      </c>
      <c r="BJ20" s="140">
        <v>0</v>
      </c>
      <c r="BK20" s="140">
        <v>0</v>
      </c>
      <c r="BL20" s="140">
        <v>0</v>
      </c>
      <c r="BM20" s="140">
        <v>0</v>
      </c>
      <c r="BN20" s="140">
        <v>0</v>
      </c>
      <c r="BO20" s="140">
        <v>0</v>
      </c>
      <c r="BX20" s="43">
        <v>12</v>
      </c>
      <c r="BY20" s="90">
        <f t="shared" si="0"/>
        <v>1</v>
      </c>
      <c r="CT20" s="90">
        <f t="shared" si="1"/>
        <v>0</v>
      </c>
      <c r="CU20" s="90">
        <f t="shared" si="2"/>
        <v>0</v>
      </c>
    </row>
    <row r="21" spans="1:99" ht="12" customHeight="1">
      <c r="A21" s="43">
        <v>2566</v>
      </c>
      <c r="B21" s="89" t="s">
        <v>312</v>
      </c>
      <c r="C21" s="89" t="s">
        <v>373</v>
      </c>
      <c r="D21" s="89" t="s">
        <v>374</v>
      </c>
      <c r="F21" s="43">
        <v>527216</v>
      </c>
      <c r="G21" s="43">
        <v>175354</v>
      </c>
      <c r="H21" s="89" t="s">
        <v>174</v>
      </c>
      <c r="I21" s="125">
        <v>43617</v>
      </c>
      <c r="J21" s="117">
        <v>43713</v>
      </c>
      <c r="K21" s="140">
        <v>0</v>
      </c>
      <c r="L21" s="140">
        <v>2</v>
      </c>
      <c r="M21" s="140">
        <v>2</v>
      </c>
      <c r="N21" s="140">
        <v>2</v>
      </c>
      <c r="O21" s="140">
        <v>2</v>
      </c>
      <c r="Q21" s="89" t="s">
        <v>375</v>
      </c>
      <c r="R21" s="43" t="s">
        <v>316</v>
      </c>
      <c r="S21" s="125">
        <v>43042</v>
      </c>
      <c r="T21" s="117">
        <v>43147</v>
      </c>
      <c r="V21" s="43" t="s">
        <v>317</v>
      </c>
      <c r="X21" s="43" t="s">
        <v>318</v>
      </c>
      <c r="Y21" s="43" t="s">
        <v>319</v>
      </c>
      <c r="Z21" s="43" t="s">
        <v>320</v>
      </c>
      <c r="AA21" s="43" t="s">
        <v>353</v>
      </c>
      <c r="AB21" s="144">
        <v>7.0000002160668399E-3</v>
      </c>
      <c r="AC21" s="125">
        <v>43617</v>
      </c>
      <c r="AD21" s="43" t="s">
        <v>329</v>
      </c>
      <c r="AE21" s="117">
        <v>43713</v>
      </c>
      <c r="AF21" s="43" t="s">
        <v>75</v>
      </c>
      <c r="AG21" s="43" t="s">
        <v>322</v>
      </c>
      <c r="AJ21" s="140">
        <v>0</v>
      </c>
      <c r="AK21" s="140">
        <v>0</v>
      </c>
      <c r="AL21" s="140">
        <v>0</v>
      </c>
      <c r="AM21" s="140">
        <v>0</v>
      </c>
      <c r="AN21" s="140">
        <v>0</v>
      </c>
      <c r="AO21" s="140">
        <v>0</v>
      </c>
      <c r="AP21" s="140">
        <v>2</v>
      </c>
      <c r="AQ21" s="140">
        <v>0</v>
      </c>
      <c r="AR21" s="140">
        <v>0</v>
      </c>
      <c r="AS21" s="140">
        <v>0</v>
      </c>
      <c r="AT21" s="140">
        <v>0</v>
      </c>
      <c r="AU21" s="140">
        <v>0</v>
      </c>
      <c r="AV21" s="140">
        <v>0</v>
      </c>
      <c r="AW21" s="140">
        <v>2</v>
      </c>
      <c r="AX21" s="140">
        <v>0</v>
      </c>
      <c r="AY21" s="140">
        <v>0</v>
      </c>
      <c r="AZ21" s="140">
        <v>0</v>
      </c>
      <c r="BA21" s="140">
        <v>0</v>
      </c>
      <c r="BB21" s="140">
        <v>0</v>
      </c>
      <c r="BC21" s="140">
        <v>0</v>
      </c>
      <c r="BD21" s="140">
        <v>0</v>
      </c>
      <c r="BE21" s="140">
        <v>0</v>
      </c>
      <c r="BF21" s="140">
        <v>0</v>
      </c>
      <c r="BG21" s="140">
        <v>0</v>
      </c>
      <c r="BH21" s="140">
        <v>0</v>
      </c>
      <c r="BI21" s="140">
        <v>0</v>
      </c>
      <c r="BJ21" s="140">
        <v>0</v>
      </c>
      <c r="BK21" s="140">
        <v>0</v>
      </c>
      <c r="BL21" s="140">
        <v>0</v>
      </c>
      <c r="BM21" s="140">
        <v>0</v>
      </c>
      <c r="BN21" s="140">
        <v>0</v>
      </c>
      <c r="BO21" s="140">
        <v>0</v>
      </c>
      <c r="BP21" s="43" t="s">
        <v>139</v>
      </c>
      <c r="BX21" s="43">
        <v>12</v>
      </c>
      <c r="BY21" s="90">
        <f t="shared" si="0"/>
        <v>2</v>
      </c>
      <c r="CT21" s="90">
        <f t="shared" si="1"/>
        <v>0</v>
      </c>
      <c r="CU21" s="90">
        <f t="shared" si="2"/>
        <v>0</v>
      </c>
    </row>
    <row r="22" spans="1:99" ht="12" customHeight="1">
      <c r="A22" s="43">
        <v>2945</v>
      </c>
      <c r="B22" s="89" t="s">
        <v>312</v>
      </c>
      <c r="C22" s="89" t="s">
        <v>376</v>
      </c>
      <c r="D22" s="89" t="s">
        <v>377</v>
      </c>
      <c r="F22" s="43">
        <v>527213</v>
      </c>
      <c r="G22" s="43">
        <v>177069</v>
      </c>
      <c r="H22" s="89" t="s">
        <v>177</v>
      </c>
      <c r="I22" s="125">
        <v>43689</v>
      </c>
      <c r="J22" s="117">
        <v>43868</v>
      </c>
      <c r="K22" s="140">
        <v>0</v>
      </c>
      <c r="L22" s="140">
        <v>1</v>
      </c>
      <c r="M22" s="140">
        <v>1</v>
      </c>
      <c r="N22" s="140">
        <v>1</v>
      </c>
      <c r="O22" s="140">
        <v>1</v>
      </c>
      <c r="Q22" s="89" t="s">
        <v>378</v>
      </c>
      <c r="R22" s="43" t="s">
        <v>316</v>
      </c>
      <c r="S22" s="125">
        <v>43504</v>
      </c>
      <c r="T22" s="117">
        <v>43560</v>
      </c>
      <c r="U22" s="43" t="s">
        <v>329</v>
      </c>
      <c r="V22" s="43" t="s">
        <v>317</v>
      </c>
      <c r="X22" s="43" t="s">
        <v>318</v>
      </c>
      <c r="Y22" s="43" t="s">
        <v>379</v>
      </c>
      <c r="Z22" s="43" t="s">
        <v>320</v>
      </c>
      <c r="AA22" s="43" t="s">
        <v>340</v>
      </c>
      <c r="AB22" s="144">
        <v>2.0000000949949E-3</v>
      </c>
      <c r="AC22" s="125">
        <v>43689</v>
      </c>
      <c r="AD22" s="43" t="s">
        <v>329</v>
      </c>
      <c r="AE22" s="117">
        <v>43868</v>
      </c>
      <c r="AF22" s="43" t="s">
        <v>75</v>
      </c>
      <c r="AG22" s="43" t="s">
        <v>322</v>
      </c>
      <c r="AJ22" s="140">
        <v>0</v>
      </c>
      <c r="AK22" s="140">
        <v>0</v>
      </c>
      <c r="AL22" s="140">
        <v>0</v>
      </c>
      <c r="AM22" s="140">
        <v>0</v>
      </c>
      <c r="AN22" s="140">
        <v>0</v>
      </c>
      <c r="AO22" s="140">
        <v>1</v>
      </c>
      <c r="AP22" s="140">
        <v>0</v>
      </c>
      <c r="AQ22" s="140">
        <v>0</v>
      </c>
      <c r="AR22" s="140">
        <v>0</v>
      </c>
      <c r="AS22" s="140">
        <v>0</v>
      </c>
      <c r="AT22" s="140">
        <v>0</v>
      </c>
      <c r="AU22" s="140">
        <v>0</v>
      </c>
      <c r="AV22" s="140">
        <v>1</v>
      </c>
      <c r="AW22" s="140">
        <v>0</v>
      </c>
      <c r="AX22" s="140">
        <v>0</v>
      </c>
      <c r="AY22" s="140">
        <v>0</v>
      </c>
      <c r="AZ22" s="140">
        <v>0</v>
      </c>
      <c r="BA22" s="140">
        <v>0</v>
      </c>
      <c r="BB22" s="140">
        <v>0</v>
      </c>
      <c r="BC22" s="140">
        <v>0</v>
      </c>
      <c r="BD22" s="140">
        <v>0</v>
      </c>
      <c r="BE22" s="140">
        <v>0</v>
      </c>
      <c r="BF22" s="140">
        <v>0</v>
      </c>
      <c r="BG22" s="140">
        <v>0</v>
      </c>
      <c r="BH22" s="140">
        <v>0</v>
      </c>
      <c r="BI22" s="140">
        <v>0</v>
      </c>
      <c r="BJ22" s="140">
        <v>0</v>
      </c>
      <c r="BK22" s="140">
        <v>0</v>
      </c>
      <c r="BL22" s="140">
        <v>0</v>
      </c>
      <c r="BM22" s="140">
        <v>0</v>
      </c>
      <c r="BN22" s="140">
        <v>0</v>
      </c>
      <c r="BO22" s="140">
        <v>0</v>
      </c>
      <c r="BX22" s="43">
        <v>12</v>
      </c>
      <c r="BY22" s="90">
        <f t="shared" si="0"/>
        <v>1</v>
      </c>
      <c r="CT22" s="90">
        <f t="shared" si="1"/>
        <v>0</v>
      </c>
      <c r="CU22" s="90">
        <f t="shared" si="2"/>
        <v>0</v>
      </c>
    </row>
    <row r="23" spans="1:99" ht="12" customHeight="1">
      <c r="A23" s="43">
        <v>2946</v>
      </c>
      <c r="B23" s="89" t="s">
        <v>312</v>
      </c>
      <c r="C23" s="89" t="s">
        <v>380</v>
      </c>
      <c r="D23" s="89" t="s">
        <v>381</v>
      </c>
      <c r="F23" s="43">
        <v>523254</v>
      </c>
      <c r="G23" s="43">
        <v>176072</v>
      </c>
      <c r="H23" s="89" t="s">
        <v>178</v>
      </c>
      <c r="I23" s="125">
        <v>43617</v>
      </c>
      <c r="J23" s="117">
        <v>43921</v>
      </c>
      <c r="K23" s="140">
        <v>0</v>
      </c>
      <c r="L23" s="140">
        <v>2</v>
      </c>
      <c r="M23" s="140">
        <v>2</v>
      </c>
      <c r="N23" s="140">
        <v>2</v>
      </c>
      <c r="O23" s="140">
        <v>2</v>
      </c>
      <c r="Q23" s="89" t="s">
        <v>382</v>
      </c>
      <c r="R23" s="43" t="s">
        <v>383</v>
      </c>
      <c r="S23" s="125">
        <v>43076</v>
      </c>
      <c r="T23" s="117">
        <v>43278</v>
      </c>
      <c r="V23" s="43" t="s">
        <v>384</v>
      </c>
      <c r="W23" s="117">
        <v>43487</v>
      </c>
      <c r="X23" s="43" t="s">
        <v>318</v>
      </c>
      <c r="Y23" s="43" t="s">
        <v>361</v>
      </c>
      <c r="Z23" s="43" t="s">
        <v>320</v>
      </c>
      <c r="AA23" s="43" t="s">
        <v>353</v>
      </c>
      <c r="AB23" s="144">
        <v>2.0999999716877899E-2</v>
      </c>
      <c r="AC23" s="125">
        <v>43617</v>
      </c>
      <c r="AD23" s="43" t="s">
        <v>329</v>
      </c>
      <c r="AE23" s="117">
        <v>43921</v>
      </c>
      <c r="AF23" s="43" t="s">
        <v>75</v>
      </c>
      <c r="AG23" s="43" t="s">
        <v>322</v>
      </c>
      <c r="AJ23" s="140">
        <v>0</v>
      </c>
      <c r="AK23" s="140">
        <v>0</v>
      </c>
      <c r="AL23" s="140">
        <v>0</v>
      </c>
      <c r="AM23" s="140">
        <v>0</v>
      </c>
      <c r="AN23" s="140">
        <v>0</v>
      </c>
      <c r="AO23" s="140">
        <v>0</v>
      </c>
      <c r="AP23" s="140">
        <v>0</v>
      </c>
      <c r="AQ23" s="140">
        <v>0</v>
      </c>
      <c r="AR23" s="140">
        <v>2</v>
      </c>
      <c r="AS23" s="140">
        <v>0</v>
      </c>
      <c r="AT23" s="140">
        <v>0</v>
      </c>
      <c r="AU23" s="140">
        <v>0</v>
      </c>
      <c r="AV23" s="140">
        <v>0</v>
      </c>
      <c r="AW23" s="140">
        <v>0</v>
      </c>
      <c r="AX23" s="140">
        <v>0</v>
      </c>
      <c r="AY23" s="140">
        <v>0</v>
      </c>
      <c r="AZ23" s="140">
        <v>0</v>
      </c>
      <c r="BA23" s="140">
        <v>0</v>
      </c>
      <c r="BB23" s="140">
        <v>0</v>
      </c>
      <c r="BC23" s="140">
        <v>0</v>
      </c>
      <c r="BD23" s="140">
        <v>0</v>
      </c>
      <c r="BE23" s="140">
        <v>0</v>
      </c>
      <c r="BF23" s="140">
        <v>2</v>
      </c>
      <c r="BG23" s="140">
        <v>0</v>
      </c>
      <c r="BH23" s="140">
        <v>0</v>
      </c>
      <c r="BI23" s="140">
        <v>0</v>
      </c>
      <c r="BJ23" s="140">
        <v>0</v>
      </c>
      <c r="BK23" s="140">
        <v>0</v>
      </c>
      <c r="BL23" s="140">
        <v>0</v>
      </c>
      <c r="BM23" s="140">
        <v>0</v>
      </c>
      <c r="BN23" s="140">
        <v>0</v>
      </c>
      <c r="BO23" s="140">
        <v>0</v>
      </c>
      <c r="BX23" s="43">
        <v>1</v>
      </c>
      <c r="BY23" s="90">
        <f t="shared" si="0"/>
        <v>2</v>
      </c>
      <c r="CT23" s="90">
        <f t="shared" si="1"/>
        <v>0</v>
      </c>
      <c r="CU23" s="90">
        <f t="shared" si="2"/>
        <v>0</v>
      </c>
    </row>
    <row r="24" spans="1:99" ht="12" customHeight="1">
      <c r="A24" s="43">
        <v>3266</v>
      </c>
      <c r="B24" s="89" t="s">
        <v>312</v>
      </c>
      <c r="C24" s="89" t="s">
        <v>385</v>
      </c>
      <c r="D24" s="89" t="s">
        <v>386</v>
      </c>
      <c r="F24" s="43">
        <v>526086</v>
      </c>
      <c r="G24" s="43">
        <v>172456</v>
      </c>
      <c r="H24" s="89" t="s">
        <v>168</v>
      </c>
      <c r="I24" s="125">
        <v>43190</v>
      </c>
      <c r="J24" s="117">
        <v>43759</v>
      </c>
      <c r="K24" s="140">
        <v>0</v>
      </c>
      <c r="L24" s="140">
        <v>8</v>
      </c>
      <c r="M24" s="140">
        <v>8</v>
      </c>
      <c r="N24" s="140">
        <v>8</v>
      </c>
      <c r="O24" s="140">
        <v>8</v>
      </c>
      <c r="Q24" s="89" t="s">
        <v>387</v>
      </c>
      <c r="R24" s="43" t="s">
        <v>316</v>
      </c>
      <c r="S24" s="125">
        <v>42170</v>
      </c>
      <c r="T24" s="117">
        <v>42264</v>
      </c>
      <c r="V24" s="43" t="s">
        <v>317</v>
      </c>
      <c r="X24" s="43" t="s">
        <v>318</v>
      </c>
      <c r="Y24" s="43" t="s">
        <v>361</v>
      </c>
      <c r="Z24" s="43" t="s">
        <v>320</v>
      </c>
      <c r="AA24" s="43" t="s">
        <v>353</v>
      </c>
      <c r="AB24" s="144">
        <v>2.8000000864267301E-2</v>
      </c>
      <c r="AC24" s="125">
        <v>43190</v>
      </c>
      <c r="AE24" s="117">
        <v>43759</v>
      </c>
      <c r="AF24" s="43" t="s">
        <v>75</v>
      </c>
      <c r="AG24" s="43" t="s">
        <v>322</v>
      </c>
      <c r="AJ24" s="140">
        <v>8</v>
      </c>
      <c r="AK24" s="140">
        <v>0</v>
      </c>
      <c r="AL24" s="140">
        <v>0</v>
      </c>
      <c r="AM24" s="140">
        <v>0</v>
      </c>
      <c r="AN24" s="140">
        <v>0</v>
      </c>
      <c r="AO24" s="140">
        <v>4</v>
      </c>
      <c r="AP24" s="140">
        <v>3</v>
      </c>
      <c r="AQ24" s="140">
        <v>1</v>
      </c>
      <c r="AR24" s="140">
        <v>0</v>
      </c>
      <c r="AS24" s="140">
        <v>0</v>
      </c>
      <c r="AT24" s="140">
        <v>0</v>
      </c>
      <c r="AU24" s="140">
        <v>0</v>
      </c>
      <c r="AV24" s="140">
        <v>4</v>
      </c>
      <c r="AW24" s="140">
        <v>3</v>
      </c>
      <c r="AX24" s="140">
        <v>1</v>
      </c>
      <c r="AY24" s="140">
        <v>0</v>
      </c>
      <c r="AZ24" s="140">
        <v>0</v>
      </c>
      <c r="BA24" s="140">
        <v>0</v>
      </c>
      <c r="BB24" s="140">
        <v>0</v>
      </c>
      <c r="BC24" s="140">
        <v>0</v>
      </c>
      <c r="BD24" s="140">
        <v>0</v>
      </c>
      <c r="BE24" s="140">
        <v>0</v>
      </c>
      <c r="BF24" s="140">
        <v>0</v>
      </c>
      <c r="BG24" s="140">
        <v>0</v>
      </c>
      <c r="BH24" s="140">
        <v>0</v>
      </c>
      <c r="BI24" s="140">
        <v>0</v>
      </c>
      <c r="BJ24" s="140">
        <v>0</v>
      </c>
      <c r="BK24" s="140">
        <v>0</v>
      </c>
      <c r="BL24" s="140">
        <v>0</v>
      </c>
      <c r="BM24" s="140">
        <v>0</v>
      </c>
      <c r="BN24" s="140">
        <v>0</v>
      </c>
      <c r="BO24" s="140">
        <v>0</v>
      </c>
      <c r="BW24" s="43" t="s">
        <v>329</v>
      </c>
      <c r="BX24" s="43">
        <v>1</v>
      </c>
      <c r="BY24" s="90">
        <f t="shared" si="0"/>
        <v>8</v>
      </c>
      <c r="CT24" s="90">
        <f t="shared" si="1"/>
        <v>0</v>
      </c>
      <c r="CU24" s="90">
        <f t="shared" si="2"/>
        <v>0</v>
      </c>
    </row>
    <row r="25" spans="1:99" ht="12" customHeight="1">
      <c r="A25" s="43">
        <v>3501</v>
      </c>
      <c r="B25" s="89" t="s">
        <v>312</v>
      </c>
      <c r="C25" s="89" t="s">
        <v>388</v>
      </c>
      <c r="D25" s="89" t="s">
        <v>389</v>
      </c>
      <c r="E25" s="89" t="s">
        <v>390</v>
      </c>
      <c r="F25" s="43">
        <v>526469</v>
      </c>
      <c r="G25" s="43">
        <v>175635</v>
      </c>
      <c r="H25" s="89" t="s">
        <v>177</v>
      </c>
      <c r="I25" s="125">
        <v>42275</v>
      </c>
      <c r="J25" s="117">
        <v>43725</v>
      </c>
      <c r="K25" s="140">
        <v>0</v>
      </c>
      <c r="L25" s="140">
        <v>20</v>
      </c>
      <c r="M25" s="140">
        <v>20</v>
      </c>
      <c r="N25" s="140">
        <v>51</v>
      </c>
      <c r="O25" s="140">
        <v>51</v>
      </c>
      <c r="P25" s="43" t="s">
        <v>329</v>
      </c>
      <c r="Q25" s="89" t="s">
        <v>391</v>
      </c>
      <c r="R25" s="43" t="s">
        <v>392</v>
      </c>
      <c r="S25" s="125">
        <v>41862</v>
      </c>
      <c r="T25" s="117">
        <v>42179</v>
      </c>
      <c r="V25" s="43" t="s">
        <v>317</v>
      </c>
      <c r="X25" s="43" t="s">
        <v>318</v>
      </c>
      <c r="Y25" s="43" t="s">
        <v>361</v>
      </c>
      <c r="Z25" s="43" t="s">
        <v>361</v>
      </c>
      <c r="AA25" s="43" t="s">
        <v>320</v>
      </c>
      <c r="AB25" s="144">
        <v>4.80000004172325E-2</v>
      </c>
      <c r="AC25" s="125">
        <v>42275</v>
      </c>
      <c r="AE25" s="117">
        <v>43725</v>
      </c>
      <c r="AF25" s="43" t="s">
        <v>75</v>
      </c>
      <c r="AG25" s="43" t="s">
        <v>322</v>
      </c>
      <c r="AH25" s="43" t="s">
        <v>393</v>
      </c>
      <c r="AJ25" s="140">
        <v>29</v>
      </c>
      <c r="AK25" s="140">
        <v>0</v>
      </c>
      <c r="AL25" s="140">
        <v>0</v>
      </c>
      <c r="AM25" s="140">
        <v>0</v>
      </c>
      <c r="AN25" s="140">
        <v>0</v>
      </c>
      <c r="AO25" s="140">
        <v>0</v>
      </c>
      <c r="AP25" s="140">
        <v>18</v>
      </c>
      <c r="AQ25" s="140">
        <v>2</v>
      </c>
      <c r="AR25" s="140">
        <v>0</v>
      </c>
      <c r="AS25" s="140">
        <v>0</v>
      </c>
      <c r="AT25" s="140">
        <v>0</v>
      </c>
      <c r="AU25" s="140">
        <v>0</v>
      </c>
      <c r="AV25" s="140">
        <v>0</v>
      </c>
      <c r="AW25" s="140">
        <v>18</v>
      </c>
      <c r="AX25" s="140">
        <v>2</v>
      </c>
      <c r="AY25" s="140">
        <v>0</v>
      </c>
      <c r="AZ25" s="140">
        <v>0</v>
      </c>
      <c r="BA25" s="140">
        <v>0</v>
      </c>
      <c r="BB25" s="140">
        <v>0</v>
      </c>
      <c r="BC25" s="140">
        <v>0</v>
      </c>
      <c r="BD25" s="140">
        <v>0</v>
      </c>
      <c r="BE25" s="140">
        <v>0</v>
      </c>
      <c r="BF25" s="140">
        <v>0</v>
      </c>
      <c r="BG25" s="140">
        <v>0</v>
      </c>
      <c r="BH25" s="140">
        <v>0</v>
      </c>
      <c r="BI25" s="140">
        <v>0</v>
      </c>
      <c r="BJ25" s="140">
        <v>0</v>
      </c>
      <c r="BK25" s="140">
        <v>0</v>
      </c>
      <c r="BL25" s="140">
        <v>0</v>
      </c>
      <c r="BM25" s="140">
        <v>0</v>
      </c>
      <c r="BN25" s="140">
        <v>0</v>
      </c>
      <c r="BO25" s="140">
        <v>0</v>
      </c>
      <c r="BV25" s="43" t="s">
        <v>329</v>
      </c>
      <c r="BX25" s="43">
        <v>1</v>
      </c>
      <c r="BY25" s="90">
        <f t="shared" si="0"/>
        <v>20</v>
      </c>
      <c r="CT25" s="90">
        <f t="shared" si="1"/>
        <v>0</v>
      </c>
      <c r="CU25" s="90">
        <f t="shared" si="2"/>
        <v>0</v>
      </c>
    </row>
    <row r="26" spans="1:99" ht="12" customHeight="1">
      <c r="A26" s="43">
        <v>3514</v>
      </c>
      <c r="B26" s="89" t="s">
        <v>312</v>
      </c>
      <c r="C26" s="89" t="s">
        <v>394</v>
      </c>
      <c r="D26" s="89" t="s">
        <v>395</v>
      </c>
      <c r="E26" s="89" t="s">
        <v>396</v>
      </c>
      <c r="F26" s="43">
        <v>528809</v>
      </c>
      <c r="G26" s="43">
        <v>177181</v>
      </c>
      <c r="H26" s="89" t="s">
        <v>148</v>
      </c>
      <c r="I26" s="125">
        <v>42662</v>
      </c>
      <c r="K26" s="140">
        <v>0</v>
      </c>
      <c r="L26" s="140">
        <v>43</v>
      </c>
      <c r="M26" s="140">
        <v>43</v>
      </c>
      <c r="N26" s="140">
        <v>839</v>
      </c>
      <c r="O26" s="140">
        <v>839</v>
      </c>
      <c r="P26" s="43" t="s">
        <v>329</v>
      </c>
      <c r="Q26" s="89" t="s">
        <v>397</v>
      </c>
      <c r="R26" s="43" t="s">
        <v>392</v>
      </c>
      <c r="S26" s="125">
        <v>42039</v>
      </c>
      <c r="T26" s="117">
        <v>42265</v>
      </c>
      <c r="V26" s="43" t="s">
        <v>317</v>
      </c>
      <c r="X26" s="43" t="s">
        <v>318</v>
      </c>
      <c r="Y26" s="43" t="s">
        <v>361</v>
      </c>
      <c r="Z26" s="43" t="s">
        <v>361</v>
      </c>
      <c r="AA26" s="43" t="s">
        <v>320</v>
      </c>
      <c r="AB26" s="144">
        <v>8.79999995231628E-2</v>
      </c>
      <c r="AC26" s="125">
        <v>42662</v>
      </c>
      <c r="AE26" s="117">
        <v>43738</v>
      </c>
      <c r="AF26" s="43" t="s">
        <v>75</v>
      </c>
      <c r="AG26" s="43" t="s">
        <v>322</v>
      </c>
      <c r="AH26" s="43" t="s">
        <v>398</v>
      </c>
      <c r="AJ26" s="140">
        <v>43</v>
      </c>
      <c r="AK26" s="140">
        <v>0</v>
      </c>
      <c r="AL26" s="140">
        <v>4</v>
      </c>
      <c r="AM26" s="140">
        <v>0</v>
      </c>
      <c r="AN26" s="140">
        <v>0</v>
      </c>
      <c r="AO26" s="140">
        <v>10</v>
      </c>
      <c r="AP26" s="140">
        <v>25</v>
      </c>
      <c r="AQ26" s="140">
        <v>8</v>
      </c>
      <c r="AR26" s="140">
        <v>0</v>
      </c>
      <c r="AS26" s="140">
        <v>0</v>
      </c>
      <c r="AT26" s="140">
        <v>0</v>
      </c>
      <c r="AU26" s="140">
        <v>0</v>
      </c>
      <c r="AV26" s="140">
        <v>10</v>
      </c>
      <c r="AW26" s="140">
        <v>25</v>
      </c>
      <c r="AX26" s="140">
        <v>8</v>
      </c>
      <c r="AY26" s="140">
        <v>0</v>
      </c>
      <c r="AZ26" s="140">
        <v>0</v>
      </c>
      <c r="BA26" s="140">
        <v>0</v>
      </c>
      <c r="BB26" s="140">
        <v>0</v>
      </c>
      <c r="BC26" s="140">
        <v>0</v>
      </c>
      <c r="BD26" s="140">
        <v>0</v>
      </c>
      <c r="BE26" s="140">
        <v>0</v>
      </c>
      <c r="BF26" s="140">
        <v>0</v>
      </c>
      <c r="BG26" s="140">
        <v>0</v>
      </c>
      <c r="BH26" s="140">
        <v>0</v>
      </c>
      <c r="BI26" s="140">
        <v>0</v>
      </c>
      <c r="BJ26" s="140">
        <v>0</v>
      </c>
      <c r="BK26" s="140">
        <v>0</v>
      </c>
      <c r="BL26" s="140">
        <v>0</v>
      </c>
      <c r="BM26" s="140">
        <v>0</v>
      </c>
      <c r="BN26" s="140">
        <v>0</v>
      </c>
      <c r="BO26" s="140">
        <v>0</v>
      </c>
      <c r="BQ26" s="43" t="s">
        <v>329</v>
      </c>
      <c r="BX26" s="43">
        <v>1</v>
      </c>
      <c r="BY26" s="90">
        <f t="shared" si="0"/>
        <v>43</v>
      </c>
      <c r="CT26" s="90">
        <f t="shared" si="1"/>
        <v>0</v>
      </c>
      <c r="CU26" s="90">
        <f t="shared" si="2"/>
        <v>0</v>
      </c>
    </row>
    <row r="27" spans="1:99" ht="12" customHeight="1">
      <c r="A27" s="43">
        <v>3514</v>
      </c>
      <c r="B27" s="89" t="s">
        <v>312</v>
      </c>
      <c r="C27" s="89" t="s">
        <v>394</v>
      </c>
      <c r="D27" s="89" t="s">
        <v>395</v>
      </c>
      <c r="E27" s="89" t="s">
        <v>396</v>
      </c>
      <c r="F27" s="43">
        <v>528809</v>
      </c>
      <c r="G27" s="43">
        <v>177181</v>
      </c>
      <c r="H27" s="89" t="s">
        <v>148</v>
      </c>
      <c r="I27" s="125">
        <v>42662</v>
      </c>
      <c r="K27" s="140">
        <v>0</v>
      </c>
      <c r="L27" s="140">
        <v>15</v>
      </c>
      <c r="M27" s="140">
        <v>15</v>
      </c>
      <c r="N27" s="140">
        <v>839</v>
      </c>
      <c r="O27" s="140">
        <v>839</v>
      </c>
      <c r="P27" s="43" t="s">
        <v>329</v>
      </c>
      <c r="Q27" s="89" t="s">
        <v>397</v>
      </c>
      <c r="R27" s="43" t="s">
        <v>392</v>
      </c>
      <c r="S27" s="125">
        <v>42039</v>
      </c>
      <c r="T27" s="117">
        <v>42265</v>
      </c>
      <c r="V27" s="43" t="s">
        <v>317</v>
      </c>
      <c r="X27" s="43" t="s">
        <v>318</v>
      </c>
      <c r="Y27" s="43" t="s">
        <v>361</v>
      </c>
      <c r="Z27" s="43" t="s">
        <v>361</v>
      </c>
      <c r="AA27" s="43" t="s">
        <v>320</v>
      </c>
      <c r="AB27" s="144">
        <v>2.9999999329447701E-2</v>
      </c>
      <c r="AC27" s="125">
        <v>42662</v>
      </c>
      <c r="AE27" s="117">
        <v>43738</v>
      </c>
      <c r="AF27" s="43" t="s">
        <v>54</v>
      </c>
      <c r="AG27" s="43" t="s">
        <v>399</v>
      </c>
      <c r="AH27" s="43" t="s">
        <v>398</v>
      </c>
      <c r="AJ27" s="140">
        <v>15</v>
      </c>
      <c r="AK27" s="140">
        <v>0</v>
      </c>
      <c r="AL27" s="140">
        <v>2</v>
      </c>
      <c r="AM27" s="140">
        <v>0</v>
      </c>
      <c r="AN27" s="140">
        <v>0</v>
      </c>
      <c r="AO27" s="140">
        <v>6</v>
      </c>
      <c r="AP27" s="140">
        <v>9</v>
      </c>
      <c r="AQ27" s="140">
        <v>0</v>
      </c>
      <c r="AR27" s="140">
        <v>0</v>
      </c>
      <c r="AS27" s="140">
        <v>0</v>
      </c>
      <c r="AT27" s="140">
        <v>0</v>
      </c>
      <c r="AU27" s="140">
        <v>0</v>
      </c>
      <c r="AV27" s="140">
        <v>6</v>
      </c>
      <c r="AW27" s="140">
        <v>9</v>
      </c>
      <c r="AX27" s="140">
        <v>0</v>
      </c>
      <c r="AY27" s="140">
        <v>0</v>
      </c>
      <c r="AZ27" s="140">
        <v>0</v>
      </c>
      <c r="BA27" s="140">
        <v>0</v>
      </c>
      <c r="BB27" s="140">
        <v>0</v>
      </c>
      <c r="BC27" s="140">
        <v>0</v>
      </c>
      <c r="BD27" s="140">
        <v>0</v>
      </c>
      <c r="BE27" s="140">
        <v>0</v>
      </c>
      <c r="BF27" s="140">
        <v>0</v>
      </c>
      <c r="BG27" s="140">
        <v>0</v>
      </c>
      <c r="BH27" s="140">
        <v>0</v>
      </c>
      <c r="BI27" s="140">
        <v>0</v>
      </c>
      <c r="BJ27" s="140">
        <v>0</v>
      </c>
      <c r="BK27" s="140">
        <v>0</v>
      </c>
      <c r="BL27" s="140">
        <v>0</v>
      </c>
      <c r="BM27" s="140">
        <v>0</v>
      </c>
      <c r="BN27" s="140">
        <v>0</v>
      </c>
      <c r="BO27" s="140">
        <v>0</v>
      </c>
      <c r="BQ27" s="43" t="s">
        <v>329</v>
      </c>
      <c r="BX27" s="43">
        <v>1</v>
      </c>
      <c r="BY27" s="90">
        <f t="shared" si="0"/>
        <v>15</v>
      </c>
      <c r="CT27" s="90">
        <f t="shared" si="1"/>
        <v>0</v>
      </c>
      <c r="CU27" s="90">
        <f t="shared" si="2"/>
        <v>0</v>
      </c>
    </row>
    <row r="28" spans="1:99" ht="12" customHeight="1">
      <c r="A28" s="43">
        <v>3514</v>
      </c>
      <c r="B28" s="89" t="s">
        <v>312</v>
      </c>
      <c r="C28" s="89" t="s">
        <v>400</v>
      </c>
      <c r="D28" s="89" t="s">
        <v>395</v>
      </c>
      <c r="E28" s="89" t="s">
        <v>401</v>
      </c>
      <c r="F28" s="43">
        <v>528809</v>
      </c>
      <c r="G28" s="43">
        <v>177181</v>
      </c>
      <c r="H28" s="89" t="s">
        <v>148</v>
      </c>
      <c r="I28" s="125">
        <v>42662</v>
      </c>
      <c r="K28" s="140">
        <v>0</v>
      </c>
      <c r="L28" s="140">
        <v>72</v>
      </c>
      <c r="M28" s="140">
        <v>72</v>
      </c>
      <c r="N28" s="140">
        <v>835</v>
      </c>
      <c r="O28" s="140">
        <v>835</v>
      </c>
      <c r="P28" s="43" t="s">
        <v>329</v>
      </c>
      <c r="Q28" s="89" t="s">
        <v>402</v>
      </c>
      <c r="R28" s="43" t="s">
        <v>360</v>
      </c>
      <c r="S28" s="125">
        <v>42675</v>
      </c>
      <c r="T28" s="117">
        <v>42858</v>
      </c>
      <c r="V28" s="43" t="s">
        <v>317</v>
      </c>
      <c r="X28" s="43" t="s">
        <v>318</v>
      </c>
      <c r="Y28" s="43" t="s">
        <v>361</v>
      </c>
      <c r="Z28" s="43" t="s">
        <v>361</v>
      </c>
      <c r="AA28" s="43" t="s">
        <v>320</v>
      </c>
      <c r="AB28" s="144">
        <v>0.12399999797344199</v>
      </c>
      <c r="AC28" s="125">
        <v>42662</v>
      </c>
      <c r="AE28" s="117">
        <v>43880</v>
      </c>
      <c r="AF28" s="43" t="s">
        <v>75</v>
      </c>
      <c r="AG28" s="43" t="s">
        <v>322</v>
      </c>
      <c r="AH28" s="43" t="s">
        <v>398</v>
      </c>
      <c r="AJ28" s="140">
        <v>72</v>
      </c>
      <c r="AK28" s="140">
        <v>0</v>
      </c>
      <c r="AL28" s="140">
        <v>7</v>
      </c>
      <c r="AM28" s="140">
        <v>0</v>
      </c>
      <c r="AN28" s="140">
        <v>0</v>
      </c>
      <c r="AO28" s="140">
        <v>32</v>
      </c>
      <c r="AP28" s="140">
        <v>34</v>
      </c>
      <c r="AQ28" s="140">
        <v>6</v>
      </c>
      <c r="AR28" s="140">
        <v>0</v>
      </c>
      <c r="AS28" s="140">
        <v>0</v>
      </c>
      <c r="AT28" s="140">
        <v>0</v>
      </c>
      <c r="AU28" s="140">
        <v>0</v>
      </c>
      <c r="AV28" s="140">
        <v>32</v>
      </c>
      <c r="AW28" s="140">
        <v>34</v>
      </c>
      <c r="AX28" s="140">
        <v>6</v>
      </c>
      <c r="AY28" s="140">
        <v>0</v>
      </c>
      <c r="AZ28" s="140">
        <v>0</v>
      </c>
      <c r="BA28" s="140">
        <v>0</v>
      </c>
      <c r="BB28" s="140">
        <v>0</v>
      </c>
      <c r="BC28" s="140">
        <v>0</v>
      </c>
      <c r="BD28" s="140">
        <v>0</v>
      </c>
      <c r="BE28" s="140">
        <v>0</v>
      </c>
      <c r="BF28" s="140">
        <v>0</v>
      </c>
      <c r="BG28" s="140">
        <v>0</v>
      </c>
      <c r="BH28" s="140">
        <v>0</v>
      </c>
      <c r="BI28" s="140">
        <v>0</v>
      </c>
      <c r="BJ28" s="140">
        <v>0</v>
      </c>
      <c r="BK28" s="140">
        <v>0</v>
      </c>
      <c r="BL28" s="140">
        <v>0</v>
      </c>
      <c r="BM28" s="140">
        <v>0</v>
      </c>
      <c r="BN28" s="140">
        <v>0</v>
      </c>
      <c r="BO28" s="140">
        <v>0</v>
      </c>
      <c r="BQ28" s="43" t="s">
        <v>329</v>
      </c>
      <c r="BX28" s="43">
        <v>1</v>
      </c>
      <c r="BY28" s="90">
        <f t="shared" si="0"/>
        <v>72</v>
      </c>
      <c r="CT28" s="90">
        <f t="shared" si="1"/>
        <v>0</v>
      </c>
      <c r="CU28" s="90">
        <f t="shared" si="2"/>
        <v>0</v>
      </c>
    </row>
    <row r="29" spans="1:99" ht="12" customHeight="1">
      <c r="A29" s="43">
        <v>3514</v>
      </c>
      <c r="B29" s="89" t="s">
        <v>312</v>
      </c>
      <c r="C29" s="89" t="s">
        <v>400</v>
      </c>
      <c r="D29" s="89" t="s">
        <v>395</v>
      </c>
      <c r="E29" s="89" t="s">
        <v>401</v>
      </c>
      <c r="F29" s="43">
        <v>528809</v>
      </c>
      <c r="G29" s="43">
        <v>177181</v>
      </c>
      <c r="H29" s="89" t="s">
        <v>148</v>
      </c>
      <c r="I29" s="125">
        <v>42662</v>
      </c>
      <c r="K29" s="140">
        <v>0</v>
      </c>
      <c r="L29" s="140">
        <v>22</v>
      </c>
      <c r="M29" s="140">
        <v>22</v>
      </c>
      <c r="N29" s="140">
        <v>835</v>
      </c>
      <c r="O29" s="140">
        <v>835</v>
      </c>
      <c r="P29" s="43" t="s">
        <v>329</v>
      </c>
      <c r="Q29" s="89" t="s">
        <v>402</v>
      </c>
      <c r="R29" s="43" t="s">
        <v>360</v>
      </c>
      <c r="S29" s="125">
        <v>42675</v>
      </c>
      <c r="T29" s="117">
        <v>42858</v>
      </c>
      <c r="V29" s="43" t="s">
        <v>317</v>
      </c>
      <c r="X29" s="43" t="s">
        <v>318</v>
      </c>
      <c r="Y29" s="43" t="s">
        <v>361</v>
      </c>
      <c r="Z29" s="43" t="s">
        <v>361</v>
      </c>
      <c r="AA29" s="43" t="s">
        <v>320</v>
      </c>
      <c r="AB29" s="144">
        <v>3.7999998778104803E-2</v>
      </c>
      <c r="AC29" s="125">
        <v>42662</v>
      </c>
      <c r="AE29" s="117">
        <v>43861</v>
      </c>
      <c r="AF29" s="43" t="s">
        <v>54</v>
      </c>
      <c r="AG29" s="43" t="s">
        <v>399</v>
      </c>
      <c r="AH29" s="43" t="s">
        <v>398</v>
      </c>
      <c r="AJ29" s="140">
        <v>22</v>
      </c>
      <c r="AK29" s="140">
        <v>0</v>
      </c>
      <c r="AL29" s="140">
        <v>2</v>
      </c>
      <c r="AM29" s="140">
        <v>0</v>
      </c>
      <c r="AN29" s="140">
        <v>0</v>
      </c>
      <c r="AO29" s="140">
        <v>16</v>
      </c>
      <c r="AP29" s="140">
        <v>6</v>
      </c>
      <c r="AQ29" s="140">
        <v>0</v>
      </c>
      <c r="AR29" s="140">
        <v>0</v>
      </c>
      <c r="AS29" s="140">
        <v>0</v>
      </c>
      <c r="AT29" s="140">
        <v>0</v>
      </c>
      <c r="AU29" s="140">
        <v>0</v>
      </c>
      <c r="AV29" s="140">
        <v>16</v>
      </c>
      <c r="AW29" s="140">
        <v>6</v>
      </c>
      <c r="AX29" s="140">
        <v>0</v>
      </c>
      <c r="AY29" s="140">
        <v>0</v>
      </c>
      <c r="AZ29" s="140">
        <v>0</v>
      </c>
      <c r="BA29" s="140">
        <v>0</v>
      </c>
      <c r="BB29" s="140">
        <v>0</v>
      </c>
      <c r="BC29" s="140">
        <v>0</v>
      </c>
      <c r="BD29" s="140">
        <v>0</v>
      </c>
      <c r="BE29" s="140">
        <v>0</v>
      </c>
      <c r="BF29" s="140">
        <v>0</v>
      </c>
      <c r="BG29" s="140">
        <v>0</v>
      </c>
      <c r="BH29" s="140">
        <v>0</v>
      </c>
      <c r="BI29" s="140">
        <v>0</v>
      </c>
      <c r="BJ29" s="140">
        <v>0</v>
      </c>
      <c r="BK29" s="140">
        <v>0</v>
      </c>
      <c r="BL29" s="140">
        <v>0</v>
      </c>
      <c r="BM29" s="140">
        <v>0</v>
      </c>
      <c r="BN29" s="140">
        <v>0</v>
      </c>
      <c r="BO29" s="140">
        <v>0</v>
      </c>
      <c r="BQ29" s="43" t="s">
        <v>329</v>
      </c>
      <c r="BX29" s="43">
        <v>1</v>
      </c>
      <c r="BY29" s="90">
        <f t="shared" si="0"/>
        <v>22</v>
      </c>
      <c r="CT29" s="90">
        <f t="shared" si="1"/>
        <v>0</v>
      </c>
      <c r="CU29" s="90">
        <f t="shared" si="2"/>
        <v>0</v>
      </c>
    </row>
    <row r="30" spans="1:99" ht="12" customHeight="1">
      <c r="A30" s="43">
        <v>3514</v>
      </c>
      <c r="B30" s="89" t="s">
        <v>312</v>
      </c>
      <c r="C30" s="89" t="s">
        <v>403</v>
      </c>
      <c r="D30" s="89" t="s">
        <v>395</v>
      </c>
      <c r="E30" s="89" t="s">
        <v>404</v>
      </c>
      <c r="F30" s="43">
        <v>528809</v>
      </c>
      <c r="G30" s="43">
        <v>177181</v>
      </c>
      <c r="H30" s="89" t="s">
        <v>148</v>
      </c>
      <c r="I30" s="125">
        <v>42662</v>
      </c>
      <c r="K30" s="140">
        <v>0</v>
      </c>
      <c r="L30" s="140">
        <v>85</v>
      </c>
      <c r="M30" s="140">
        <v>85</v>
      </c>
      <c r="N30" s="140">
        <v>85</v>
      </c>
      <c r="O30" s="140">
        <v>85</v>
      </c>
      <c r="P30" s="43" t="s">
        <v>329</v>
      </c>
      <c r="Q30" s="89" t="s">
        <v>405</v>
      </c>
      <c r="R30" s="43" t="s">
        <v>406</v>
      </c>
      <c r="S30" s="125">
        <v>43017</v>
      </c>
      <c r="T30" s="117">
        <v>43039</v>
      </c>
      <c r="V30" s="43" t="s">
        <v>317</v>
      </c>
      <c r="X30" s="43" t="s">
        <v>318</v>
      </c>
      <c r="Y30" s="43" t="s">
        <v>361</v>
      </c>
      <c r="Z30" s="43" t="s">
        <v>361</v>
      </c>
      <c r="AA30" s="43" t="s">
        <v>320</v>
      </c>
      <c r="AB30" s="144">
        <v>0.14699999988079099</v>
      </c>
      <c r="AC30" s="125">
        <v>42662</v>
      </c>
      <c r="AE30" s="117">
        <v>43880</v>
      </c>
      <c r="AF30" s="43" t="s">
        <v>75</v>
      </c>
      <c r="AG30" s="43" t="s">
        <v>322</v>
      </c>
      <c r="AH30" s="43" t="s">
        <v>398</v>
      </c>
      <c r="AJ30" s="140">
        <v>85</v>
      </c>
      <c r="AK30" s="140">
        <v>0</v>
      </c>
      <c r="AL30" s="140">
        <v>9</v>
      </c>
      <c r="AM30" s="140">
        <v>0</v>
      </c>
      <c r="AN30" s="140">
        <v>0</v>
      </c>
      <c r="AO30" s="140">
        <v>27</v>
      </c>
      <c r="AP30" s="140">
        <v>48</v>
      </c>
      <c r="AQ30" s="140">
        <v>10</v>
      </c>
      <c r="AR30" s="140">
        <v>0</v>
      </c>
      <c r="AS30" s="140">
        <v>0</v>
      </c>
      <c r="AT30" s="140">
        <v>0</v>
      </c>
      <c r="AU30" s="140">
        <v>0</v>
      </c>
      <c r="AV30" s="140">
        <v>27</v>
      </c>
      <c r="AW30" s="140">
        <v>48</v>
      </c>
      <c r="AX30" s="140">
        <v>10</v>
      </c>
      <c r="AY30" s="140">
        <v>0</v>
      </c>
      <c r="AZ30" s="140">
        <v>0</v>
      </c>
      <c r="BA30" s="140">
        <v>0</v>
      </c>
      <c r="BB30" s="140">
        <v>0</v>
      </c>
      <c r="BC30" s="140">
        <v>0</v>
      </c>
      <c r="BD30" s="140">
        <v>0</v>
      </c>
      <c r="BE30" s="140">
        <v>0</v>
      </c>
      <c r="BF30" s="140">
        <v>0</v>
      </c>
      <c r="BG30" s="140">
        <v>0</v>
      </c>
      <c r="BH30" s="140">
        <v>0</v>
      </c>
      <c r="BI30" s="140">
        <v>0</v>
      </c>
      <c r="BJ30" s="140">
        <v>0</v>
      </c>
      <c r="BK30" s="140">
        <v>0</v>
      </c>
      <c r="BL30" s="140">
        <v>0</v>
      </c>
      <c r="BM30" s="140">
        <v>0</v>
      </c>
      <c r="BN30" s="140">
        <v>0</v>
      </c>
      <c r="BO30" s="140">
        <v>0</v>
      </c>
      <c r="BQ30" s="43" t="s">
        <v>329</v>
      </c>
      <c r="BX30" s="43">
        <v>1</v>
      </c>
      <c r="BY30" s="90">
        <f t="shared" si="0"/>
        <v>85</v>
      </c>
      <c r="CT30" s="90">
        <f t="shared" si="1"/>
        <v>0</v>
      </c>
      <c r="CU30" s="90">
        <f t="shared" si="2"/>
        <v>0</v>
      </c>
    </row>
    <row r="31" spans="1:99" ht="12" customHeight="1">
      <c r="A31" s="43">
        <v>3552</v>
      </c>
      <c r="B31" s="89" t="s">
        <v>312</v>
      </c>
      <c r="C31" s="89" t="s">
        <v>407</v>
      </c>
      <c r="D31" s="89" t="s">
        <v>408</v>
      </c>
      <c r="F31" s="43">
        <v>526972</v>
      </c>
      <c r="G31" s="43">
        <v>176793</v>
      </c>
      <c r="H31" s="89" t="s">
        <v>177</v>
      </c>
      <c r="I31" s="125">
        <v>43678</v>
      </c>
      <c r="J31" s="117">
        <v>43910</v>
      </c>
      <c r="K31" s="140">
        <v>0</v>
      </c>
      <c r="L31" s="140">
        <v>1</v>
      </c>
      <c r="M31" s="140">
        <v>1</v>
      </c>
      <c r="N31" s="140">
        <v>1</v>
      </c>
      <c r="O31" s="140">
        <v>1</v>
      </c>
      <c r="Q31" s="89" t="s">
        <v>409</v>
      </c>
      <c r="R31" s="43" t="s">
        <v>383</v>
      </c>
      <c r="S31" s="125">
        <v>43060</v>
      </c>
      <c r="T31" s="117">
        <v>43158</v>
      </c>
      <c r="V31" s="43" t="s">
        <v>384</v>
      </c>
      <c r="W31" s="117">
        <v>43332</v>
      </c>
      <c r="X31" s="43" t="s">
        <v>318</v>
      </c>
      <c r="Y31" s="43" t="s">
        <v>336</v>
      </c>
      <c r="Z31" s="43" t="s">
        <v>320</v>
      </c>
      <c r="AA31" s="43" t="s">
        <v>36</v>
      </c>
      <c r="AB31" s="144">
        <v>7.0000002160668399E-3</v>
      </c>
      <c r="AC31" s="125">
        <v>43678</v>
      </c>
      <c r="AD31" s="43" t="s">
        <v>329</v>
      </c>
      <c r="AE31" s="117">
        <v>43910</v>
      </c>
      <c r="AF31" s="43" t="s">
        <v>75</v>
      </c>
      <c r="AG31" s="43" t="s">
        <v>322</v>
      </c>
      <c r="AJ31" s="140">
        <v>0</v>
      </c>
      <c r="AK31" s="140">
        <v>0</v>
      </c>
      <c r="AL31" s="140">
        <v>0</v>
      </c>
      <c r="AM31" s="140">
        <v>0</v>
      </c>
      <c r="AN31" s="140">
        <v>0</v>
      </c>
      <c r="AO31" s="140">
        <v>0</v>
      </c>
      <c r="AP31" s="140">
        <v>0</v>
      </c>
      <c r="AQ31" s="140">
        <v>1</v>
      </c>
      <c r="AR31" s="140">
        <v>0</v>
      </c>
      <c r="AS31" s="140">
        <v>0</v>
      </c>
      <c r="AT31" s="140">
        <v>0</v>
      </c>
      <c r="AU31" s="140">
        <v>0</v>
      </c>
      <c r="AV31" s="140">
        <v>0</v>
      </c>
      <c r="AW31" s="140">
        <v>0</v>
      </c>
      <c r="AX31" s="140">
        <v>1</v>
      </c>
      <c r="AY31" s="140">
        <v>0</v>
      </c>
      <c r="AZ31" s="140">
        <v>0</v>
      </c>
      <c r="BA31" s="140">
        <v>0</v>
      </c>
      <c r="BB31" s="140">
        <v>0</v>
      </c>
      <c r="BC31" s="140">
        <v>0</v>
      </c>
      <c r="BD31" s="140">
        <v>0</v>
      </c>
      <c r="BE31" s="140">
        <v>0</v>
      </c>
      <c r="BF31" s="140">
        <v>0</v>
      </c>
      <c r="BG31" s="140">
        <v>0</v>
      </c>
      <c r="BH31" s="140">
        <v>0</v>
      </c>
      <c r="BI31" s="140">
        <v>0</v>
      </c>
      <c r="BJ31" s="140">
        <v>0</v>
      </c>
      <c r="BK31" s="140">
        <v>0</v>
      </c>
      <c r="BL31" s="140">
        <v>0</v>
      </c>
      <c r="BM31" s="140">
        <v>0</v>
      </c>
      <c r="BN31" s="140">
        <v>0</v>
      </c>
      <c r="BO31" s="140">
        <v>0</v>
      </c>
      <c r="BX31" s="43">
        <v>12</v>
      </c>
      <c r="BY31" s="90">
        <f t="shared" si="0"/>
        <v>1</v>
      </c>
      <c r="CT31" s="90">
        <f t="shared" si="1"/>
        <v>0</v>
      </c>
      <c r="CU31" s="90">
        <f t="shared" si="2"/>
        <v>0</v>
      </c>
    </row>
    <row r="32" spans="1:99" ht="12" customHeight="1">
      <c r="A32" s="43">
        <v>3568</v>
      </c>
      <c r="B32" s="89" t="s">
        <v>312</v>
      </c>
      <c r="C32" s="89" t="s">
        <v>410</v>
      </c>
      <c r="D32" s="89" t="s">
        <v>411</v>
      </c>
      <c r="F32" s="43">
        <v>521152</v>
      </c>
      <c r="G32" s="43">
        <v>174359</v>
      </c>
      <c r="H32" s="89" t="s">
        <v>149</v>
      </c>
      <c r="I32" s="125">
        <v>43190</v>
      </c>
      <c r="K32" s="140">
        <v>0</v>
      </c>
      <c r="L32" s="140">
        <v>1</v>
      </c>
      <c r="M32" s="140">
        <v>1</v>
      </c>
      <c r="N32" s="140">
        <v>2</v>
      </c>
      <c r="O32" s="140">
        <v>1</v>
      </c>
      <c r="Q32" s="89" t="s">
        <v>412</v>
      </c>
      <c r="R32" s="43" t="s">
        <v>316</v>
      </c>
      <c r="S32" s="125">
        <v>42905</v>
      </c>
      <c r="T32" s="117">
        <v>43027</v>
      </c>
      <c r="V32" s="43" t="s">
        <v>317</v>
      </c>
      <c r="X32" s="43" t="s">
        <v>413</v>
      </c>
      <c r="Y32" s="43" t="s">
        <v>361</v>
      </c>
      <c r="Z32" s="43" t="s">
        <v>320</v>
      </c>
      <c r="AA32" s="43" t="s">
        <v>353</v>
      </c>
      <c r="AB32" s="144">
        <v>6.9000000000000006E-2</v>
      </c>
      <c r="AC32" s="125">
        <v>43190</v>
      </c>
      <c r="AE32" s="117">
        <v>43609</v>
      </c>
      <c r="AF32" s="43" t="s">
        <v>75</v>
      </c>
      <c r="AG32" s="43" t="s">
        <v>322</v>
      </c>
      <c r="AJ32" s="140">
        <v>0</v>
      </c>
      <c r="AK32" s="140">
        <v>1</v>
      </c>
      <c r="AL32" s="140">
        <v>0</v>
      </c>
      <c r="AM32" s="140">
        <v>0</v>
      </c>
      <c r="AN32" s="140">
        <v>0</v>
      </c>
      <c r="AO32" s="140">
        <v>0</v>
      </c>
      <c r="AP32" s="140">
        <v>0</v>
      </c>
      <c r="AQ32" s="140">
        <v>0</v>
      </c>
      <c r="AR32" s="140">
        <v>0</v>
      </c>
      <c r="AS32" s="140">
        <v>1</v>
      </c>
      <c r="AT32" s="140">
        <v>0</v>
      </c>
      <c r="AU32" s="140">
        <v>0</v>
      </c>
      <c r="AV32" s="140">
        <v>0</v>
      </c>
      <c r="AW32" s="140">
        <v>0</v>
      </c>
      <c r="AX32" s="140">
        <v>0</v>
      </c>
      <c r="AY32" s="140">
        <v>0</v>
      </c>
      <c r="AZ32" s="140">
        <v>0</v>
      </c>
      <c r="BA32" s="140">
        <v>0</v>
      </c>
      <c r="BB32" s="140">
        <v>0</v>
      </c>
      <c r="BC32" s="140">
        <v>0</v>
      </c>
      <c r="BD32" s="140">
        <v>0</v>
      </c>
      <c r="BE32" s="140">
        <v>0</v>
      </c>
      <c r="BF32" s="140">
        <v>0</v>
      </c>
      <c r="BG32" s="140">
        <v>1</v>
      </c>
      <c r="BH32" s="140">
        <v>0</v>
      </c>
      <c r="BI32" s="140">
        <v>0</v>
      </c>
      <c r="BJ32" s="140">
        <v>0</v>
      </c>
      <c r="BK32" s="140">
        <v>0</v>
      </c>
      <c r="BL32" s="140">
        <v>0</v>
      </c>
      <c r="BM32" s="140">
        <v>0</v>
      </c>
      <c r="BN32" s="140">
        <v>0</v>
      </c>
      <c r="BO32" s="140">
        <v>0</v>
      </c>
      <c r="BX32" s="43">
        <v>1</v>
      </c>
      <c r="BY32" s="90">
        <f t="shared" si="0"/>
        <v>1</v>
      </c>
      <c r="CT32" s="90">
        <f t="shared" si="1"/>
        <v>0</v>
      </c>
      <c r="CU32" s="90">
        <f t="shared" si="2"/>
        <v>0</v>
      </c>
    </row>
    <row r="33" spans="1:99" ht="12" customHeight="1">
      <c r="A33" s="43">
        <v>3582</v>
      </c>
      <c r="B33" s="89" t="s">
        <v>312</v>
      </c>
      <c r="C33" s="89" t="s">
        <v>414</v>
      </c>
      <c r="D33" s="89" t="s">
        <v>415</v>
      </c>
      <c r="F33" s="43">
        <v>528790</v>
      </c>
      <c r="G33" s="43">
        <v>173129</v>
      </c>
      <c r="H33" s="89" t="s">
        <v>138</v>
      </c>
      <c r="I33" s="125">
        <v>43418</v>
      </c>
      <c r="J33" s="117">
        <v>43771</v>
      </c>
      <c r="K33" s="140">
        <v>0</v>
      </c>
      <c r="L33" s="140">
        <v>1</v>
      </c>
      <c r="M33" s="140">
        <v>1</v>
      </c>
      <c r="N33" s="140">
        <v>1</v>
      </c>
      <c r="O33" s="140">
        <v>1</v>
      </c>
      <c r="Q33" s="89" t="s">
        <v>416</v>
      </c>
      <c r="R33" s="43" t="s">
        <v>316</v>
      </c>
      <c r="S33" s="125">
        <v>43362</v>
      </c>
      <c r="T33" s="117">
        <v>43418</v>
      </c>
      <c r="V33" s="43" t="s">
        <v>317</v>
      </c>
      <c r="X33" s="43" t="s">
        <v>318</v>
      </c>
      <c r="Y33" s="43" t="s">
        <v>379</v>
      </c>
      <c r="Z33" s="43" t="s">
        <v>320</v>
      </c>
      <c r="AA33" s="43" t="s">
        <v>340</v>
      </c>
      <c r="AB33" s="144">
        <v>4.0000001899898104E-3</v>
      </c>
      <c r="AC33" s="125">
        <v>43418</v>
      </c>
      <c r="AE33" s="117">
        <v>43771</v>
      </c>
      <c r="AF33" s="43" t="s">
        <v>75</v>
      </c>
      <c r="AG33" s="43" t="s">
        <v>322</v>
      </c>
      <c r="AJ33" s="140">
        <v>0</v>
      </c>
      <c r="AK33" s="140">
        <v>0</v>
      </c>
      <c r="AL33" s="140">
        <v>0</v>
      </c>
      <c r="AM33" s="140">
        <v>0</v>
      </c>
      <c r="AN33" s="140">
        <v>0</v>
      </c>
      <c r="AO33" s="140">
        <v>1</v>
      </c>
      <c r="AP33" s="140">
        <v>0</v>
      </c>
      <c r="AQ33" s="140">
        <v>0</v>
      </c>
      <c r="AR33" s="140">
        <v>0</v>
      </c>
      <c r="AS33" s="140">
        <v>0</v>
      </c>
      <c r="AT33" s="140">
        <v>0</v>
      </c>
      <c r="AU33" s="140">
        <v>0</v>
      </c>
      <c r="AV33" s="140">
        <v>1</v>
      </c>
      <c r="AW33" s="140">
        <v>0</v>
      </c>
      <c r="AX33" s="140">
        <v>0</v>
      </c>
      <c r="AY33" s="140">
        <v>0</v>
      </c>
      <c r="AZ33" s="140">
        <v>0</v>
      </c>
      <c r="BA33" s="140">
        <v>0</v>
      </c>
      <c r="BB33" s="140">
        <v>0</v>
      </c>
      <c r="BC33" s="140">
        <v>0</v>
      </c>
      <c r="BD33" s="140">
        <v>0</v>
      </c>
      <c r="BE33" s="140">
        <v>0</v>
      </c>
      <c r="BF33" s="140">
        <v>0</v>
      </c>
      <c r="BG33" s="140">
        <v>0</v>
      </c>
      <c r="BH33" s="140">
        <v>0</v>
      </c>
      <c r="BI33" s="140">
        <v>0</v>
      </c>
      <c r="BJ33" s="140">
        <v>0</v>
      </c>
      <c r="BK33" s="140">
        <v>0</v>
      </c>
      <c r="BL33" s="140">
        <v>0</v>
      </c>
      <c r="BM33" s="140">
        <v>0</v>
      </c>
      <c r="BN33" s="140">
        <v>0</v>
      </c>
      <c r="BO33" s="140">
        <v>0</v>
      </c>
      <c r="BX33" s="43">
        <v>12</v>
      </c>
      <c r="BY33" s="90">
        <f t="shared" si="0"/>
        <v>1</v>
      </c>
      <c r="CT33" s="90">
        <f t="shared" si="1"/>
        <v>0</v>
      </c>
      <c r="CU33" s="90">
        <f t="shared" si="2"/>
        <v>0</v>
      </c>
    </row>
    <row r="34" spans="1:99" ht="12" customHeight="1">
      <c r="A34" s="43">
        <v>3588</v>
      </c>
      <c r="B34" s="89" t="s">
        <v>312</v>
      </c>
      <c r="C34" s="89" t="s">
        <v>417</v>
      </c>
      <c r="D34" s="89" t="s">
        <v>418</v>
      </c>
      <c r="F34" s="43">
        <v>528283</v>
      </c>
      <c r="G34" s="43">
        <v>175682</v>
      </c>
      <c r="H34" s="89" t="s">
        <v>175</v>
      </c>
      <c r="I34" s="125">
        <v>43241</v>
      </c>
      <c r="J34" s="117">
        <v>43795</v>
      </c>
      <c r="K34" s="140">
        <v>1</v>
      </c>
      <c r="L34" s="140">
        <v>0</v>
      </c>
      <c r="M34" s="140">
        <v>-1</v>
      </c>
      <c r="N34" s="140">
        <v>0</v>
      </c>
      <c r="O34" s="140">
        <v>-1</v>
      </c>
      <c r="Q34" s="89" t="s">
        <v>419</v>
      </c>
      <c r="R34" s="43" t="s">
        <v>316</v>
      </c>
      <c r="S34" s="125">
        <v>43070</v>
      </c>
      <c r="T34" s="117">
        <v>43217</v>
      </c>
      <c r="V34" s="43" t="s">
        <v>317</v>
      </c>
      <c r="X34" s="43" t="s">
        <v>318</v>
      </c>
      <c r="Y34" s="43" t="s">
        <v>319</v>
      </c>
      <c r="Z34" s="43" t="s">
        <v>320</v>
      </c>
      <c r="AA34" s="43" t="s">
        <v>321</v>
      </c>
      <c r="AB34" s="144">
        <v>8.0000003799796104E-3</v>
      </c>
      <c r="AC34" s="125">
        <v>43241</v>
      </c>
      <c r="AE34" s="117">
        <v>43795</v>
      </c>
      <c r="AF34" s="43" t="s">
        <v>75</v>
      </c>
      <c r="AG34" s="43" t="s">
        <v>322</v>
      </c>
      <c r="AJ34" s="140">
        <v>0</v>
      </c>
      <c r="AK34" s="140">
        <v>0</v>
      </c>
      <c r="AL34" s="140">
        <v>0</v>
      </c>
      <c r="AM34" s="140">
        <v>0</v>
      </c>
      <c r="AN34" s="140">
        <v>0</v>
      </c>
      <c r="AO34" s="140">
        <v>0</v>
      </c>
      <c r="AP34" s="140">
        <v>0</v>
      </c>
      <c r="AQ34" s="140">
        <v>0</v>
      </c>
      <c r="AR34" s="140">
        <v>-1</v>
      </c>
      <c r="AS34" s="140">
        <v>0</v>
      </c>
      <c r="AT34" s="140">
        <v>0</v>
      </c>
      <c r="AU34" s="140">
        <v>0</v>
      </c>
      <c r="AV34" s="140">
        <v>0</v>
      </c>
      <c r="AW34" s="140">
        <v>0</v>
      </c>
      <c r="AX34" s="140">
        <v>0</v>
      </c>
      <c r="AY34" s="140">
        <v>-1</v>
      </c>
      <c r="AZ34" s="140">
        <v>0</v>
      </c>
      <c r="BA34" s="140">
        <v>0</v>
      </c>
      <c r="BB34" s="140">
        <v>0</v>
      </c>
      <c r="BC34" s="140">
        <v>0</v>
      </c>
      <c r="BD34" s="140">
        <v>0</v>
      </c>
      <c r="BE34" s="140">
        <v>0</v>
      </c>
      <c r="BF34" s="140">
        <v>0</v>
      </c>
      <c r="BG34" s="140">
        <v>0</v>
      </c>
      <c r="BH34" s="140">
        <v>0</v>
      </c>
      <c r="BI34" s="140">
        <v>0</v>
      </c>
      <c r="BJ34" s="140">
        <v>0</v>
      </c>
      <c r="BK34" s="140">
        <v>0</v>
      </c>
      <c r="BL34" s="140">
        <v>0</v>
      </c>
      <c r="BM34" s="140">
        <v>0</v>
      </c>
      <c r="BN34" s="140">
        <v>0</v>
      </c>
      <c r="BO34" s="140">
        <v>0</v>
      </c>
      <c r="BX34" s="43">
        <v>12</v>
      </c>
      <c r="BY34" s="90">
        <f t="shared" ref="BY34:BY65" si="3">M34</f>
        <v>-1</v>
      </c>
      <c r="CT34" s="90">
        <f t="shared" si="1"/>
        <v>0</v>
      </c>
      <c r="CU34" s="90">
        <f t="shared" si="2"/>
        <v>0</v>
      </c>
    </row>
    <row r="35" spans="1:99" ht="12" customHeight="1">
      <c r="A35" s="43">
        <v>3726</v>
      </c>
      <c r="B35" s="89" t="s">
        <v>312</v>
      </c>
      <c r="C35" s="89" t="s">
        <v>420</v>
      </c>
      <c r="D35" s="89" t="s">
        <v>421</v>
      </c>
      <c r="F35" s="43">
        <v>525701</v>
      </c>
      <c r="G35" s="43">
        <v>173658</v>
      </c>
      <c r="H35" s="89" t="s">
        <v>168</v>
      </c>
      <c r="I35" s="125">
        <v>43404</v>
      </c>
      <c r="J35" s="117">
        <v>43921</v>
      </c>
      <c r="K35" s="140">
        <v>0</v>
      </c>
      <c r="L35" s="140">
        <v>1</v>
      </c>
      <c r="M35" s="140">
        <v>1</v>
      </c>
      <c r="N35" s="140">
        <v>1</v>
      </c>
      <c r="O35" s="140">
        <v>1</v>
      </c>
      <c r="Q35" s="89" t="s">
        <v>422</v>
      </c>
      <c r="R35" s="43" t="s">
        <v>316</v>
      </c>
      <c r="S35" s="125">
        <v>42916</v>
      </c>
      <c r="T35" s="117">
        <v>43158</v>
      </c>
      <c r="V35" s="43" t="s">
        <v>317</v>
      </c>
      <c r="X35" s="43" t="s">
        <v>318</v>
      </c>
      <c r="Y35" s="43" t="s">
        <v>361</v>
      </c>
      <c r="Z35" s="43" t="s">
        <v>320</v>
      </c>
      <c r="AA35" s="43" t="s">
        <v>353</v>
      </c>
      <c r="AB35" s="144">
        <v>1.7000000923872001E-2</v>
      </c>
      <c r="AC35" s="125">
        <v>43404</v>
      </c>
      <c r="AE35" s="117">
        <v>43921</v>
      </c>
      <c r="AF35" s="43" t="s">
        <v>75</v>
      </c>
      <c r="AG35" s="43" t="s">
        <v>322</v>
      </c>
      <c r="AJ35" s="140">
        <v>0</v>
      </c>
      <c r="AK35" s="140">
        <v>0</v>
      </c>
      <c r="AL35" s="140">
        <v>0</v>
      </c>
      <c r="AM35" s="140">
        <v>0</v>
      </c>
      <c r="AN35" s="140">
        <v>0</v>
      </c>
      <c r="AO35" s="140">
        <v>0</v>
      </c>
      <c r="AP35" s="140">
        <v>0</v>
      </c>
      <c r="AQ35" s="140">
        <v>1</v>
      </c>
      <c r="AR35" s="140">
        <v>0</v>
      </c>
      <c r="AS35" s="140">
        <v>0</v>
      </c>
      <c r="AT35" s="140">
        <v>0</v>
      </c>
      <c r="AU35" s="140">
        <v>0</v>
      </c>
      <c r="AV35" s="140">
        <v>0</v>
      </c>
      <c r="AW35" s="140">
        <v>0</v>
      </c>
      <c r="AX35" s="140">
        <v>0</v>
      </c>
      <c r="AY35" s="140">
        <v>0</v>
      </c>
      <c r="AZ35" s="140">
        <v>0</v>
      </c>
      <c r="BA35" s="140">
        <v>0</v>
      </c>
      <c r="BB35" s="140">
        <v>0</v>
      </c>
      <c r="BC35" s="140">
        <v>0</v>
      </c>
      <c r="BD35" s="140">
        <v>0</v>
      </c>
      <c r="BE35" s="140">
        <v>1</v>
      </c>
      <c r="BF35" s="140">
        <v>0</v>
      </c>
      <c r="BG35" s="140">
        <v>0</v>
      </c>
      <c r="BH35" s="140">
        <v>0</v>
      </c>
      <c r="BI35" s="140">
        <v>0</v>
      </c>
      <c r="BJ35" s="140">
        <v>0</v>
      </c>
      <c r="BK35" s="140">
        <v>0</v>
      </c>
      <c r="BL35" s="140">
        <v>0</v>
      </c>
      <c r="BM35" s="140">
        <v>0</v>
      </c>
      <c r="BN35" s="140">
        <v>0</v>
      </c>
      <c r="BO35" s="140">
        <v>0</v>
      </c>
      <c r="BW35" s="43" t="s">
        <v>329</v>
      </c>
      <c r="BX35" s="43">
        <v>1</v>
      </c>
      <c r="BY35" s="90">
        <f t="shared" si="3"/>
        <v>1</v>
      </c>
      <c r="CT35" s="90">
        <f t="shared" si="1"/>
        <v>0</v>
      </c>
      <c r="CU35" s="90">
        <f t="shared" si="2"/>
        <v>0</v>
      </c>
    </row>
    <row r="36" spans="1:99" ht="12" customHeight="1">
      <c r="A36" s="43">
        <v>3804</v>
      </c>
      <c r="B36" s="89" t="s">
        <v>312</v>
      </c>
      <c r="C36" s="89" t="s">
        <v>423</v>
      </c>
      <c r="D36" s="89" t="s">
        <v>424</v>
      </c>
      <c r="F36" s="43">
        <v>527688</v>
      </c>
      <c r="G36" s="43">
        <v>174538</v>
      </c>
      <c r="H36" s="89" t="s">
        <v>174</v>
      </c>
      <c r="I36" s="125">
        <v>43556</v>
      </c>
      <c r="J36" s="117">
        <v>43872</v>
      </c>
      <c r="K36" s="140">
        <v>0</v>
      </c>
      <c r="L36" s="140">
        <v>2</v>
      </c>
      <c r="M36" s="140">
        <v>2</v>
      </c>
      <c r="N36" s="140">
        <v>2</v>
      </c>
      <c r="O36" s="140">
        <v>2</v>
      </c>
      <c r="Q36" s="89" t="s">
        <v>425</v>
      </c>
      <c r="R36" s="43" t="s">
        <v>316</v>
      </c>
      <c r="S36" s="125">
        <v>43364</v>
      </c>
      <c r="T36" s="117">
        <v>43452</v>
      </c>
      <c r="V36" s="43" t="s">
        <v>317</v>
      </c>
      <c r="X36" s="43" t="s">
        <v>318</v>
      </c>
      <c r="Y36" s="43" t="s">
        <v>379</v>
      </c>
      <c r="Z36" s="43" t="s">
        <v>320</v>
      </c>
      <c r="AA36" s="43" t="s">
        <v>340</v>
      </c>
      <c r="AB36" s="144">
        <v>9.9999997764825804E-3</v>
      </c>
      <c r="AC36" s="125">
        <v>43556</v>
      </c>
      <c r="AD36" s="43" t="s">
        <v>329</v>
      </c>
      <c r="AE36" s="117">
        <v>43872</v>
      </c>
      <c r="AF36" s="43" t="s">
        <v>75</v>
      </c>
      <c r="AG36" s="43" t="s">
        <v>322</v>
      </c>
      <c r="AJ36" s="140">
        <v>0</v>
      </c>
      <c r="AK36" s="140">
        <v>0</v>
      </c>
      <c r="AL36" s="140">
        <v>0</v>
      </c>
      <c r="AM36" s="140">
        <v>0</v>
      </c>
      <c r="AN36" s="140">
        <v>0</v>
      </c>
      <c r="AO36" s="140">
        <v>1</v>
      </c>
      <c r="AP36" s="140">
        <v>1</v>
      </c>
      <c r="AQ36" s="140">
        <v>0</v>
      </c>
      <c r="AR36" s="140">
        <v>0</v>
      </c>
      <c r="AS36" s="140">
        <v>0</v>
      </c>
      <c r="AT36" s="140">
        <v>0</v>
      </c>
      <c r="AU36" s="140">
        <v>0</v>
      </c>
      <c r="AV36" s="140">
        <v>1</v>
      </c>
      <c r="AW36" s="140">
        <v>1</v>
      </c>
      <c r="AX36" s="140">
        <v>0</v>
      </c>
      <c r="AY36" s="140">
        <v>0</v>
      </c>
      <c r="AZ36" s="140">
        <v>0</v>
      </c>
      <c r="BA36" s="140">
        <v>0</v>
      </c>
      <c r="BB36" s="140">
        <v>0</v>
      </c>
      <c r="BC36" s="140">
        <v>0</v>
      </c>
      <c r="BD36" s="140">
        <v>0</v>
      </c>
      <c r="BE36" s="140">
        <v>0</v>
      </c>
      <c r="BF36" s="140">
        <v>0</v>
      </c>
      <c r="BG36" s="140">
        <v>0</v>
      </c>
      <c r="BH36" s="140">
        <v>0</v>
      </c>
      <c r="BI36" s="140">
        <v>0</v>
      </c>
      <c r="BJ36" s="140">
        <v>0</v>
      </c>
      <c r="BK36" s="140">
        <v>0</v>
      </c>
      <c r="BL36" s="140">
        <v>0</v>
      </c>
      <c r="BM36" s="140">
        <v>0</v>
      </c>
      <c r="BN36" s="140">
        <v>0</v>
      </c>
      <c r="BO36" s="140">
        <v>0</v>
      </c>
      <c r="BX36" s="43">
        <v>12</v>
      </c>
      <c r="BY36" s="90">
        <f t="shared" si="3"/>
        <v>2</v>
      </c>
      <c r="CT36" s="90">
        <f t="shared" si="1"/>
        <v>0</v>
      </c>
      <c r="CU36" s="90">
        <f t="shared" si="2"/>
        <v>0</v>
      </c>
    </row>
    <row r="37" spans="1:99" ht="12" customHeight="1">
      <c r="A37" s="43">
        <v>4167</v>
      </c>
      <c r="B37" s="89" t="s">
        <v>312</v>
      </c>
      <c r="C37" s="89" t="s">
        <v>426</v>
      </c>
      <c r="D37" s="89" t="s">
        <v>427</v>
      </c>
      <c r="E37" s="89" t="s">
        <v>428</v>
      </c>
      <c r="F37" s="43">
        <v>522501</v>
      </c>
      <c r="G37" s="43">
        <v>173758</v>
      </c>
      <c r="H37" s="89" t="s">
        <v>149</v>
      </c>
      <c r="I37" s="125">
        <v>43190</v>
      </c>
      <c r="J37" s="117">
        <v>43586</v>
      </c>
      <c r="K37" s="140">
        <v>0</v>
      </c>
      <c r="L37" s="140">
        <v>2</v>
      </c>
      <c r="M37" s="140">
        <v>2</v>
      </c>
      <c r="N37" s="140">
        <v>4</v>
      </c>
      <c r="O37" s="140">
        <v>4</v>
      </c>
      <c r="Q37" s="89" t="s">
        <v>429</v>
      </c>
      <c r="R37" s="43" t="s">
        <v>316</v>
      </c>
      <c r="S37" s="125">
        <v>43181</v>
      </c>
      <c r="T37" s="117">
        <v>43278</v>
      </c>
      <c r="V37" s="43" t="s">
        <v>317</v>
      </c>
      <c r="X37" s="43" t="s">
        <v>318</v>
      </c>
      <c r="Y37" s="43" t="s">
        <v>319</v>
      </c>
      <c r="Z37" s="43" t="s">
        <v>320</v>
      </c>
      <c r="AA37" s="43" t="s">
        <v>33</v>
      </c>
      <c r="AB37" s="144">
        <v>1.9999999552965199E-2</v>
      </c>
      <c r="AC37" s="125">
        <v>43190</v>
      </c>
      <c r="AE37" s="117">
        <v>43586</v>
      </c>
      <c r="AF37" s="43" t="s">
        <v>75</v>
      </c>
      <c r="AG37" s="43" t="s">
        <v>322</v>
      </c>
      <c r="AJ37" s="140">
        <v>0</v>
      </c>
      <c r="AK37" s="140">
        <v>0</v>
      </c>
      <c r="AL37" s="140">
        <v>0</v>
      </c>
      <c r="AM37" s="140">
        <v>0</v>
      </c>
      <c r="AN37" s="140">
        <v>0</v>
      </c>
      <c r="AO37" s="140">
        <v>0</v>
      </c>
      <c r="AP37" s="140">
        <v>2</v>
      </c>
      <c r="AQ37" s="140">
        <v>0</v>
      </c>
      <c r="AR37" s="140">
        <v>0</v>
      </c>
      <c r="AS37" s="140">
        <v>0</v>
      </c>
      <c r="AT37" s="140">
        <v>0</v>
      </c>
      <c r="AU37" s="140">
        <v>0</v>
      </c>
      <c r="AV37" s="140">
        <v>0</v>
      </c>
      <c r="AW37" s="140">
        <v>2</v>
      </c>
      <c r="AX37" s="140">
        <v>0</v>
      </c>
      <c r="AY37" s="140">
        <v>0</v>
      </c>
      <c r="AZ37" s="140">
        <v>0</v>
      </c>
      <c r="BA37" s="140">
        <v>0</v>
      </c>
      <c r="BB37" s="140">
        <v>0</v>
      </c>
      <c r="BC37" s="140">
        <v>0</v>
      </c>
      <c r="BD37" s="140">
        <v>0</v>
      </c>
      <c r="BE37" s="140">
        <v>0</v>
      </c>
      <c r="BF37" s="140">
        <v>0</v>
      </c>
      <c r="BG37" s="140">
        <v>0</v>
      </c>
      <c r="BH37" s="140">
        <v>0</v>
      </c>
      <c r="BI37" s="140">
        <v>0</v>
      </c>
      <c r="BJ37" s="140">
        <v>0</v>
      </c>
      <c r="BK37" s="140">
        <v>0</v>
      </c>
      <c r="BL37" s="140">
        <v>0</v>
      </c>
      <c r="BM37" s="140">
        <v>0</v>
      </c>
      <c r="BN37" s="140">
        <v>0</v>
      </c>
      <c r="BO37" s="140">
        <v>0</v>
      </c>
      <c r="BX37" s="43">
        <v>12</v>
      </c>
      <c r="BY37" s="90">
        <f t="shared" si="3"/>
        <v>2</v>
      </c>
      <c r="CT37" s="90">
        <f t="shared" si="1"/>
        <v>0</v>
      </c>
      <c r="CU37" s="90">
        <f t="shared" si="2"/>
        <v>0</v>
      </c>
    </row>
    <row r="38" spans="1:99" ht="12" customHeight="1">
      <c r="A38" s="43">
        <v>4167</v>
      </c>
      <c r="B38" s="89" t="s">
        <v>312</v>
      </c>
      <c r="C38" s="89" t="s">
        <v>426</v>
      </c>
      <c r="D38" s="89" t="s">
        <v>427</v>
      </c>
      <c r="E38" s="89" t="s">
        <v>430</v>
      </c>
      <c r="F38" s="43">
        <v>522501</v>
      </c>
      <c r="G38" s="43">
        <v>173758</v>
      </c>
      <c r="H38" s="89" t="s">
        <v>149</v>
      </c>
      <c r="I38" s="125">
        <v>43190</v>
      </c>
      <c r="J38" s="117">
        <v>43586</v>
      </c>
      <c r="K38" s="140">
        <v>0</v>
      </c>
      <c r="L38" s="140">
        <v>1</v>
      </c>
      <c r="M38" s="140">
        <v>1</v>
      </c>
      <c r="N38" s="140">
        <v>4</v>
      </c>
      <c r="O38" s="140">
        <v>4</v>
      </c>
      <c r="Q38" s="89" t="s">
        <v>429</v>
      </c>
      <c r="R38" s="43" t="s">
        <v>316</v>
      </c>
      <c r="S38" s="125">
        <v>43181</v>
      </c>
      <c r="T38" s="117">
        <v>43278</v>
      </c>
      <c r="V38" s="43" t="s">
        <v>317</v>
      </c>
      <c r="X38" s="43" t="s">
        <v>318</v>
      </c>
      <c r="Y38" s="43" t="s">
        <v>319</v>
      </c>
      <c r="Z38" s="43" t="s">
        <v>320</v>
      </c>
      <c r="AA38" s="43" t="s">
        <v>36</v>
      </c>
      <c r="AB38" s="144">
        <v>8.9999996125698107E-3</v>
      </c>
      <c r="AC38" s="125">
        <v>43190</v>
      </c>
      <c r="AE38" s="117">
        <v>43586</v>
      </c>
      <c r="AF38" s="43" t="s">
        <v>75</v>
      </c>
      <c r="AG38" s="43" t="s">
        <v>322</v>
      </c>
      <c r="AJ38" s="140">
        <v>0</v>
      </c>
      <c r="AK38" s="140">
        <v>0</v>
      </c>
      <c r="AL38" s="140">
        <v>0</v>
      </c>
      <c r="AM38" s="140">
        <v>0</v>
      </c>
      <c r="AN38" s="140">
        <v>0</v>
      </c>
      <c r="AO38" s="140">
        <v>0</v>
      </c>
      <c r="AP38" s="140">
        <v>1</v>
      </c>
      <c r="AQ38" s="140">
        <v>0</v>
      </c>
      <c r="AR38" s="140">
        <v>0</v>
      </c>
      <c r="AS38" s="140">
        <v>0</v>
      </c>
      <c r="AT38" s="140">
        <v>0</v>
      </c>
      <c r="AU38" s="140">
        <v>0</v>
      </c>
      <c r="AV38" s="140">
        <v>0</v>
      </c>
      <c r="AW38" s="140">
        <v>1</v>
      </c>
      <c r="AX38" s="140">
        <v>0</v>
      </c>
      <c r="AY38" s="140">
        <v>0</v>
      </c>
      <c r="AZ38" s="140">
        <v>0</v>
      </c>
      <c r="BA38" s="140">
        <v>0</v>
      </c>
      <c r="BB38" s="140">
        <v>0</v>
      </c>
      <c r="BC38" s="140">
        <v>0</v>
      </c>
      <c r="BD38" s="140">
        <v>0</v>
      </c>
      <c r="BE38" s="140">
        <v>0</v>
      </c>
      <c r="BF38" s="140">
        <v>0</v>
      </c>
      <c r="BG38" s="140">
        <v>0</v>
      </c>
      <c r="BH38" s="140">
        <v>0</v>
      </c>
      <c r="BI38" s="140">
        <v>0</v>
      </c>
      <c r="BJ38" s="140">
        <v>0</v>
      </c>
      <c r="BK38" s="140">
        <v>0</v>
      </c>
      <c r="BL38" s="140">
        <v>0</v>
      </c>
      <c r="BM38" s="140">
        <v>0</v>
      </c>
      <c r="BN38" s="140">
        <v>0</v>
      </c>
      <c r="BO38" s="140">
        <v>0</v>
      </c>
      <c r="BX38" s="43">
        <v>12</v>
      </c>
      <c r="BY38" s="90">
        <f t="shared" si="3"/>
        <v>1</v>
      </c>
      <c r="CT38" s="90">
        <f t="shared" si="1"/>
        <v>0</v>
      </c>
      <c r="CU38" s="90">
        <f t="shared" si="2"/>
        <v>0</v>
      </c>
    </row>
    <row r="39" spans="1:99" ht="12" customHeight="1">
      <c r="A39" s="43">
        <v>4167</v>
      </c>
      <c r="B39" s="89" t="s">
        <v>312</v>
      </c>
      <c r="C39" s="89" t="s">
        <v>426</v>
      </c>
      <c r="D39" s="89" t="s">
        <v>427</v>
      </c>
      <c r="E39" s="89" t="s">
        <v>431</v>
      </c>
      <c r="F39" s="43">
        <v>522501</v>
      </c>
      <c r="G39" s="43">
        <v>173758</v>
      </c>
      <c r="H39" s="89" t="s">
        <v>149</v>
      </c>
      <c r="I39" s="125">
        <v>43190</v>
      </c>
      <c r="J39" s="117">
        <v>43586</v>
      </c>
      <c r="K39" s="140">
        <v>0</v>
      </c>
      <c r="L39" s="140">
        <v>1</v>
      </c>
      <c r="M39" s="140">
        <v>1</v>
      </c>
      <c r="N39" s="140">
        <v>4</v>
      </c>
      <c r="O39" s="140">
        <v>4</v>
      </c>
      <c r="Q39" s="89" t="s">
        <v>429</v>
      </c>
      <c r="R39" s="43" t="s">
        <v>316</v>
      </c>
      <c r="S39" s="125">
        <v>43181</v>
      </c>
      <c r="T39" s="117">
        <v>43278</v>
      </c>
      <c r="V39" s="43" t="s">
        <v>317</v>
      </c>
      <c r="X39" s="43" t="s">
        <v>318</v>
      </c>
      <c r="Y39" s="43" t="s">
        <v>319</v>
      </c>
      <c r="Z39" s="43" t="s">
        <v>320</v>
      </c>
      <c r="AA39" s="43" t="s">
        <v>353</v>
      </c>
      <c r="AB39" s="144">
        <v>8.9999996125698107E-3</v>
      </c>
      <c r="AC39" s="125">
        <v>43190</v>
      </c>
      <c r="AE39" s="117">
        <v>43586</v>
      </c>
      <c r="AF39" s="43" t="s">
        <v>75</v>
      </c>
      <c r="AG39" s="43" t="s">
        <v>322</v>
      </c>
      <c r="AJ39" s="140">
        <v>0</v>
      </c>
      <c r="AK39" s="140">
        <v>0</v>
      </c>
      <c r="AL39" s="140">
        <v>0</v>
      </c>
      <c r="AM39" s="140">
        <v>0</v>
      </c>
      <c r="AN39" s="140">
        <v>0</v>
      </c>
      <c r="AO39" s="140">
        <v>0</v>
      </c>
      <c r="AP39" s="140">
        <v>1</v>
      </c>
      <c r="AQ39" s="140">
        <v>0</v>
      </c>
      <c r="AR39" s="140">
        <v>0</v>
      </c>
      <c r="AS39" s="140">
        <v>0</v>
      </c>
      <c r="AT39" s="140">
        <v>0</v>
      </c>
      <c r="AU39" s="140">
        <v>0</v>
      </c>
      <c r="AV39" s="140">
        <v>0</v>
      </c>
      <c r="AW39" s="140">
        <v>1</v>
      </c>
      <c r="AX39" s="140">
        <v>0</v>
      </c>
      <c r="AY39" s="140">
        <v>0</v>
      </c>
      <c r="AZ39" s="140">
        <v>0</v>
      </c>
      <c r="BA39" s="140">
        <v>0</v>
      </c>
      <c r="BB39" s="140">
        <v>0</v>
      </c>
      <c r="BC39" s="140">
        <v>0</v>
      </c>
      <c r="BD39" s="140">
        <v>0</v>
      </c>
      <c r="BE39" s="140">
        <v>0</v>
      </c>
      <c r="BF39" s="140">
        <v>0</v>
      </c>
      <c r="BG39" s="140">
        <v>0</v>
      </c>
      <c r="BH39" s="140">
        <v>0</v>
      </c>
      <c r="BI39" s="140">
        <v>0</v>
      </c>
      <c r="BJ39" s="140">
        <v>0</v>
      </c>
      <c r="BK39" s="140">
        <v>0</v>
      </c>
      <c r="BL39" s="140">
        <v>0</v>
      </c>
      <c r="BM39" s="140">
        <v>0</v>
      </c>
      <c r="BN39" s="140">
        <v>0</v>
      </c>
      <c r="BO39" s="140">
        <v>0</v>
      </c>
      <c r="BX39" s="43">
        <v>12</v>
      </c>
      <c r="BY39" s="90">
        <f t="shared" si="3"/>
        <v>1</v>
      </c>
      <c r="CT39" s="90">
        <f t="shared" si="1"/>
        <v>0</v>
      </c>
      <c r="CU39" s="90">
        <f t="shared" si="2"/>
        <v>0</v>
      </c>
    </row>
    <row r="40" spans="1:99" ht="12" customHeight="1">
      <c r="A40" s="43">
        <v>4209</v>
      </c>
      <c r="B40" s="89" t="s">
        <v>312</v>
      </c>
      <c r="C40" s="89" t="s">
        <v>432</v>
      </c>
      <c r="D40" s="89" t="s">
        <v>433</v>
      </c>
      <c r="F40" s="43">
        <v>527484</v>
      </c>
      <c r="G40" s="43">
        <v>174871</v>
      </c>
      <c r="H40" s="89" t="s">
        <v>174</v>
      </c>
      <c r="I40" s="125">
        <v>43555</v>
      </c>
      <c r="J40" s="117">
        <v>43903</v>
      </c>
      <c r="K40" s="140">
        <v>0</v>
      </c>
      <c r="L40" s="140">
        <v>1</v>
      </c>
      <c r="M40" s="140">
        <v>1</v>
      </c>
      <c r="N40" s="140">
        <v>1</v>
      </c>
      <c r="O40" s="140">
        <v>1</v>
      </c>
      <c r="Q40" s="89" t="s">
        <v>434</v>
      </c>
      <c r="R40" s="43" t="s">
        <v>316</v>
      </c>
      <c r="S40" s="125">
        <v>43321</v>
      </c>
      <c r="T40" s="117">
        <v>43406</v>
      </c>
      <c r="V40" s="43" t="s">
        <v>317</v>
      </c>
      <c r="X40" s="43" t="s">
        <v>318</v>
      </c>
      <c r="Y40" s="43" t="s">
        <v>379</v>
      </c>
      <c r="Z40" s="43" t="s">
        <v>320</v>
      </c>
      <c r="AA40" s="43" t="s">
        <v>340</v>
      </c>
      <c r="AB40" s="144">
        <v>4.0000001899898104E-3</v>
      </c>
      <c r="AC40" s="125">
        <v>43555</v>
      </c>
      <c r="AE40" s="117">
        <v>43903</v>
      </c>
      <c r="AF40" s="43" t="s">
        <v>75</v>
      </c>
      <c r="AG40" s="43" t="s">
        <v>322</v>
      </c>
      <c r="AJ40" s="140">
        <v>0</v>
      </c>
      <c r="AK40" s="140">
        <v>0</v>
      </c>
      <c r="AL40" s="140">
        <v>0</v>
      </c>
      <c r="AM40" s="140">
        <v>0</v>
      </c>
      <c r="AN40" s="140">
        <v>0</v>
      </c>
      <c r="AO40" s="140">
        <v>0</v>
      </c>
      <c r="AP40" s="140">
        <v>1</v>
      </c>
      <c r="AQ40" s="140">
        <v>0</v>
      </c>
      <c r="AR40" s="140">
        <v>0</v>
      </c>
      <c r="AS40" s="140">
        <v>0</v>
      </c>
      <c r="AT40" s="140">
        <v>0</v>
      </c>
      <c r="AU40" s="140">
        <v>0</v>
      </c>
      <c r="AV40" s="140">
        <v>0</v>
      </c>
      <c r="AW40" s="140">
        <v>1</v>
      </c>
      <c r="AX40" s="140">
        <v>0</v>
      </c>
      <c r="AY40" s="140">
        <v>0</v>
      </c>
      <c r="AZ40" s="140">
        <v>0</v>
      </c>
      <c r="BA40" s="140">
        <v>0</v>
      </c>
      <c r="BB40" s="140">
        <v>0</v>
      </c>
      <c r="BC40" s="140">
        <v>0</v>
      </c>
      <c r="BD40" s="140">
        <v>0</v>
      </c>
      <c r="BE40" s="140">
        <v>0</v>
      </c>
      <c r="BF40" s="140">
        <v>0</v>
      </c>
      <c r="BG40" s="140">
        <v>0</v>
      </c>
      <c r="BH40" s="140">
        <v>0</v>
      </c>
      <c r="BI40" s="140">
        <v>0</v>
      </c>
      <c r="BJ40" s="140">
        <v>0</v>
      </c>
      <c r="BK40" s="140">
        <v>0</v>
      </c>
      <c r="BL40" s="140">
        <v>0</v>
      </c>
      <c r="BM40" s="140">
        <v>0</v>
      </c>
      <c r="BN40" s="140">
        <v>0</v>
      </c>
      <c r="BO40" s="140">
        <v>0</v>
      </c>
      <c r="BP40" s="43" t="s">
        <v>139</v>
      </c>
      <c r="BX40" s="43">
        <v>12</v>
      </c>
      <c r="BY40" s="90">
        <f t="shared" si="3"/>
        <v>1</v>
      </c>
      <c r="CT40" s="90">
        <f t="shared" si="1"/>
        <v>0</v>
      </c>
      <c r="CU40" s="90">
        <f t="shared" si="2"/>
        <v>0</v>
      </c>
    </row>
    <row r="41" spans="1:99" ht="12" customHeight="1">
      <c r="A41" s="43">
        <v>4281</v>
      </c>
      <c r="B41" s="89" t="s">
        <v>312</v>
      </c>
      <c r="C41" s="89" t="s">
        <v>435</v>
      </c>
      <c r="D41" s="89" t="s">
        <v>436</v>
      </c>
      <c r="F41" s="43">
        <v>529104</v>
      </c>
      <c r="G41" s="43">
        <v>177095</v>
      </c>
      <c r="H41" s="89" t="s">
        <v>148</v>
      </c>
      <c r="I41" s="125">
        <v>42852</v>
      </c>
      <c r="J41" s="117">
        <v>43774</v>
      </c>
      <c r="K41" s="140">
        <v>12</v>
      </c>
      <c r="L41" s="140">
        <v>22</v>
      </c>
      <c r="M41" s="140">
        <v>10</v>
      </c>
      <c r="N41" s="140">
        <v>22</v>
      </c>
      <c r="O41" s="140">
        <v>10</v>
      </c>
      <c r="P41" s="43" t="s">
        <v>329</v>
      </c>
      <c r="Q41" s="89" t="s">
        <v>437</v>
      </c>
      <c r="R41" s="43" t="s">
        <v>316</v>
      </c>
      <c r="S41" s="125">
        <v>41872</v>
      </c>
      <c r="T41" s="117">
        <v>41953</v>
      </c>
      <c r="V41" s="43" t="s">
        <v>317</v>
      </c>
      <c r="X41" s="43" t="s">
        <v>318</v>
      </c>
      <c r="Y41" s="43" t="s">
        <v>361</v>
      </c>
      <c r="Z41" s="43" t="s">
        <v>361</v>
      </c>
      <c r="AA41" s="43" t="s">
        <v>320</v>
      </c>
      <c r="AB41" s="144">
        <v>0.259999990463257</v>
      </c>
      <c r="AC41" s="125">
        <v>42852</v>
      </c>
      <c r="AE41" s="117">
        <v>43774</v>
      </c>
      <c r="AF41" s="43" t="s">
        <v>55</v>
      </c>
      <c r="AG41" s="43" t="s">
        <v>438</v>
      </c>
      <c r="AH41" s="43" t="s">
        <v>439</v>
      </c>
      <c r="AJ41" s="140">
        <v>22</v>
      </c>
      <c r="AK41" s="140">
        <v>0</v>
      </c>
      <c r="AL41" s="140">
        <v>2</v>
      </c>
      <c r="AM41" s="140">
        <v>0</v>
      </c>
      <c r="AN41" s="140">
        <v>0</v>
      </c>
      <c r="AO41" s="140">
        <v>-2</v>
      </c>
      <c r="AP41" s="140">
        <v>11</v>
      </c>
      <c r="AQ41" s="140">
        <v>1</v>
      </c>
      <c r="AR41" s="140">
        <v>0</v>
      </c>
      <c r="AS41" s="140">
        <v>0</v>
      </c>
      <c r="AT41" s="140">
        <v>0</v>
      </c>
      <c r="AU41" s="140">
        <v>0</v>
      </c>
      <c r="AV41" s="140">
        <v>-2</v>
      </c>
      <c r="AW41" s="140">
        <v>11</v>
      </c>
      <c r="AX41" s="140">
        <v>1</v>
      </c>
      <c r="AY41" s="140">
        <v>0</v>
      </c>
      <c r="AZ41" s="140">
        <v>0</v>
      </c>
      <c r="BA41" s="140">
        <v>0</v>
      </c>
      <c r="BB41" s="140">
        <v>0</v>
      </c>
      <c r="BC41" s="140">
        <v>0</v>
      </c>
      <c r="BD41" s="140">
        <v>0</v>
      </c>
      <c r="BE41" s="140">
        <v>0</v>
      </c>
      <c r="BF41" s="140">
        <v>0</v>
      </c>
      <c r="BG41" s="140">
        <v>0</v>
      </c>
      <c r="BH41" s="140">
        <v>0</v>
      </c>
      <c r="BI41" s="140">
        <v>0</v>
      </c>
      <c r="BJ41" s="140">
        <v>0</v>
      </c>
      <c r="BK41" s="140">
        <v>0</v>
      </c>
      <c r="BL41" s="140">
        <v>0</v>
      </c>
      <c r="BM41" s="140">
        <v>0</v>
      </c>
      <c r="BN41" s="140">
        <v>0</v>
      </c>
      <c r="BO41" s="140">
        <v>0</v>
      </c>
      <c r="BQ41" s="43" t="s">
        <v>329</v>
      </c>
      <c r="BX41" s="43">
        <v>1</v>
      </c>
      <c r="BY41" s="90">
        <f t="shared" si="3"/>
        <v>10</v>
      </c>
      <c r="CT41" s="90">
        <f t="shared" si="1"/>
        <v>0</v>
      </c>
      <c r="CU41" s="90">
        <f t="shared" si="2"/>
        <v>0</v>
      </c>
    </row>
    <row r="42" spans="1:99" ht="12" customHeight="1">
      <c r="A42" s="43">
        <v>4592</v>
      </c>
      <c r="B42" s="89" t="s">
        <v>312</v>
      </c>
      <c r="C42" s="89" t="s">
        <v>440</v>
      </c>
      <c r="D42" s="89" t="s">
        <v>441</v>
      </c>
      <c r="F42" s="43">
        <v>525349</v>
      </c>
      <c r="G42" s="43">
        <v>174610</v>
      </c>
      <c r="H42" s="89" t="s">
        <v>176</v>
      </c>
      <c r="I42" s="125">
        <v>43190</v>
      </c>
      <c r="J42" s="117">
        <v>43795</v>
      </c>
      <c r="K42" s="140">
        <v>0</v>
      </c>
      <c r="L42" s="140">
        <v>61</v>
      </c>
      <c r="M42" s="140">
        <v>61</v>
      </c>
      <c r="N42" s="140">
        <v>61</v>
      </c>
      <c r="O42" s="140">
        <v>61</v>
      </c>
      <c r="P42" s="43" t="s">
        <v>329</v>
      </c>
      <c r="Q42" s="89" t="s">
        <v>442</v>
      </c>
      <c r="R42" s="43" t="s">
        <v>443</v>
      </c>
      <c r="S42" s="125">
        <v>42493</v>
      </c>
      <c r="T42" s="117">
        <v>42543</v>
      </c>
      <c r="V42" s="43" t="s">
        <v>317</v>
      </c>
      <c r="X42" s="43" t="s">
        <v>318</v>
      </c>
      <c r="Y42" s="43" t="s">
        <v>336</v>
      </c>
      <c r="Z42" s="43" t="s">
        <v>444</v>
      </c>
      <c r="AA42" s="43" t="s">
        <v>320</v>
      </c>
      <c r="AB42" s="144">
        <v>9.4999998807907104E-2</v>
      </c>
      <c r="AC42" s="125">
        <v>43190</v>
      </c>
      <c r="AE42" s="117">
        <v>43795</v>
      </c>
      <c r="AF42" s="43" t="s">
        <v>75</v>
      </c>
      <c r="AG42" s="43" t="s">
        <v>322</v>
      </c>
      <c r="AJ42" s="140">
        <v>0</v>
      </c>
      <c r="AK42" s="140">
        <v>0</v>
      </c>
      <c r="AL42" s="140">
        <v>0</v>
      </c>
      <c r="AM42" s="140">
        <v>0</v>
      </c>
      <c r="AN42" s="140">
        <v>30</v>
      </c>
      <c r="AO42" s="140">
        <v>19</v>
      </c>
      <c r="AP42" s="140">
        <v>12</v>
      </c>
      <c r="AQ42" s="140">
        <v>0</v>
      </c>
      <c r="AR42" s="140">
        <v>0</v>
      </c>
      <c r="AS42" s="140">
        <v>0</v>
      </c>
      <c r="AT42" s="140">
        <v>0</v>
      </c>
      <c r="AU42" s="140">
        <v>30</v>
      </c>
      <c r="AV42" s="140">
        <v>19</v>
      </c>
      <c r="AW42" s="140">
        <v>12</v>
      </c>
      <c r="AX42" s="140">
        <v>0</v>
      </c>
      <c r="AY42" s="140">
        <v>0</v>
      </c>
      <c r="AZ42" s="140">
        <v>0</v>
      </c>
      <c r="BA42" s="140">
        <v>0</v>
      </c>
      <c r="BB42" s="140">
        <v>0</v>
      </c>
      <c r="BC42" s="140">
        <v>0</v>
      </c>
      <c r="BD42" s="140">
        <v>0</v>
      </c>
      <c r="BE42" s="140">
        <v>0</v>
      </c>
      <c r="BF42" s="140">
        <v>0</v>
      </c>
      <c r="BG42" s="140">
        <v>0</v>
      </c>
      <c r="BH42" s="140">
        <v>0</v>
      </c>
      <c r="BI42" s="140">
        <v>0</v>
      </c>
      <c r="BJ42" s="140">
        <v>0</v>
      </c>
      <c r="BK42" s="140">
        <v>0</v>
      </c>
      <c r="BL42" s="140">
        <v>0</v>
      </c>
      <c r="BM42" s="140">
        <v>0</v>
      </c>
      <c r="BN42" s="140">
        <v>0</v>
      </c>
      <c r="BO42" s="140">
        <v>0</v>
      </c>
      <c r="BP42" s="43" t="s">
        <v>142</v>
      </c>
      <c r="BR42" s="43" t="s">
        <v>329</v>
      </c>
      <c r="BX42" s="43">
        <v>12</v>
      </c>
      <c r="BY42" s="90">
        <f t="shared" si="3"/>
        <v>61</v>
      </c>
      <c r="CT42" s="90">
        <f t="shared" si="1"/>
        <v>0</v>
      </c>
      <c r="CU42" s="90">
        <f t="shared" si="2"/>
        <v>0</v>
      </c>
    </row>
    <row r="43" spans="1:99" ht="12" customHeight="1">
      <c r="A43" s="43">
        <v>4592</v>
      </c>
      <c r="B43" s="89" t="s">
        <v>312</v>
      </c>
      <c r="C43" s="89" t="s">
        <v>445</v>
      </c>
      <c r="D43" s="89" t="s">
        <v>441</v>
      </c>
      <c r="E43" s="89" t="s">
        <v>446</v>
      </c>
      <c r="F43" s="43">
        <v>525349</v>
      </c>
      <c r="G43" s="43">
        <v>174610</v>
      </c>
      <c r="H43" s="89" t="s">
        <v>176</v>
      </c>
      <c r="I43" s="125">
        <v>43555</v>
      </c>
      <c r="J43" s="117">
        <v>43795</v>
      </c>
      <c r="K43" s="140">
        <v>0</v>
      </c>
      <c r="L43" s="140">
        <v>5</v>
      </c>
      <c r="M43" s="140">
        <v>5</v>
      </c>
      <c r="N43" s="140">
        <v>9</v>
      </c>
      <c r="O43" s="140">
        <v>9</v>
      </c>
      <c r="Q43" s="89" t="s">
        <v>447</v>
      </c>
      <c r="R43" s="43" t="s">
        <v>316</v>
      </c>
      <c r="S43" s="125">
        <v>43154</v>
      </c>
      <c r="T43" s="117">
        <v>43335</v>
      </c>
      <c r="V43" s="43" t="s">
        <v>317</v>
      </c>
      <c r="X43" s="43" t="s">
        <v>318</v>
      </c>
      <c r="Y43" s="43" t="s">
        <v>379</v>
      </c>
      <c r="Z43" s="43" t="s">
        <v>320</v>
      </c>
      <c r="AA43" s="43" t="s">
        <v>340</v>
      </c>
      <c r="AB43" s="144">
        <v>1.2000000104308101E-2</v>
      </c>
      <c r="AC43" s="125">
        <v>43555</v>
      </c>
      <c r="AE43" s="117">
        <v>43795</v>
      </c>
      <c r="AF43" s="43" t="s">
        <v>75</v>
      </c>
      <c r="AG43" s="43" t="s">
        <v>322</v>
      </c>
      <c r="AJ43" s="140">
        <v>0</v>
      </c>
      <c r="AK43" s="140">
        <v>0</v>
      </c>
      <c r="AL43" s="140">
        <v>0</v>
      </c>
      <c r="AM43" s="140">
        <v>0</v>
      </c>
      <c r="AN43" s="140">
        <v>0</v>
      </c>
      <c r="AO43" s="140">
        <v>2</v>
      </c>
      <c r="AP43" s="140">
        <v>3</v>
      </c>
      <c r="AQ43" s="140">
        <v>0</v>
      </c>
      <c r="AR43" s="140">
        <v>0</v>
      </c>
      <c r="AS43" s="140">
        <v>0</v>
      </c>
      <c r="AT43" s="140">
        <v>0</v>
      </c>
      <c r="AU43" s="140">
        <v>0</v>
      </c>
      <c r="AV43" s="140">
        <v>2</v>
      </c>
      <c r="AW43" s="140">
        <v>3</v>
      </c>
      <c r="AX43" s="140">
        <v>0</v>
      </c>
      <c r="AY43" s="140">
        <v>0</v>
      </c>
      <c r="AZ43" s="140">
        <v>0</v>
      </c>
      <c r="BA43" s="140">
        <v>0</v>
      </c>
      <c r="BB43" s="140">
        <v>0</v>
      </c>
      <c r="BC43" s="140">
        <v>0</v>
      </c>
      <c r="BD43" s="140">
        <v>0</v>
      </c>
      <c r="BE43" s="140">
        <v>0</v>
      </c>
      <c r="BF43" s="140">
        <v>0</v>
      </c>
      <c r="BG43" s="140">
        <v>0</v>
      </c>
      <c r="BH43" s="140">
        <v>0</v>
      </c>
      <c r="BI43" s="140">
        <v>0</v>
      </c>
      <c r="BJ43" s="140">
        <v>0</v>
      </c>
      <c r="BK43" s="140">
        <v>0</v>
      </c>
      <c r="BL43" s="140">
        <v>0</v>
      </c>
      <c r="BM43" s="140">
        <v>0</v>
      </c>
      <c r="BN43" s="140">
        <v>0</v>
      </c>
      <c r="BO43" s="140">
        <v>0</v>
      </c>
      <c r="BP43" s="43" t="s">
        <v>142</v>
      </c>
      <c r="BR43" s="43" t="s">
        <v>329</v>
      </c>
      <c r="BX43" s="43">
        <v>12</v>
      </c>
      <c r="BY43" s="90">
        <f t="shared" si="3"/>
        <v>5</v>
      </c>
      <c r="CT43" s="90">
        <f t="shared" si="1"/>
        <v>0</v>
      </c>
      <c r="CU43" s="90">
        <f t="shared" si="2"/>
        <v>0</v>
      </c>
    </row>
    <row r="44" spans="1:99" ht="12" customHeight="1">
      <c r="A44" s="43">
        <v>4592</v>
      </c>
      <c r="B44" s="89" t="s">
        <v>312</v>
      </c>
      <c r="C44" s="89" t="s">
        <v>445</v>
      </c>
      <c r="D44" s="89" t="s">
        <v>441</v>
      </c>
      <c r="E44" s="89" t="s">
        <v>448</v>
      </c>
      <c r="F44" s="43">
        <v>525349</v>
      </c>
      <c r="G44" s="43">
        <v>174610</v>
      </c>
      <c r="H44" s="89" t="s">
        <v>176</v>
      </c>
      <c r="I44" s="125">
        <v>43555</v>
      </c>
      <c r="J44" s="117">
        <v>43795</v>
      </c>
      <c r="K44" s="140">
        <v>0</v>
      </c>
      <c r="L44" s="140">
        <v>4</v>
      </c>
      <c r="M44" s="140">
        <v>4</v>
      </c>
      <c r="N44" s="140">
        <v>9</v>
      </c>
      <c r="O44" s="140">
        <v>9</v>
      </c>
      <c r="Q44" s="89" t="s">
        <v>447</v>
      </c>
      <c r="R44" s="43" t="s">
        <v>316</v>
      </c>
      <c r="S44" s="125">
        <v>43154</v>
      </c>
      <c r="T44" s="117">
        <v>43335</v>
      </c>
      <c r="V44" s="43" t="s">
        <v>317</v>
      </c>
      <c r="X44" s="43" t="s">
        <v>318</v>
      </c>
      <c r="Y44" s="43" t="s">
        <v>379</v>
      </c>
      <c r="Z44" s="43" t="s">
        <v>320</v>
      </c>
      <c r="AA44" s="43" t="s">
        <v>340</v>
      </c>
      <c r="AB44" s="144">
        <v>8.0000003799796104E-3</v>
      </c>
      <c r="AC44" s="125">
        <v>43555</v>
      </c>
      <c r="AE44" s="117">
        <v>43795</v>
      </c>
      <c r="AF44" s="43" t="s">
        <v>75</v>
      </c>
      <c r="AG44" s="43" t="s">
        <v>322</v>
      </c>
      <c r="AJ44" s="140">
        <v>0</v>
      </c>
      <c r="AK44" s="140">
        <v>0</v>
      </c>
      <c r="AL44" s="140">
        <v>0</v>
      </c>
      <c r="AM44" s="140">
        <v>0</v>
      </c>
      <c r="AN44" s="140">
        <v>0</v>
      </c>
      <c r="AO44" s="140">
        <v>2</v>
      </c>
      <c r="AP44" s="140">
        <v>2</v>
      </c>
      <c r="AQ44" s="140">
        <v>0</v>
      </c>
      <c r="AR44" s="140">
        <v>0</v>
      </c>
      <c r="AS44" s="140">
        <v>0</v>
      </c>
      <c r="AT44" s="140">
        <v>0</v>
      </c>
      <c r="AU44" s="140">
        <v>0</v>
      </c>
      <c r="AV44" s="140">
        <v>2</v>
      </c>
      <c r="AW44" s="140">
        <v>2</v>
      </c>
      <c r="AX44" s="140">
        <v>0</v>
      </c>
      <c r="AY44" s="140">
        <v>0</v>
      </c>
      <c r="AZ44" s="140">
        <v>0</v>
      </c>
      <c r="BA44" s="140">
        <v>0</v>
      </c>
      <c r="BB44" s="140">
        <v>0</v>
      </c>
      <c r="BC44" s="140">
        <v>0</v>
      </c>
      <c r="BD44" s="140">
        <v>0</v>
      </c>
      <c r="BE44" s="140">
        <v>0</v>
      </c>
      <c r="BF44" s="140">
        <v>0</v>
      </c>
      <c r="BG44" s="140">
        <v>0</v>
      </c>
      <c r="BH44" s="140">
        <v>0</v>
      </c>
      <c r="BI44" s="140">
        <v>0</v>
      </c>
      <c r="BJ44" s="140">
        <v>0</v>
      </c>
      <c r="BK44" s="140">
        <v>0</v>
      </c>
      <c r="BL44" s="140">
        <v>0</v>
      </c>
      <c r="BM44" s="140">
        <v>0</v>
      </c>
      <c r="BN44" s="140">
        <v>0</v>
      </c>
      <c r="BO44" s="140">
        <v>0</v>
      </c>
      <c r="BP44" s="43" t="s">
        <v>142</v>
      </c>
      <c r="BR44" s="43" t="s">
        <v>329</v>
      </c>
      <c r="BX44" s="43">
        <v>12</v>
      </c>
      <c r="BY44" s="90">
        <f t="shared" si="3"/>
        <v>4</v>
      </c>
      <c r="CT44" s="90">
        <f t="shared" si="1"/>
        <v>0</v>
      </c>
      <c r="CU44" s="90">
        <f t="shared" si="2"/>
        <v>0</v>
      </c>
    </row>
    <row r="45" spans="1:99" ht="12" customHeight="1">
      <c r="A45" s="43">
        <v>4682</v>
      </c>
      <c r="B45" s="89" t="s">
        <v>312</v>
      </c>
      <c r="C45" s="89" t="s">
        <v>449</v>
      </c>
      <c r="D45" s="89" t="s">
        <v>450</v>
      </c>
      <c r="F45" s="43">
        <v>522102</v>
      </c>
      <c r="G45" s="43">
        <v>175464</v>
      </c>
      <c r="H45" s="89" t="s">
        <v>181</v>
      </c>
      <c r="I45" s="125">
        <v>43032</v>
      </c>
      <c r="J45" s="117">
        <v>43808</v>
      </c>
      <c r="K45" s="140">
        <v>1</v>
      </c>
      <c r="L45" s="140">
        <v>4</v>
      </c>
      <c r="M45" s="140">
        <v>3</v>
      </c>
      <c r="N45" s="140">
        <v>4</v>
      </c>
      <c r="O45" s="140">
        <v>3</v>
      </c>
      <c r="Q45" s="89" t="s">
        <v>451</v>
      </c>
      <c r="R45" s="43" t="s">
        <v>383</v>
      </c>
      <c r="S45" s="125">
        <v>42754</v>
      </c>
      <c r="T45" s="117">
        <v>42810</v>
      </c>
      <c r="V45" s="43" t="s">
        <v>384</v>
      </c>
      <c r="W45" s="117">
        <v>42983</v>
      </c>
      <c r="X45" s="43" t="s">
        <v>318</v>
      </c>
      <c r="Y45" s="43" t="s">
        <v>319</v>
      </c>
      <c r="Z45" s="43" t="s">
        <v>320</v>
      </c>
      <c r="AA45" s="43" t="s">
        <v>22</v>
      </c>
      <c r="AB45" s="144">
        <v>2.70000007003546E-2</v>
      </c>
      <c r="AC45" s="125">
        <v>43032</v>
      </c>
      <c r="AE45" s="117">
        <v>43808</v>
      </c>
      <c r="AF45" s="43" t="s">
        <v>75</v>
      </c>
      <c r="AG45" s="43" t="s">
        <v>322</v>
      </c>
      <c r="AJ45" s="140">
        <v>0</v>
      </c>
      <c r="AK45" s="140">
        <v>0</v>
      </c>
      <c r="AL45" s="140">
        <v>0</v>
      </c>
      <c r="AM45" s="140">
        <v>0</v>
      </c>
      <c r="AN45" s="140">
        <v>0</v>
      </c>
      <c r="AO45" s="140">
        <v>0</v>
      </c>
      <c r="AP45" s="140">
        <v>2</v>
      </c>
      <c r="AQ45" s="140">
        <v>1</v>
      </c>
      <c r="AR45" s="140">
        <v>0</v>
      </c>
      <c r="AS45" s="140">
        <v>0</v>
      </c>
      <c r="AT45" s="140">
        <v>0</v>
      </c>
      <c r="AU45" s="140">
        <v>0</v>
      </c>
      <c r="AV45" s="140">
        <v>0</v>
      </c>
      <c r="AW45" s="140">
        <v>2</v>
      </c>
      <c r="AX45" s="140">
        <v>2</v>
      </c>
      <c r="AY45" s="140">
        <v>0</v>
      </c>
      <c r="AZ45" s="140">
        <v>0</v>
      </c>
      <c r="BA45" s="140">
        <v>0</v>
      </c>
      <c r="BB45" s="140">
        <v>0</v>
      </c>
      <c r="BC45" s="140">
        <v>0</v>
      </c>
      <c r="BD45" s="140">
        <v>0</v>
      </c>
      <c r="BE45" s="140">
        <v>-1</v>
      </c>
      <c r="BF45" s="140">
        <v>0</v>
      </c>
      <c r="BG45" s="140">
        <v>0</v>
      </c>
      <c r="BH45" s="140">
        <v>0</v>
      </c>
      <c r="BI45" s="140">
        <v>0</v>
      </c>
      <c r="BJ45" s="140">
        <v>0</v>
      </c>
      <c r="BK45" s="140">
        <v>0</v>
      </c>
      <c r="BL45" s="140">
        <v>0</v>
      </c>
      <c r="BM45" s="140">
        <v>0</v>
      </c>
      <c r="BN45" s="140">
        <v>0</v>
      </c>
      <c r="BO45" s="140">
        <v>0</v>
      </c>
      <c r="BX45" s="43">
        <v>12</v>
      </c>
      <c r="BY45" s="90">
        <f t="shared" si="3"/>
        <v>3</v>
      </c>
      <c r="CT45" s="90">
        <f t="shared" si="1"/>
        <v>0</v>
      </c>
      <c r="CU45" s="90">
        <f t="shared" si="2"/>
        <v>0</v>
      </c>
    </row>
    <row r="46" spans="1:99" ht="12" customHeight="1">
      <c r="A46" s="43">
        <v>4717</v>
      </c>
      <c r="B46" s="89" t="s">
        <v>312</v>
      </c>
      <c r="C46" s="89" t="s">
        <v>452</v>
      </c>
      <c r="D46" s="89" t="s">
        <v>453</v>
      </c>
      <c r="E46" s="89" t="s">
        <v>454</v>
      </c>
      <c r="F46" s="43">
        <v>525735</v>
      </c>
      <c r="G46" s="43">
        <v>174565</v>
      </c>
      <c r="H46" s="89" t="s">
        <v>170</v>
      </c>
      <c r="I46" s="125">
        <v>42522</v>
      </c>
      <c r="K46" s="140">
        <v>0</v>
      </c>
      <c r="L46" s="140">
        <v>45</v>
      </c>
      <c r="M46" s="140">
        <v>45</v>
      </c>
      <c r="N46" s="140">
        <v>201</v>
      </c>
      <c r="O46" s="140">
        <v>201</v>
      </c>
      <c r="P46" s="43" t="s">
        <v>329</v>
      </c>
      <c r="Q46" s="89" t="s">
        <v>455</v>
      </c>
      <c r="R46" s="43" t="s">
        <v>392</v>
      </c>
      <c r="S46" s="125">
        <v>41920</v>
      </c>
      <c r="T46" s="117">
        <v>42193</v>
      </c>
      <c r="V46" s="43" t="s">
        <v>317</v>
      </c>
      <c r="X46" s="43" t="s">
        <v>318</v>
      </c>
      <c r="Y46" s="43" t="s">
        <v>361</v>
      </c>
      <c r="Z46" s="43" t="s">
        <v>361</v>
      </c>
      <c r="AA46" s="43" t="s">
        <v>320</v>
      </c>
      <c r="AB46" s="144">
        <v>0.123000003397465</v>
      </c>
      <c r="AC46" s="125">
        <v>42522</v>
      </c>
      <c r="AE46" s="117">
        <v>43821</v>
      </c>
      <c r="AF46" s="43" t="s">
        <v>75</v>
      </c>
      <c r="AG46" s="43" t="s">
        <v>322</v>
      </c>
      <c r="AH46" s="43" t="s">
        <v>456</v>
      </c>
      <c r="AJ46" s="140">
        <v>45</v>
      </c>
      <c r="AK46" s="140">
        <v>0</v>
      </c>
      <c r="AL46" s="140">
        <v>0</v>
      </c>
      <c r="AM46" s="140">
        <v>6</v>
      </c>
      <c r="AN46" s="140">
        <v>0</v>
      </c>
      <c r="AO46" s="140">
        <v>0</v>
      </c>
      <c r="AP46" s="140">
        <v>45</v>
      </c>
      <c r="AQ46" s="140">
        <v>0</v>
      </c>
      <c r="AR46" s="140">
        <v>0</v>
      </c>
      <c r="AS46" s="140">
        <v>0</v>
      </c>
      <c r="AT46" s="140">
        <v>0</v>
      </c>
      <c r="AU46" s="140">
        <v>0</v>
      </c>
      <c r="AV46" s="140">
        <v>0</v>
      </c>
      <c r="AW46" s="140">
        <v>45</v>
      </c>
      <c r="AX46" s="140">
        <v>0</v>
      </c>
      <c r="AY46" s="140">
        <v>0</v>
      </c>
      <c r="AZ46" s="140">
        <v>0</v>
      </c>
      <c r="BA46" s="140">
        <v>0</v>
      </c>
      <c r="BB46" s="140">
        <v>0</v>
      </c>
      <c r="BC46" s="140">
        <v>0</v>
      </c>
      <c r="BD46" s="140">
        <v>0</v>
      </c>
      <c r="BE46" s="140">
        <v>0</v>
      </c>
      <c r="BF46" s="140">
        <v>0</v>
      </c>
      <c r="BG46" s="140">
        <v>0</v>
      </c>
      <c r="BH46" s="140">
        <v>0</v>
      </c>
      <c r="BI46" s="140">
        <v>0</v>
      </c>
      <c r="BJ46" s="140">
        <v>0</v>
      </c>
      <c r="BK46" s="140">
        <v>0</v>
      </c>
      <c r="BL46" s="140">
        <v>0</v>
      </c>
      <c r="BM46" s="140">
        <v>0</v>
      </c>
      <c r="BN46" s="140">
        <v>0</v>
      </c>
      <c r="BO46" s="140">
        <v>0</v>
      </c>
      <c r="BP46" s="43" t="s">
        <v>142</v>
      </c>
      <c r="BR46" s="43" t="s">
        <v>329</v>
      </c>
      <c r="BX46" s="43">
        <v>1</v>
      </c>
      <c r="BY46" s="90">
        <f t="shared" si="3"/>
        <v>45</v>
      </c>
      <c r="CT46" s="90">
        <f t="shared" si="1"/>
        <v>0</v>
      </c>
      <c r="CU46" s="90">
        <f t="shared" si="2"/>
        <v>0</v>
      </c>
    </row>
    <row r="47" spans="1:99" ht="12" customHeight="1">
      <c r="A47" s="43">
        <v>4717</v>
      </c>
      <c r="B47" s="89" t="s">
        <v>312</v>
      </c>
      <c r="C47" s="89" t="s">
        <v>452</v>
      </c>
      <c r="D47" s="89" t="s">
        <v>453</v>
      </c>
      <c r="E47" s="89" t="s">
        <v>404</v>
      </c>
      <c r="F47" s="43">
        <v>525735</v>
      </c>
      <c r="G47" s="43">
        <v>174565</v>
      </c>
      <c r="H47" s="89" t="s">
        <v>170</v>
      </c>
      <c r="I47" s="125">
        <v>42522</v>
      </c>
      <c r="K47" s="140">
        <v>0</v>
      </c>
      <c r="L47" s="140">
        <v>29</v>
      </c>
      <c r="M47" s="140">
        <v>29</v>
      </c>
      <c r="N47" s="140">
        <v>201</v>
      </c>
      <c r="O47" s="140">
        <v>201</v>
      </c>
      <c r="P47" s="43" t="s">
        <v>329</v>
      </c>
      <c r="Q47" s="89" t="s">
        <v>455</v>
      </c>
      <c r="R47" s="43" t="s">
        <v>392</v>
      </c>
      <c r="S47" s="125">
        <v>41920</v>
      </c>
      <c r="T47" s="117">
        <v>42193</v>
      </c>
      <c r="V47" s="43" t="s">
        <v>317</v>
      </c>
      <c r="X47" s="43" t="s">
        <v>318</v>
      </c>
      <c r="Y47" s="43" t="s">
        <v>361</v>
      </c>
      <c r="Z47" s="43" t="s">
        <v>361</v>
      </c>
      <c r="AA47" s="43" t="s">
        <v>320</v>
      </c>
      <c r="AB47" s="144">
        <v>7.9000003635883304E-2</v>
      </c>
      <c r="AC47" s="125">
        <v>42522</v>
      </c>
      <c r="AE47" s="117">
        <v>43821</v>
      </c>
      <c r="AF47" s="43" t="s">
        <v>55</v>
      </c>
      <c r="AG47" s="43" t="s">
        <v>457</v>
      </c>
      <c r="AH47" s="43" t="s">
        <v>456</v>
      </c>
      <c r="AJ47" s="140">
        <v>29</v>
      </c>
      <c r="AK47" s="140">
        <v>0</v>
      </c>
      <c r="AL47" s="140">
        <v>0</v>
      </c>
      <c r="AM47" s="140">
        <v>4</v>
      </c>
      <c r="AN47" s="140">
        <v>0</v>
      </c>
      <c r="AO47" s="140">
        <v>8</v>
      </c>
      <c r="AP47" s="140">
        <v>13</v>
      </c>
      <c r="AQ47" s="140">
        <v>8</v>
      </c>
      <c r="AR47" s="140">
        <v>0</v>
      </c>
      <c r="AS47" s="140">
        <v>0</v>
      </c>
      <c r="AT47" s="140">
        <v>0</v>
      </c>
      <c r="AU47" s="140">
        <v>0</v>
      </c>
      <c r="AV47" s="140">
        <v>8</v>
      </c>
      <c r="AW47" s="140">
        <v>13</v>
      </c>
      <c r="AX47" s="140">
        <v>8</v>
      </c>
      <c r="AY47" s="140">
        <v>0</v>
      </c>
      <c r="AZ47" s="140">
        <v>0</v>
      </c>
      <c r="BA47" s="140">
        <v>0</v>
      </c>
      <c r="BB47" s="140">
        <v>0</v>
      </c>
      <c r="BC47" s="140">
        <v>0</v>
      </c>
      <c r="BD47" s="140">
        <v>0</v>
      </c>
      <c r="BE47" s="140">
        <v>0</v>
      </c>
      <c r="BF47" s="140">
        <v>0</v>
      </c>
      <c r="BG47" s="140">
        <v>0</v>
      </c>
      <c r="BH47" s="140">
        <v>0</v>
      </c>
      <c r="BI47" s="140">
        <v>0</v>
      </c>
      <c r="BJ47" s="140">
        <v>0</v>
      </c>
      <c r="BK47" s="140">
        <v>0</v>
      </c>
      <c r="BL47" s="140">
        <v>0</v>
      </c>
      <c r="BM47" s="140">
        <v>0</v>
      </c>
      <c r="BN47" s="140">
        <v>0</v>
      </c>
      <c r="BO47" s="140">
        <v>0</v>
      </c>
      <c r="BP47" s="43" t="s">
        <v>142</v>
      </c>
      <c r="BR47" s="43" t="s">
        <v>329</v>
      </c>
      <c r="BX47" s="43">
        <v>1</v>
      </c>
      <c r="BY47" s="90">
        <f t="shared" si="3"/>
        <v>29</v>
      </c>
      <c r="CT47" s="90">
        <f t="shared" si="1"/>
        <v>0</v>
      </c>
      <c r="CU47" s="90">
        <f t="shared" si="2"/>
        <v>0</v>
      </c>
    </row>
    <row r="48" spans="1:99" ht="12" customHeight="1">
      <c r="A48" s="43">
        <v>4717</v>
      </c>
      <c r="B48" s="89" t="s">
        <v>312</v>
      </c>
      <c r="C48" s="89" t="s">
        <v>458</v>
      </c>
      <c r="D48" s="89" t="s">
        <v>453</v>
      </c>
      <c r="E48" s="89" t="s">
        <v>367</v>
      </c>
      <c r="F48" s="43">
        <v>525735</v>
      </c>
      <c r="G48" s="43">
        <v>174565</v>
      </c>
      <c r="H48" s="89" t="s">
        <v>170</v>
      </c>
      <c r="I48" s="125">
        <v>42522</v>
      </c>
      <c r="J48" s="117">
        <v>43861</v>
      </c>
      <c r="K48" s="140">
        <v>0</v>
      </c>
      <c r="L48" s="140">
        <v>21</v>
      </c>
      <c r="M48" s="140">
        <v>21</v>
      </c>
      <c r="N48" s="140">
        <v>21</v>
      </c>
      <c r="O48" s="140">
        <v>21</v>
      </c>
      <c r="P48" s="43" t="s">
        <v>329</v>
      </c>
      <c r="Q48" s="89" t="s">
        <v>459</v>
      </c>
      <c r="R48" s="43" t="s">
        <v>460</v>
      </c>
      <c r="S48" s="125">
        <v>42297</v>
      </c>
      <c r="T48" s="117">
        <v>42412</v>
      </c>
      <c r="V48" s="43" t="s">
        <v>317</v>
      </c>
      <c r="X48" s="43" t="s">
        <v>318</v>
      </c>
      <c r="Y48" s="43" t="s">
        <v>361</v>
      </c>
      <c r="Z48" s="43" t="s">
        <v>461</v>
      </c>
      <c r="AA48" s="43" t="s">
        <v>320</v>
      </c>
      <c r="AB48" s="144">
        <v>5.7999998331069898E-2</v>
      </c>
      <c r="AC48" s="125">
        <v>42522</v>
      </c>
      <c r="AE48" s="117">
        <v>43861</v>
      </c>
      <c r="AF48" s="43" t="s">
        <v>54</v>
      </c>
      <c r="AG48" s="43" t="s">
        <v>399</v>
      </c>
      <c r="AH48" s="43" t="s">
        <v>456</v>
      </c>
      <c r="AJ48" s="140">
        <v>21</v>
      </c>
      <c r="AK48" s="140">
        <v>0</v>
      </c>
      <c r="AL48" s="140">
        <v>0</v>
      </c>
      <c r="AM48" s="140">
        <v>3</v>
      </c>
      <c r="AN48" s="140">
        <v>0</v>
      </c>
      <c r="AO48" s="140">
        <v>10</v>
      </c>
      <c r="AP48" s="140">
        <v>11</v>
      </c>
      <c r="AQ48" s="140">
        <v>0</v>
      </c>
      <c r="AR48" s="140">
        <v>0</v>
      </c>
      <c r="AS48" s="140">
        <v>0</v>
      </c>
      <c r="AT48" s="140">
        <v>0</v>
      </c>
      <c r="AU48" s="140">
        <v>0</v>
      </c>
      <c r="AV48" s="140">
        <v>10</v>
      </c>
      <c r="AW48" s="140">
        <v>11</v>
      </c>
      <c r="AX48" s="140">
        <v>0</v>
      </c>
      <c r="AY48" s="140">
        <v>0</v>
      </c>
      <c r="AZ48" s="140">
        <v>0</v>
      </c>
      <c r="BA48" s="140">
        <v>0</v>
      </c>
      <c r="BB48" s="140">
        <v>0</v>
      </c>
      <c r="BC48" s="140">
        <v>0</v>
      </c>
      <c r="BD48" s="140">
        <v>0</v>
      </c>
      <c r="BE48" s="140">
        <v>0</v>
      </c>
      <c r="BF48" s="140">
        <v>0</v>
      </c>
      <c r="BG48" s="140">
        <v>0</v>
      </c>
      <c r="BH48" s="140">
        <v>0</v>
      </c>
      <c r="BI48" s="140">
        <v>0</v>
      </c>
      <c r="BJ48" s="140">
        <v>0</v>
      </c>
      <c r="BK48" s="140">
        <v>0</v>
      </c>
      <c r="BL48" s="140">
        <v>0</v>
      </c>
      <c r="BM48" s="140">
        <v>0</v>
      </c>
      <c r="BN48" s="140">
        <v>0</v>
      </c>
      <c r="BO48" s="140">
        <v>0</v>
      </c>
      <c r="BP48" s="43" t="s">
        <v>142</v>
      </c>
      <c r="BR48" s="43" t="s">
        <v>329</v>
      </c>
      <c r="BX48" s="43">
        <v>1</v>
      </c>
      <c r="BY48" s="90">
        <f t="shared" si="3"/>
        <v>21</v>
      </c>
      <c r="CT48" s="90">
        <f t="shared" si="1"/>
        <v>0</v>
      </c>
      <c r="CU48" s="90">
        <f t="shared" si="2"/>
        <v>0</v>
      </c>
    </row>
    <row r="49" spans="1:99" ht="12" customHeight="1">
      <c r="A49" s="43">
        <v>4718</v>
      </c>
      <c r="B49" s="89" t="s">
        <v>312</v>
      </c>
      <c r="C49" s="89" t="s">
        <v>462</v>
      </c>
      <c r="D49" s="89" t="s">
        <v>463</v>
      </c>
      <c r="E49" s="89" t="s">
        <v>464</v>
      </c>
      <c r="F49" s="43">
        <v>529643</v>
      </c>
      <c r="G49" s="43">
        <v>177593</v>
      </c>
      <c r="H49" s="89" t="s">
        <v>148</v>
      </c>
      <c r="I49" s="125">
        <v>42614</v>
      </c>
      <c r="K49" s="140">
        <v>0</v>
      </c>
      <c r="L49" s="140">
        <v>83</v>
      </c>
      <c r="M49" s="140">
        <v>83</v>
      </c>
      <c r="N49" s="140">
        <v>336</v>
      </c>
      <c r="O49" s="140">
        <v>336</v>
      </c>
      <c r="P49" s="43" t="s">
        <v>329</v>
      </c>
      <c r="Q49" s="89" t="s">
        <v>465</v>
      </c>
      <c r="R49" s="43" t="s">
        <v>466</v>
      </c>
      <c r="S49" s="125">
        <v>43502</v>
      </c>
      <c r="T49" s="117">
        <v>43567</v>
      </c>
      <c r="U49" s="43" t="s">
        <v>329</v>
      </c>
      <c r="V49" s="43" t="s">
        <v>317</v>
      </c>
      <c r="X49" s="43" t="s">
        <v>318</v>
      </c>
      <c r="Y49" s="43" t="s">
        <v>361</v>
      </c>
      <c r="Z49" s="43" t="s">
        <v>361</v>
      </c>
      <c r="AA49" s="43" t="s">
        <v>320</v>
      </c>
      <c r="AB49" s="144">
        <v>0.11200000345706899</v>
      </c>
      <c r="AC49" s="125">
        <v>42614</v>
      </c>
      <c r="AE49" s="117">
        <v>43850</v>
      </c>
      <c r="AF49" s="43" t="s">
        <v>55</v>
      </c>
      <c r="AG49" s="43" t="s">
        <v>457</v>
      </c>
      <c r="AH49" s="43" t="s">
        <v>467</v>
      </c>
      <c r="AJ49" s="140">
        <v>0</v>
      </c>
      <c r="AK49" s="140">
        <v>0</v>
      </c>
      <c r="AL49" s="140">
        <v>0</v>
      </c>
      <c r="AM49" s="140">
        <v>0</v>
      </c>
      <c r="AN49" s="140">
        <v>0</v>
      </c>
      <c r="AO49" s="140">
        <v>11</v>
      </c>
      <c r="AP49" s="140">
        <v>24</v>
      </c>
      <c r="AQ49" s="140">
        <v>31</v>
      </c>
      <c r="AR49" s="140">
        <v>17</v>
      </c>
      <c r="AS49" s="140">
        <v>0</v>
      </c>
      <c r="AT49" s="140">
        <v>0</v>
      </c>
      <c r="AU49" s="140">
        <v>0</v>
      </c>
      <c r="AV49" s="140">
        <v>11</v>
      </c>
      <c r="AW49" s="140">
        <v>24</v>
      </c>
      <c r="AX49" s="140">
        <v>31</v>
      </c>
      <c r="AY49" s="140">
        <v>17</v>
      </c>
      <c r="AZ49" s="140">
        <v>0</v>
      </c>
      <c r="BA49" s="140">
        <v>0</v>
      </c>
      <c r="BB49" s="140">
        <v>0</v>
      </c>
      <c r="BC49" s="140">
        <v>0</v>
      </c>
      <c r="BD49" s="140">
        <v>0</v>
      </c>
      <c r="BE49" s="140">
        <v>0</v>
      </c>
      <c r="BF49" s="140">
        <v>0</v>
      </c>
      <c r="BG49" s="140">
        <v>0</v>
      </c>
      <c r="BH49" s="140">
        <v>0</v>
      </c>
      <c r="BI49" s="140">
        <v>0</v>
      </c>
      <c r="BJ49" s="140">
        <v>0</v>
      </c>
      <c r="BK49" s="140">
        <v>0</v>
      </c>
      <c r="BL49" s="140">
        <v>0</v>
      </c>
      <c r="BM49" s="140">
        <v>0</v>
      </c>
      <c r="BN49" s="140">
        <v>0</v>
      </c>
      <c r="BO49" s="140">
        <v>0</v>
      </c>
      <c r="BQ49" s="43" t="s">
        <v>329</v>
      </c>
      <c r="BX49" s="43">
        <v>1</v>
      </c>
      <c r="BY49" s="90">
        <f t="shared" si="3"/>
        <v>83</v>
      </c>
      <c r="CT49" s="90">
        <f t="shared" si="1"/>
        <v>0</v>
      </c>
      <c r="CU49" s="90">
        <f t="shared" si="2"/>
        <v>0</v>
      </c>
    </row>
    <row r="50" spans="1:99" ht="12" customHeight="1">
      <c r="A50" s="43">
        <v>4877</v>
      </c>
      <c r="B50" s="89" t="s">
        <v>312</v>
      </c>
      <c r="C50" s="89" t="s">
        <v>468</v>
      </c>
      <c r="D50" s="89" t="s">
        <v>469</v>
      </c>
      <c r="F50" s="43">
        <v>527228</v>
      </c>
      <c r="G50" s="43">
        <v>175145</v>
      </c>
      <c r="H50" s="89" t="s">
        <v>174</v>
      </c>
      <c r="I50" s="125">
        <v>42228</v>
      </c>
      <c r="J50" s="117">
        <v>43636</v>
      </c>
      <c r="K50" s="140">
        <v>0</v>
      </c>
      <c r="L50" s="140">
        <v>1</v>
      </c>
      <c r="M50" s="140">
        <v>1</v>
      </c>
      <c r="N50" s="140">
        <v>1</v>
      </c>
      <c r="O50" s="140">
        <v>1</v>
      </c>
      <c r="Q50" s="89" t="s">
        <v>470</v>
      </c>
      <c r="R50" s="43" t="s">
        <v>316</v>
      </c>
      <c r="S50" s="125">
        <v>41808</v>
      </c>
      <c r="T50" s="117">
        <v>41920</v>
      </c>
      <c r="V50" s="43" t="s">
        <v>317</v>
      </c>
      <c r="X50" s="43" t="s">
        <v>318</v>
      </c>
      <c r="Y50" s="43" t="s">
        <v>361</v>
      </c>
      <c r="Z50" s="43" t="s">
        <v>320</v>
      </c>
      <c r="AA50" s="43" t="s">
        <v>353</v>
      </c>
      <c r="AB50" s="144">
        <v>1.7999999225139601E-2</v>
      </c>
      <c r="AC50" s="125">
        <v>42228</v>
      </c>
      <c r="AE50" s="117">
        <v>43636</v>
      </c>
      <c r="AF50" s="43" t="s">
        <v>75</v>
      </c>
      <c r="AG50" s="43" t="s">
        <v>322</v>
      </c>
      <c r="AJ50" s="140">
        <v>0</v>
      </c>
      <c r="AK50" s="140">
        <v>0</v>
      </c>
      <c r="AL50" s="140">
        <v>0</v>
      </c>
      <c r="AM50" s="140">
        <v>0</v>
      </c>
      <c r="AN50" s="140">
        <v>0</v>
      </c>
      <c r="AO50" s="140">
        <v>0</v>
      </c>
      <c r="AP50" s="140">
        <v>0</v>
      </c>
      <c r="AQ50" s="140">
        <v>1</v>
      </c>
      <c r="AR50" s="140">
        <v>0</v>
      </c>
      <c r="AS50" s="140">
        <v>0</v>
      </c>
      <c r="AT50" s="140">
        <v>0</v>
      </c>
      <c r="AU50" s="140">
        <v>0</v>
      </c>
      <c r="AV50" s="140">
        <v>0</v>
      </c>
      <c r="AW50" s="140">
        <v>0</v>
      </c>
      <c r="AX50" s="140">
        <v>0</v>
      </c>
      <c r="AY50" s="140">
        <v>0</v>
      </c>
      <c r="AZ50" s="140">
        <v>0</v>
      </c>
      <c r="BA50" s="140">
        <v>0</v>
      </c>
      <c r="BB50" s="140">
        <v>0</v>
      </c>
      <c r="BC50" s="140">
        <v>0</v>
      </c>
      <c r="BD50" s="140">
        <v>0</v>
      </c>
      <c r="BE50" s="140">
        <v>0</v>
      </c>
      <c r="BF50" s="140">
        <v>0</v>
      </c>
      <c r="BG50" s="140">
        <v>0</v>
      </c>
      <c r="BH50" s="140">
        <v>0</v>
      </c>
      <c r="BI50" s="140">
        <v>0</v>
      </c>
      <c r="BJ50" s="140">
        <v>0</v>
      </c>
      <c r="BK50" s="140">
        <v>0</v>
      </c>
      <c r="BL50" s="140">
        <v>1</v>
      </c>
      <c r="BM50" s="140">
        <v>0</v>
      </c>
      <c r="BN50" s="140">
        <v>0</v>
      </c>
      <c r="BO50" s="140">
        <v>0</v>
      </c>
      <c r="BX50" s="43">
        <v>1</v>
      </c>
      <c r="BY50" s="90">
        <f t="shared" si="3"/>
        <v>1</v>
      </c>
      <c r="CT50" s="90">
        <f t="shared" si="1"/>
        <v>0</v>
      </c>
      <c r="CU50" s="90">
        <f t="shared" si="2"/>
        <v>0</v>
      </c>
    </row>
    <row r="51" spans="1:99" ht="12" customHeight="1">
      <c r="A51" s="43">
        <v>4978</v>
      </c>
      <c r="B51" s="89" t="s">
        <v>312</v>
      </c>
      <c r="C51" s="89" t="s">
        <v>471</v>
      </c>
      <c r="D51" s="89" t="s">
        <v>472</v>
      </c>
      <c r="F51" s="43">
        <v>523988</v>
      </c>
      <c r="G51" s="43">
        <v>175472</v>
      </c>
      <c r="H51" s="89" t="s">
        <v>178</v>
      </c>
      <c r="I51" s="125">
        <v>42825</v>
      </c>
      <c r="J51" s="117">
        <v>43579</v>
      </c>
      <c r="K51" s="140">
        <v>0</v>
      </c>
      <c r="L51" s="140">
        <v>6</v>
      </c>
      <c r="M51" s="140">
        <v>6</v>
      </c>
      <c r="N51" s="140">
        <v>6</v>
      </c>
      <c r="O51" s="140">
        <v>6</v>
      </c>
      <c r="Q51" s="89" t="s">
        <v>473</v>
      </c>
      <c r="R51" s="43" t="s">
        <v>316</v>
      </c>
      <c r="S51" s="125">
        <v>42529</v>
      </c>
      <c r="T51" s="117">
        <v>42628</v>
      </c>
      <c r="V51" s="43" t="s">
        <v>317</v>
      </c>
      <c r="X51" s="43" t="s">
        <v>318</v>
      </c>
      <c r="Y51" s="43" t="s">
        <v>361</v>
      </c>
      <c r="Z51" s="43" t="s">
        <v>320</v>
      </c>
      <c r="AA51" s="43" t="s">
        <v>353</v>
      </c>
      <c r="AB51" s="144">
        <v>6.1000000685453401E-2</v>
      </c>
      <c r="AC51" s="125">
        <v>42825</v>
      </c>
      <c r="AE51" s="117">
        <v>43579</v>
      </c>
      <c r="AF51" s="43" t="s">
        <v>75</v>
      </c>
      <c r="AG51" s="43" t="s">
        <v>322</v>
      </c>
      <c r="AJ51" s="140">
        <v>6</v>
      </c>
      <c r="AK51" s="140">
        <v>0</v>
      </c>
      <c r="AL51" s="140">
        <v>2</v>
      </c>
      <c r="AM51" s="140">
        <v>0</v>
      </c>
      <c r="AN51" s="140">
        <v>0</v>
      </c>
      <c r="AO51" s="140">
        <v>0</v>
      </c>
      <c r="AP51" s="140">
        <v>6</v>
      </c>
      <c r="AQ51" s="140">
        <v>0</v>
      </c>
      <c r="AR51" s="140">
        <v>0</v>
      </c>
      <c r="AS51" s="140">
        <v>0</v>
      </c>
      <c r="AT51" s="140">
        <v>0</v>
      </c>
      <c r="AU51" s="140">
        <v>0</v>
      </c>
      <c r="AV51" s="140">
        <v>0</v>
      </c>
      <c r="AW51" s="140">
        <v>6</v>
      </c>
      <c r="AX51" s="140">
        <v>0</v>
      </c>
      <c r="AY51" s="140">
        <v>0</v>
      </c>
      <c r="AZ51" s="140">
        <v>0</v>
      </c>
      <c r="BA51" s="140">
        <v>0</v>
      </c>
      <c r="BB51" s="140">
        <v>0</v>
      </c>
      <c r="BC51" s="140">
        <v>0</v>
      </c>
      <c r="BD51" s="140">
        <v>0</v>
      </c>
      <c r="BE51" s="140">
        <v>0</v>
      </c>
      <c r="BF51" s="140">
        <v>0</v>
      </c>
      <c r="BG51" s="140">
        <v>0</v>
      </c>
      <c r="BH51" s="140">
        <v>0</v>
      </c>
      <c r="BI51" s="140">
        <v>0</v>
      </c>
      <c r="BJ51" s="140">
        <v>0</v>
      </c>
      <c r="BK51" s="140">
        <v>0</v>
      </c>
      <c r="BL51" s="140">
        <v>0</v>
      </c>
      <c r="BM51" s="140">
        <v>0</v>
      </c>
      <c r="BN51" s="140">
        <v>0</v>
      </c>
      <c r="BO51" s="140">
        <v>0</v>
      </c>
      <c r="BP51" s="43" t="s">
        <v>140</v>
      </c>
      <c r="BX51" s="43">
        <v>1</v>
      </c>
      <c r="BY51" s="90">
        <f t="shared" si="3"/>
        <v>6</v>
      </c>
      <c r="CT51" s="90">
        <f t="shared" si="1"/>
        <v>0</v>
      </c>
      <c r="CU51" s="90">
        <f t="shared" si="2"/>
        <v>0</v>
      </c>
    </row>
    <row r="52" spans="1:99" ht="12" customHeight="1">
      <c r="A52" s="43">
        <v>5010</v>
      </c>
      <c r="B52" s="89" t="s">
        <v>312</v>
      </c>
      <c r="C52" s="89" t="s">
        <v>474</v>
      </c>
      <c r="D52" s="89" t="s">
        <v>475</v>
      </c>
      <c r="F52" s="43">
        <v>524774</v>
      </c>
      <c r="G52" s="43">
        <v>173317</v>
      </c>
      <c r="H52" s="89" t="s">
        <v>176</v>
      </c>
      <c r="I52" s="125">
        <v>43522</v>
      </c>
      <c r="J52" s="117">
        <v>43921</v>
      </c>
      <c r="K52" s="140">
        <v>0</v>
      </c>
      <c r="L52" s="140">
        <v>1</v>
      </c>
      <c r="M52" s="140">
        <v>1</v>
      </c>
      <c r="N52" s="140">
        <v>1</v>
      </c>
      <c r="O52" s="140">
        <v>1</v>
      </c>
      <c r="Q52" s="89" t="s">
        <v>476</v>
      </c>
      <c r="R52" s="43" t="s">
        <v>443</v>
      </c>
      <c r="S52" s="125">
        <v>43389</v>
      </c>
      <c r="T52" s="117">
        <v>43441</v>
      </c>
      <c r="V52" s="43" t="s">
        <v>317</v>
      </c>
      <c r="X52" s="43" t="s">
        <v>318</v>
      </c>
      <c r="Y52" s="43" t="s">
        <v>336</v>
      </c>
      <c r="Z52" s="43" t="s">
        <v>320</v>
      </c>
      <c r="AA52" s="43" t="s">
        <v>30</v>
      </c>
      <c r="AB52" s="144">
        <v>2.0000000949949E-3</v>
      </c>
      <c r="AC52" s="125">
        <v>43522</v>
      </c>
      <c r="AE52" s="117">
        <v>43921</v>
      </c>
      <c r="AF52" s="43" t="s">
        <v>75</v>
      </c>
      <c r="AG52" s="43" t="s">
        <v>322</v>
      </c>
      <c r="AJ52" s="140">
        <v>0</v>
      </c>
      <c r="AK52" s="140">
        <v>0</v>
      </c>
      <c r="AL52" s="140">
        <v>0</v>
      </c>
      <c r="AM52" s="140">
        <v>0</v>
      </c>
      <c r="AN52" s="140">
        <v>1</v>
      </c>
      <c r="AO52" s="140">
        <v>0</v>
      </c>
      <c r="AP52" s="140">
        <v>0</v>
      </c>
      <c r="AQ52" s="140">
        <v>0</v>
      </c>
      <c r="AR52" s="140">
        <v>0</v>
      </c>
      <c r="AS52" s="140">
        <v>0</v>
      </c>
      <c r="AT52" s="140">
        <v>0</v>
      </c>
      <c r="AU52" s="140">
        <v>1</v>
      </c>
      <c r="AV52" s="140">
        <v>0</v>
      </c>
      <c r="AW52" s="140">
        <v>0</v>
      </c>
      <c r="AX52" s="140">
        <v>0</v>
      </c>
      <c r="AY52" s="140">
        <v>0</v>
      </c>
      <c r="AZ52" s="140">
        <v>0</v>
      </c>
      <c r="BA52" s="140">
        <v>0</v>
      </c>
      <c r="BB52" s="140">
        <v>0</v>
      </c>
      <c r="BC52" s="140">
        <v>0</v>
      </c>
      <c r="BD52" s="140">
        <v>0</v>
      </c>
      <c r="BE52" s="140">
        <v>0</v>
      </c>
      <c r="BF52" s="140">
        <v>0</v>
      </c>
      <c r="BG52" s="140">
        <v>0</v>
      </c>
      <c r="BH52" s="140">
        <v>0</v>
      </c>
      <c r="BI52" s="140">
        <v>0</v>
      </c>
      <c r="BJ52" s="140">
        <v>0</v>
      </c>
      <c r="BK52" s="140">
        <v>0</v>
      </c>
      <c r="BL52" s="140">
        <v>0</v>
      </c>
      <c r="BM52" s="140">
        <v>0</v>
      </c>
      <c r="BN52" s="140">
        <v>0</v>
      </c>
      <c r="BO52" s="140">
        <v>0</v>
      </c>
      <c r="BX52" s="43">
        <v>12</v>
      </c>
      <c r="BY52" s="90">
        <f t="shared" si="3"/>
        <v>1</v>
      </c>
      <c r="CT52" s="90">
        <f t="shared" si="1"/>
        <v>0</v>
      </c>
      <c r="CU52" s="90">
        <f t="shared" si="2"/>
        <v>0</v>
      </c>
    </row>
    <row r="53" spans="1:99" ht="12" customHeight="1">
      <c r="A53" s="43">
        <v>5251</v>
      </c>
      <c r="B53" s="89" t="s">
        <v>312</v>
      </c>
      <c r="C53" s="89" t="s">
        <v>477</v>
      </c>
      <c r="D53" s="89" t="s">
        <v>478</v>
      </c>
      <c r="F53" s="43">
        <v>527712</v>
      </c>
      <c r="G53" s="43">
        <v>171962</v>
      </c>
      <c r="H53" s="89" t="s">
        <v>141</v>
      </c>
      <c r="I53" s="125">
        <v>43739</v>
      </c>
      <c r="J53" s="117">
        <v>43921</v>
      </c>
      <c r="K53" s="140">
        <v>0</v>
      </c>
      <c r="L53" s="140">
        <v>1</v>
      </c>
      <c r="M53" s="140">
        <v>1</v>
      </c>
      <c r="N53" s="140">
        <v>2</v>
      </c>
      <c r="O53" s="140">
        <v>2</v>
      </c>
      <c r="Q53" s="89" t="s">
        <v>479</v>
      </c>
      <c r="R53" s="43" t="s">
        <v>316</v>
      </c>
      <c r="S53" s="125">
        <v>43682</v>
      </c>
      <c r="T53" s="117">
        <v>43719</v>
      </c>
      <c r="U53" s="43" t="s">
        <v>329</v>
      </c>
      <c r="V53" s="43" t="s">
        <v>317</v>
      </c>
      <c r="X53" s="43" t="s">
        <v>318</v>
      </c>
      <c r="Y53" s="43" t="s">
        <v>319</v>
      </c>
      <c r="Z53" s="43" t="s">
        <v>320</v>
      </c>
      <c r="AA53" s="43" t="s">
        <v>30</v>
      </c>
      <c r="AB53" s="144">
        <v>2.0000000949949E-3</v>
      </c>
      <c r="AC53" s="125">
        <v>43739</v>
      </c>
      <c r="AD53" s="43" t="s">
        <v>329</v>
      </c>
      <c r="AE53" s="117">
        <v>43921</v>
      </c>
      <c r="AF53" s="43" t="s">
        <v>75</v>
      </c>
      <c r="AG53" s="43" t="s">
        <v>322</v>
      </c>
      <c r="AJ53" s="140">
        <v>0</v>
      </c>
      <c r="AK53" s="140">
        <v>0</v>
      </c>
      <c r="AL53" s="140">
        <v>0</v>
      </c>
      <c r="AM53" s="140">
        <v>0</v>
      </c>
      <c r="AN53" s="140">
        <v>0</v>
      </c>
      <c r="AO53" s="140">
        <v>0</v>
      </c>
      <c r="AP53" s="140">
        <v>1</v>
      </c>
      <c r="AQ53" s="140">
        <v>0</v>
      </c>
      <c r="AR53" s="140">
        <v>0</v>
      </c>
      <c r="AS53" s="140">
        <v>0</v>
      </c>
      <c r="AT53" s="140">
        <v>0</v>
      </c>
      <c r="AU53" s="140">
        <v>0</v>
      </c>
      <c r="AV53" s="140">
        <v>0</v>
      </c>
      <c r="AW53" s="140">
        <v>1</v>
      </c>
      <c r="AX53" s="140">
        <v>0</v>
      </c>
      <c r="AY53" s="140">
        <v>0</v>
      </c>
      <c r="AZ53" s="140">
        <v>0</v>
      </c>
      <c r="BA53" s="140">
        <v>0</v>
      </c>
      <c r="BB53" s="140">
        <v>0</v>
      </c>
      <c r="BC53" s="140">
        <v>0</v>
      </c>
      <c r="BD53" s="140">
        <v>0</v>
      </c>
      <c r="BE53" s="140">
        <v>0</v>
      </c>
      <c r="BF53" s="140">
        <v>0</v>
      </c>
      <c r="BG53" s="140">
        <v>0</v>
      </c>
      <c r="BH53" s="140">
        <v>0</v>
      </c>
      <c r="BI53" s="140">
        <v>0</v>
      </c>
      <c r="BJ53" s="140">
        <v>0</v>
      </c>
      <c r="BK53" s="140">
        <v>0</v>
      </c>
      <c r="BL53" s="140">
        <v>0</v>
      </c>
      <c r="BM53" s="140">
        <v>0</v>
      </c>
      <c r="BN53" s="140">
        <v>0</v>
      </c>
      <c r="BO53" s="140">
        <v>0</v>
      </c>
      <c r="BP53" s="43" t="s">
        <v>141</v>
      </c>
      <c r="BX53" s="43">
        <v>12</v>
      </c>
      <c r="BY53" s="90">
        <f t="shared" si="3"/>
        <v>1</v>
      </c>
      <c r="CT53" s="90">
        <f t="shared" si="1"/>
        <v>0</v>
      </c>
      <c r="CU53" s="90">
        <f t="shared" si="2"/>
        <v>0</v>
      </c>
    </row>
    <row r="54" spans="1:99" ht="12" customHeight="1">
      <c r="A54" s="43">
        <v>5251</v>
      </c>
      <c r="B54" s="89" t="s">
        <v>312</v>
      </c>
      <c r="C54" s="89" t="s">
        <v>477</v>
      </c>
      <c r="D54" s="89" t="s">
        <v>478</v>
      </c>
      <c r="F54" s="43">
        <v>527712</v>
      </c>
      <c r="G54" s="43">
        <v>171962</v>
      </c>
      <c r="H54" s="89" t="s">
        <v>141</v>
      </c>
      <c r="I54" s="125">
        <v>43739</v>
      </c>
      <c r="J54" s="117">
        <v>43921</v>
      </c>
      <c r="K54" s="140">
        <v>0</v>
      </c>
      <c r="L54" s="140">
        <v>1</v>
      </c>
      <c r="M54" s="140">
        <v>1</v>
      </c>
      <c r="N54" s="140">
        <v>2</v>
      </c>
      <c r="O54" s="140">
        <v>2</v>
      </c>
      <c r="Q54" s="89" t="s">
        <v>479</v>
      </c>
      <c r="R54" s="43" t="s">
        <v>316</v>
      </c>
      <c r="S54" s="125">
        <v>43682</v>
      </c>
      <c r="T54" s="117">
        <v>43719</v>
      </c>
      <c r="U54" s="43" t="s">
        <v>329</v>
      </c>
      <c r="V54" s="43" t="s">
        <v>317</v>
      </c>
      <c r="X54" s="43" t="s">
        <v>318</v>
      </c>
      <c r="Y54" s="43" t="s">
        <v>319</v>
      </c>
      <c r="Z54" s="43" t="s">
        <v>320</v>
      </c>
      <c r="AA54" s="43" t="s">
        <v>340</v>
      </c>
      <c r="AB54" s="144">
        <v>3.0000000260770299E-3</v>
      </c>
      <c r="AC54" s="125">
        <v>43739</v>
      </c>
      <c r="AD54" s="43" t="s">
        <v>329</v>
      </c>
      <c r="AE54" s="117">
        <v>43921</v>
      </c>
      <c r="AF54" s="43" t="s">
        <v>75</v>
      </c>
      <c r="AG54" s="43" t="s">
        <v>322</v>
      </c>
      <c r="AJ54" s="140">
        <v>0</v>
      </c>
      <c r="AK54" s="140">
        <v>0</v>
      </c>
      <c r="AL54" s="140">
        <v>0</v>
      </c>
      <c r="AM54" s="140">
        <v>0</v>
      </c>
      <c r="AN54" s="140">
        <v>0</v>
      </c>
      <c r="AO54" s="140">
        <v>0</v>
      </c>
      <c r="AP54" s="140">
        <v>1</v>
      </c>
      <c r="AQ54" s="140">
        <v>0</v>
      </c>
      <c r="AR54" s="140">
        <v>0</v>
      </c>
      <c r="AS54" s="140">
        <v>0</v>
      </c>
      <c r="AT54" s="140">
        <v>0</v>
      </c>
      <c r="AU54" s="140">
        <v>0</v>
      </c>
      <c r="AV54" s="140">
        <v>0</v>
      </c>
      <c r="AW54" s="140">
        <v>1</v>
      </c>
      <c r="AX54" s="140">
        <v>0</v>
      </c>
      <c r="AY54" s="140">
        <v>0</v>
      </c>
      <c r="AZ54" s="140">
        <v>0</v>
      </c>
      <c r="BA54" s="140">
        <v>0</v>
      </c>
      <c r="BB54" s="140">
        <v>0</v>
      </c>
      <c r="BC54" s="140">
        <v>0</v>
      </c>
      <c r="BD54" s="140">
        <v>0</v>
      </c>
      <c r="BE54" s="140">
        <v>0</v>
      </c>
      <c r="BF54" s="140">
        <v>0</v>
      </c>
      <c r="BG54" s="140">
        <v>0</v>
      </c>
      <c r="BH54" s="140">
        <v>0</v>
      </c>
      <c r="BI54" s="140">
        <v>0</v>
      </c>
      <c r="BJ54" s="140">
        <v>0</v>
      </c>
      <c r="BK54" s="140">
        <v>0</v>
      </c>
      <c r="BL54" s="140">
        <v>0</v>
      </c>
      <c r="BM54" s="140">
        <v>0</v>
      </c>
      <c r="BN54" s="140">
        <v>0</v>
      </c>
      <c r="BO54" s="140">
        <v>0</v>
      </c>
      <c r="BP54" s="43" t="s">
        <v>141</v>
      </c>
      <c r="BX54" s="43">
        <v>12</v>
      </c>
      <c r="BY54" s="90">
        <f t="shared" si="3"/>
        <v>1</v>
      </c>
      <c r="CT54" s="90">
        <f t="shared" si="1"/>
        <v>0</v>
      </c>
      <c r="CU54" s="90">
        <f t="shared" si="2"/>
        <v>0</v>
      </c>
    </row>
    <row r="55" spans="1:99" ht="12" customHeight="1">
      <c r="A55" s="43">
        <v>5281</v>
      </c>
      <c r="B55" s="89" t="s">
        <v>312</v>
      </c>
      <c r="C55" s="89" t="s">
        <v>480</v>
      </c>
      <c r="D55" s="89" t="s">
        <v>481</v>
      </c>
      <c r="F55" s="43">
        <v>526909</v>
      </c>
      <c r="G55" s="43">
        <v>171864</v>
      </c>
      <c r="H55" s="89" t="s">
        <v>141</v>
      </c>
      <c r="I55" s="125">
        <v>43525</v>
      </c>
      <c r="J55" s="117">
        <v>43901</v>
      </c>
      <c r="K55" s="140">
        <v>0</v>
      </c>
      <c r="L55" s="140">
        <v>1</v>
      </c>
      <c r="M55" s="140">
        <v>1</v>
      </c>
      <c r="N55" s="140">
        <v>1</v>
      </c>
      <c r="O55" s="140">
        <v>1</v>
      </c>
      <c r="Q55" s="89" t="s">
        <v>482</v>
      </c>
      <c r="R55" s="43" t="s">
        <v>316</v>
      </c>
      <c r="S55" s="125">
        <v>42991</v>
      </c>
      <c r="T55" s="117">
        <v>43077</v>
      </c>
      <c r="V55" s="43" t="s">
        <v>317</v>
      </c>
      <c r="X55" s="43" t="s">
        <v>318</v>
      </c>
      <c r="Y55" s="43" t="s">
        <v>319</v>
      </c>
      <c r="Z55" s="43" t="s">
        <v>320</v>
      </c>
      <c r="AA55" s="43" t="s">
        <v>30</v>
      </c>
      <c r="AB55" s="144">
        <v>4.0000001899898104E-3</v>
      </c>
      <c r="AC55" s="125">
        <v>43525</v>
      </c>
      <c r="AE55" s="117">
        <v>43901</v>
      </c>
      <c r="AF55" s="43" t="s">
        <v>75</v>
      </c>
      <c r="AG55" s="43" t="s">
        <v>322</v>
      </c>
      <c r="AJ55" s="140">
        <v>0</v>
      </c>
      <c r="AK55" s="140">
        <v>0</v>
      </c>
      <c r="AL55" s="140">
        <v>0</v>
      </c>
      <c r="AM55" s="140">
        <v>0</v>
      </c>
      <c r="AN55" s="140">
        <v>0</v>
      </c>
      <c r="AO55" s="140">
        <v>1</v>
      </c>
      <c r="AP55" s="140">
        <v>0</v>
      </c>
      <c r="AQ55" s="140">
        <v>0</v>
      </c>
      <c r="AR55" s="140">
        <v>0</v>
      </c>
      <c r="AS55" s="140">
        <v>0</v>
      </c>
      <c r="AT55" s="140">
        <v>0</v>
      </c>
      <c r="AU55" s="140">
        <v>0</v>
      </c>
      <c r="AV55" s="140">
        <v>1</v>
      </c>
      <c r="AW55" s="140">
        <v>0</v>
      </c>
      <c r="AX55" s="140">
        <v>0</v>
      </c>
      <c r="AY55" s="140">
        <v>0</v>
      </c>
      <c r="AZ55" s="140">
        <v>0</v>
      </c>
      <c r="BA55" s="140">
        <v>0</v>
      </c>
      <c r="BB55" s="140">
        <v>0</v>
      </c>
      <c r="BC55" s="140">
        <v>0</v>
      </c>
      <c r="BD55" s="140">
        <v>0</v>
      </c>
      <c r="BE55" s="140">
        <v>0</v>
      </c>
      <c r="BF55" s="140">
        <v>0</v>
      </c>
      <c r="BG55" s="140">
        <v>0</v>
      </c>
      <c r="BH55" s="140">
        <v>0</v>
      </c>
      <c r="BI55" s="140">
        <v>0</v>
      </c>
      <c r="BJ55" s="140">
        <v>0</v>
      </c>
      <c r="BK55" s="140">
        <v>0</v>
      </c>
      <c r="BL55" s="140">
        <v>0</v>
      </c>
      <c r="BM55" s="140">
        <v>0</v>
      </c>
      <c r="BN55" s="140">
        <v>0</v>
      </c>
      <c r="BO55" s="140">
        <v>0</v>
      </c>
      <c r="BX55" s="43">
        <v>12</v>
      </c>
      <c r="BY55" s="90">
        <f t="shared" si="3"/>
        <v>1</v>
      </c>
      <c r="CT55" s="90">
        <f t="shared" si="1"/>
        <v>0</v>
      </c>
      <c r="CU55" s="90">
        <f t="shared" si="2"/>
        <v>0</v>
      </c>
    </row>
    <row r="56" spans="1:99" ht="12" customHeight="1">
      <c r="A56" s="43">
        <v>5363</v>
      </c>
      <c r="B56" s="89" t="s">
        <v>312</v>
      </c>
      <c r="C56" s="89" t="s">
        <v>483</v>
      </c>
      <c r="D56" s="89" t="s">
        <v>484</v>
      </c>
      <c r="F56" s="43">
        <v>525417</v>
      </c>
      <c r="G56" s="43">
        <v>174604</v>
      </c>
      <c r="H56" s="89" t="s">
        <v>176</v>
      </c>
      <c r="I56" s="125">
        <v>41978</v>
      </c>
      <c r="J56" s="117">
        <v>43556</v>
      </c>
      <c r="K56" s="140">
        <v>0</v>
      </c>
      <c r="L56" s="140">
        <v>2</v>
      </c>
      <c r="M56" s="140">
        <v>2</v>
      </c>
      <c r="N56" s="140">
        <v>2</v>
      </c>
      <c r="O56" s="140">
        <v>2</v>
      </c>
      <c r="Q56" s="89" t="s">
        <v>485</v>
      </c>
      <c r="R56" s="43" t="s">
        <v>443</v>
      </c>
      <c r="S56" s="125">
        <v>41484</v>
      </c>
      <c r="T56" s="117">
        <v>41534</v>
      </c>
      <c r="V56" s="43" t="s">
        <v>317</v>
      </c>
      <c r="X56" s="43" t="s">
        <v>318</v>
      </c>
      <c r="Y56" s="43" t="s">
        <v>336</v>
      </c>
      <c r="Z56" s="43" t="s">
        <v>320</v>
      </c>
      <c r="AA56" s="43" t="s">
        <v>33</v>
      </c>
      <c r="AB56" s="144">
        <v>9.9999997764825804E-3</v>
      </c>
      <c r="AC56" s="125">
        <v>41978</v>
      </c>
      <c r="AE56" s="117">
        <v>43556</v>
      </c>
      <c r="AF56" s="43" t="s">
        <v>75</v>
      </c>
      <c r="AG56" s="43" t="s">
        <v>322</v>
      </c>
      <c r="AJ56" s="140">
        <v>0</v>
      </c>
      <c r="AK56" s="140">
        <v>0</v>
      </c>
      <c r="AL56" s="140">
        <v>0</v>
      </c>
      <c r="AM56" s="140">
        <v>0</v>
      </c>
      <c r="AN56" s="140">
        <v>0</v>
      </c>
      <c r="AO56" s="140">
        <v>0</v>
      </c>
      <c r="AP56" s="140">
        <v>2</v>
      </c>
      <c r="AQ56" s="140">
        <v>0</v>
      </c>
      <c r="AR56" s="140">
        <v>0</v>
      </c>
      <c r="AS56" s="140">
        <v>0</v>
      </c>
      <c r="AT56" s="140">
        <v>0</v>
      </c>
      <c r="AU56" s="140">
        <v>0</v>
      </c>
      <c r="AV56" s="140">
        <v>0</v>
      </c>
      <c r="AW56" s="140">
        <v>2</v>
      </c>
      <c r="AX56" s="140">
        <v>0</v>
      </c>
      <c r="AY56" s="140">
        <v>0</v>
      </c>
      <c r="AZ56" s="140">
        <v>0</v>
      </c>
      <c r="BA56" s="140">
        <v>0</v>
      </c>
      <c r="BB56" s="140">
        <v>0</v>
      </c>
      <c r="BC56" s="140">
        <v>0</v>
      </c>
      <c r="BD56" s="140">
        <v>0</v>
      </c>
      <c r="BE56" s="140">
        <v>0</v>
      </c>
      <c r="BF56" s="140">
        <v>0</v>
      </c>
      <c r="BG56" s="140">
        <v>0</v>
      </c>
      <c r="BH56" s="140">
        <v>0</v>
      </c>
      <c r="BI56" s="140">
        <v>0</v>
      </c>
      <c r="BJ56" s="140">
        <v>0</v>
      </c>
      <c r="BK56" s="140">
        <v>0</v>
      </c>
      <c r="BL56" s="140">
        <v>0</v>
      </c>
      <c r="BM56" s="140">
        <v>0</v>
      </c>
      <c r="BN56" s="140">
        <v>0</v>
      </c>
      <c r="BO56" s="140">
        <v>0</v>
      </c>
      <c r="BP56" s="43" t="s">
        <v>142</v>
      </c>
      <c r="BR56" s="43" t="s">
        <v>329</v>
      </c>
      <c r="BX56" s="43">
        <v>12</v>
      </c>
      <c r="BY56" s="90">
        <f t="shared" si="3"/>
        <v>2</v>
      </c>
      <c r="CT56" s="90">
        <f t="shared" si="1"/>
        <v>0</v>
      </c>
      <c r="CU56" s="90">
        <f t="shared" si="2"/>
        <v>0</v>
      </c>
    </row>
    <row r="57" spans="1:99" ht="12" customHeight="1">
      <c r="A57" s="43">
        <v>5447</v>
      </c>
      <c r="B57" s="89" t="s">
        <v>312</v>
      </c>
      <c r="C57" s="89" t="s">
        <v>486</v>
      </c>
      <c r="D57" s="89" t="s">
        <v>487</v>
      </c>
      <c r="F57" s="43">
        <v>528513</v>
      </c>
      <c r="G57" s="43">
        <v>175788</v>
      </c>
      <c r="H57" s="89" t="s">
        <v>175</v>
      </c>
      <c r="I57" s="125">
        <v>43011</v>
      </c>
      <c r="J57" s="117">
        <v>43645</v>
      </c>
      <c r="K57" s="140">
        <v>0</v>
      </c>
      <c r="L57" s="140">
        <v>1</v>
      </c>
      <c r="M57" s="140">
        <v>1</v>
      </c>
      <c r="N57" s="140">
        <v>1</v>
      </c>
      <c r="O57" s="140">
        <v>1</v>
      </c>
      <c r="Q57" s="89" t="s">
        <v>488</v>
      </c>
      <c r="R57" s="43" t="s">
        <v>316</v>
      </c>
      <c r="S57" s="125">
        <v>41647</v>
      </c>
      <c r="T57" s="117">
        <v>41808</v>
      </c>
      <c r="V57" s="43" t="s">
        <v>317</v>
      </c>
      <c r="X57" s="43" t="s">
        <v>318</v>
      </c>
      <c r="Y57" s="43" t="s">
        <v>361</v>
      </c>
      <c r="Z57" s="43" t="s">
        <v>320</v>
      </c>
      <c r="AA57" s="43" t="s">
        <v>353</v>
      </c>
      <c r="AB57" s="144">
        <v>2.3000000044703501E-2</v>
      </c>
      <c r="AC57" s="125">
        <v>43011</v>
      </c>
      <c r="AE57" s="117">
        <v>43645</v>
      </c>
      <c r="AF57" s="43" t="s">
        <v>75</v>
      </c>
      <c r="AG57" s="43" t="s">
        <v>322</v>
      </c>
      <c r="AJ57" s="140">
        <v>0</v>
      </c>
      <c r="AK57" s="140">
        <v>0</v>
      </c>
      <c r="AL57" s="140">
        <v>0</v>
      </c>
      <c r="AM57" s="140">
        <v>0</v>
      </c>
      <c r="AN57" s="140">
        <v>0</v>
      </c>
      <c r="AO57" s="140">
        <v>1</v>
      </c>
      <c r="AP57" s="140">
        <v>0</v>
      </c>
      <c r="AQ57" s="140">
        <v>0</v>
      </c>
      <c r="AR57" s="140">
        <v>0</v>
      </c>
      <c r="AS57" s="140">
        <v>0</v>
      </c>
      <c r="AT57" s="140">
        <v>0</v>
      </c>
      <c r="AU57" s="140">
        <v>0</v>
      </c>
      <c r="AV57" s="140">
        <v>0</v>
      </c>
      <c r="AW57" s="140">
        <v>0</v>
      </c>
      <c r="AX57" s="140">
        <v>0</v>
      </c>
      <c r="AY57" s="140">
        <v>0</v>
      </c>
      <c r="AZ57" s="140">
        <v>0</v>
      </c>
      <c r="BA57" s="140">
        <v>0</v>
      </c>
      <c r="BB57" s="140">
        <v>0</v>
      </c>
      <c r="BC57" s="140">
        <v>1</v>
      </c>
      <c r="BD57" s="140">
        <v>0</v>
      </c>
      <c r="BE57" s="140">
        <v>0</v>
      </c>
      <c r="BF57" s="140">
        <v>0</v>
      </c>
      <c r="BG57" s="140">
        <v>0</v>
      </c>
      <c r="BH57" s="140">
        <v>0</v>
      </c>
      <c r="BI57" s="140">
        <v>0</v>
      </c>
      <c r="BJ57" s="140">
        <v>0</v>
      </c>
      <c r="BK57" s="140">
        <v>0</v>
      </c>
      <c r="BL57" s="140">
        <v>0</v>
      </c>
      <c r="BM57" s="140">
        <v>0</v>
      </c>
      <c r="BN57" s="140">
        <v>0</v>
      </c>
      <c r="BO57" s="140">
        <v>0</v>
      </c>
      <c r="BX57" s="43">
        <v>1</v>
      </c>
      <c r="BY57" s="90">
        <f t="shared" si="3"/>
        <v>1</v>
      </c>
      <c r="CT57" s="90">
        <f t="shared" si="1"/>
        <v>0</v>
      </c>
      <c r="CU57" s="90">
        <f t="shared" si="2"/>
        <v>0</v>
      </c>
    </row>
    <row r="58" spans="1:99" ht="12" customHeight="1">
      <c r="A58" s="43">
        <v>5520</v>
      </c>
      <c r="B58" s="89" t="s">
        <v>312</v>
      </c>
      <c r="C58" s="89" t="s">
        <v>489</v>
      </c>
      <c r="D58" s="89" t="s">
        <v>490</v>
      </c>
      <c r="F58" s="43">
        <v>527901</v>
      </c>
      <c r="G58" s="43">
        <v>172495</v>
      </c>
      <c r="H58" s="89" t="s">
        <v>173</v>
      </c>
      <c r="I58" s="125">
        <v>43617</v>
      </c>
      <c r="J58" s="117">
        <v>43921</v>
      </c>
      <c r="K58" s="140">
        <v>0</v>
      </c>
      <c r="L58" s="140">
        <v>1</v>
      </c>
      <c r="M58" s="140">
        <v>1</v>
      </c>
      <c r="N58" s="140">
        <v>1</v>
      </c>
      <c r="O58" s="140">
        <v>1</v>
      </c>
      <c r="Q58" s="89" t="s">
        <v>491</v>
      </c>
      <c r="R58" s="43" t="s">
        <v>316</v>
      </c>
      <c r="S58" s="125">
        <v>43545</v>
      </c>
      <c r="T58" s="117">
        <v>43613</v>
      </c>
      <c r="U58" s="43" t="s">
        <v>329</v>
      </c>
      <c r="V58" s="43" t="s">
        <v>317</v>
      </c>
      <c r="X58" s="43" t="s">
        <v>318</v>
      </c>
      <c r="Y58" s="43" t="s">
        <v>379</v>
      </c>
      <c r="Z58" s="43" t="s">
        <v>320</v>
      </c>
      <c r="AA58" s="43" t="s">
        <v>340</v>
      </c>
      <c r="AB58" s="144">
        <v>4.0000001899898104E-3</v>
      </c>
      <c r="AC58" s="125">
        <v>43617</v>
      </c>
      <c r="AD58" s="43" t="s">
        <v>329</v>
      </c>
      <c r="AE58" s="117">
        <v>43921</v>
      </c>
      <c r="AF58" s="43" t="s">
        <v>75</v>
      </c>
      <c r="AG58" s="43" t="s">
        <v>322</v>
      </c>
      <c r="AJ58" s="140">
        <v>0</v>
      </c>
      <c r="AK58" s="140">
        <v>0</v>
      </c>
      <c r="AL58" s="140">
        <v>0</v>
      </c>
      <c r="AM58" s="140">
        <v>0</v>
      </c>
      <c r="AN58" s="140">
        <v>0</v>
      </c>
      <c r="AO58" s="140">
        <v>0</v>
      </c>
      <c r="AP58" s="140">
        <v>1</v>
      </c>
      <c r="AQ58" s="140">
        <v>0</v>
      </c>
      <c r="AR58" s="140">
        <v>0</v>
      </c>
      <c r="AS58" s="140">
        <v>0</v>
      </c>
      <c r="AT58" s="140">
        <v>0</v>
      </c>
      <c r="AU58" s="140">
        <v>0</v>
      </c>
      <c r="AV58" s="140">
        <v>0</v>
      </c>
      <c r="AW58" s="140">
        <v>1</v>
      </c>
      <c r="AX58" s="140">
        <v>0</v>
      </c>
      <c r="AY58" s="140">
        <v>0</v>
      </c>
      <c r="AZ58" s="140">
        <v>0</v>
      </c>
      <c r="BA58" s="140">
        <v>0</v>
      </c>
      <c r="BB58" s="140">
        <v>0</v>
      </c>
      <c r="BC58" s="140">
        <v>0</v>
      </c>
      <c r="BD58" s="140">
        <v>0</v>
      </c>
      <c r="BE58" s="140">
        <v>0</v>
      </c>
      <c r="BF58" s="140">
        <v>0</v>
      </c>
      <c r="BG58" s="140">
        <v>0</v>
      </c>
      <c r="BH58" s="140">
        <v>0</v>
      </c>
      <c r="BI58" s="140">
        <v>0</v>
      </c>
      <c r="BJ58" s="140">
        <v>0</v>
      </c>
      <c r="BK58" s="140">
        <v>0</v>
      </c>
      <c r="BL58" s="140">
        <v>0</v>
      </c>
      <c r="BM58" s="140">
        <v>0</v>
      </c>
      <c r="BN58" s="140">
        <v>0</v>
      </c>
      <c r="BO58" s="140">
        <v>0</v>
      </c>
      <c r="BX58" s="43">
        <v>12</v>
      </c>
      <c r="BY58" s="90">
        <f t="shared" si="3"/>
        <v>1</v>
      </c>
      <c r="CT58" s="90">
        <f t="shared" si="1"/>
        <v>0</v>
      </c>
      <c r="CU58" s="90">
        <f t="shared" si="2"/>
        <v>0</v>
      </c>
    </row>
    <row r="59" spans="1:99" ht="12" customHeight="1">
      <c r="A59" s="43">
        <v>5552</v>
      </c>
      <c r="B59" s="89" t="s">
        <v>312</v>
      </c>
      <c r="C59" s="89" t="s">
        <v>492</v>
      </c>
      <c r="D59" s="89" t="s">
        <v>493</v>
      </c>
      <c r="F59" s="43">
        <v>525905</v>
      </c>
      <c r="G59" s="43">
        <v>173024</v>
      </c>
      <c r="H59" s="89" t="s">
        <v>168</v>
      </c>
      <c r="J59" s="117">
        <v>43561</v>
      </c>
      <c r="K59" s="140">
        <v>0</v>
      </c>
      <c r="L59" s="140">
        <v>7</v>
      </c>
      <c r="M59" s="140">
        <v>7</v>
      </c>
      <c r="N59" s="140">
        <v>7</v>
      </c>
      <c r="O59" s="140">
        <v>7</v>
      </c>
      <c r="Q59" s="89" t="s">
        <v>494</v>
      </c>
      <c r="R59" s="43" t="s">
        <v>443</v>
      </c>
      <c r="S59" s="125">
        <v>42888</v>
      </c>
      <c r="T59" s="117">
        <v>42944</v>
      </c>
      <c r="V59" s="43" t="s">
        <v>317</v>
      </c>
      <c r="X59" s="43" t="s">
        <v>318</v>
      </c>
      <c r="Y59" s="43" t="s">
        <v>336</v>
      </c>
      <c r="Z59" s="43" t="s">
        <v>320</v>
      </c>
      <c r="AA59" s="43" t="s">
        <v>33</v>
      </c>
      <c r="AB59" s="144">
        <v>5.7000000029802302E-2</v>
      </c>
      <c r="AE59" s="117">
        <v>43561</v>
      </c>
      <c r="AF59" s="43" t="s">
        <v>75</v>
      </c>
      <c r="AG59" s="43" t="s">
        <v>322</v>
      </c>
      <c r="AJ59" s="140">
        <v>0</v>
      </c>
      <c r="AK59" s="140">
        <v>0</v>
      </c>
      <c r="AL59" s="140">
        <v>0</v>
      </c>
      <c r="AM59" s="140">
        <v>0</v>
      </c>
      <c r="AN59" s="140">
        <v>1</v>
      </c>
      <c r="AO59" s="140">
        <v>3</v>
      </c>
      <c r="AP59" s="140">
        <v>3</v>
      </c>
      <c r="AQ59" s="140">
        <v>0</v>
      </c>
      <c r="AR59" s="140">
        <v>0</v>
      </c>
      <c r="AS59" s="140">
        <v>0</v>
      </c>
      <c r="AT59" s="140">
        <v>0</v>
      </c>
      <c r="AU59" s="140">
        <v>1</v>
      </c>
      <c r="AV59" s="140">
        <v>3</v>
      </c>
      <c r="AW59" s="140">
        <v>3</v>
      </c>
      <c r="AX59" s="140">
        <v>0</v>
      </c>
      <c r="AY59" s="140">
        <v>0</v>
      </c>
      <c r="AZ59" s="140">
        <v>0</v>
      </c>
      <c r="BA59" s="140">
        <v>0</v>
      </c>
      <c r="BB59" s="140">
        <v>0</v>
      </c>
      <c r="BC59" s="140">
        <v>0</v>
      </c>
      <c r="BD59" s="140">
        <v>0</v>
      </c>
      <c r="BE59" s="140">
        <v>0</v>
      </c>
      <c r="BF59" s="140">
        <v>0</v>
      </c>
      <c r="BG59" s="140">
        <v>0</v>
      </c>
      <c r="BH59" s="140">
        <v>0</v>
      </c>
      <c r="BI59" s="140">
        <v>0</v>
      </c>
      <c r="BJ59" s="140">
        <v>0</v>
      </c>
      <c r="BK59" s="140">
        <v>0</v>
      </c>
      <c r="BL59" s="140">
        <v>0</v>
      </c>
      <c r="BM59" s="140">
        <v>0</v>
      </c>
      <c r="BN59" s="140">
        <v>0</v>
      </c>
      <c r="BO59" s="140">
        <v>0</v>
      </c>
      <c r="BW59" s="43" t="s">
        <v>329</v>
      </c>
      <c r="BX59" s="43">
        <v>12</v>
      </c>
      <c r="BY59" s="90">
        <f t="shared" si="3"/>
        <v>7</v>
      </c>
      <c r="CT59" s="90">
        <f t="shared" si="1"/>
        <v>0</v>
      </c>
      <c r="CU59" s="90">
        <f t="shared" si="2"/>
        <v>0</v>
      </c>
    </row>
    <row r="60" spans="1:99" ht="12" customHeight="1">
      <c r="A60" s="43">
        <v>5552</v>
      </c>
      <c r="B60" s="89" t="s">
        <v>312</v>
      </c>
      <c r="C60" s="89" t="s">
        <v>495</v>
      </c>
      <c r="D60" s="89" t="s">
        <v>493</v>
      </c>
      <c r="F60" s="43">
        <v>525905</v>
      </c>
      <c r="G60" s="43">
        <v>173024</v>
      </c>
      <c r="H60" s="89" t="s">
        <v>168</v>
      </c>
      <c r="J60" s="117">
        <v>43561</v>
      </c>
      <c r="K60" s="140">
        <v>0</v>
      </c>
      <c r="L60" s="140">
        <v>2</v>
      </c>
      <c r="M60" s="140">
        <v>2</v>
      </c>
      <c r="N60" s="140">
        <v>2</v>
      </c>
      <c r="O60" s="140">
        <v>2</v>
      </c>
      <c r="Q60" s="89" t="s">
        <v>496</v>
      </c>
      <c r="R60" s="43" t="s">
        <v>316</v>
      </c>
      <c r="S60" s="125">
        <v>43074</v>
      </c>
      <c r="T60" s="117">
        <v>43235</v>
      </c>
      <c r="V60" s="43" t="s">
        <v>317</v>
      </c>
      <c r="X60" s="43" t="s">
        <v>318</v>
      </c>
      <c r="Y60" s="43" t="s">
        <v>336</v>
      </c>
      <c r="Z60" s="43" t="s">
        <v>320</v>
      </c>
      <c r="AA60" s="43" t="s">
        <v>36</v>
      </c>
      <c r="AB60" s="144">
        <v>8.9999996125698107E-3</v>
      </c>
      <c r="AE60" s="117">
        <v>43561</v>
      </c>
      <c r="AF60" s="43" t="s">
        <v>75</v>
      </c>
      <c r="AG60" s="43" t="s">
        <v>322</v>
      </c>
      <c r="AJ60" s="140">
        <v>0</v>
      </c>
      <c r="AK60" s="140">
        <v>0</v>
      </c>
      <c r="AL60" s="140">
        <v>0</v>
      </c>
      <c r="AM60" s="140">
        <v>0</v>
      </c>
      <c r="AN60" s="140">
        <v>0</v>
      </c>
      <c r="AO60" s="140">
        <v>2</v>
      </c>
      <c r="AP60" s="140">
        <v>0</v>
      </c>
      <c r="AQ60" s="140">
        <v>0</v>
      </c>
      <c r="AR60" s="140">
        <v>0</v>
      </c>
      <c r="AS60" s="140">
        <v>0</v>
      </c>
      <c r="AT60" s="140">
        <v>0</v>
      </c>
      <c r="AU60" s="140">
        <v>0</v>
      </c>
      <c r="AV60" s="140">
        <v>2</v>
      </c>
      <c r="AW60" s="140">
        <v>0</v>
      </c>
      <c r="AX60" s="140">
        <v>0</v>
      </c>
      <c r="AY60" s="140">
        <v>0</v>
      </c>
      <c r="AZ60" s="140">
        <v>0</v>
      </c>
      <c r="BA60" s="140">
        <v>0</v>
      </c>
      <c r="BB60" s="140">
        <v>0</v>
      </c>
      <c r="BC60" s="140">
        <v>0</v>
      </c>
      <c r="BD60" s="140">
        <v>0</v>
      </c>
      <c r="BE60" s="140">
        <v>0</v>
      </c>
      <c r="BF60" s="140">
        <v>0</v>
      </c>
      <c r="BG60" s="140">
        <v>0</v>
      </c>
      <c r="BH60" s="140">
        <v>0</v>
      </c>
      <c r="BI60" s="140">
        <v>0</v>
      </c>
      <c r="BJ60" s="140">
        <v>0</v>
      </c>
      <c r="BK60" s="140">
        <v>0</v>
      </c>
      <c r="BL60" s="140">
        <v>0</v>
      </c>
      <c r="BM60" s="140">
        <v>0</v>
      </c>
      <c r="BN60" s="140">
        <v>0</v>
      </c>
      <c r="BO60" s="140">
        <v>0</v>
      </c>
      <c r="BW60" s="43" t="s">
        <v>329</v>
      </c>
      <c r="BX60" s="43">
        <v>12</v>
      </c>
      <c r="BY60" s="90">
        <f t="shared" si="3"/>
        <v>2</v>
      </c>
      <c r="CT60" s="90">
        <f t="shared" si="1"/>
        <v>0</v>
      </c>
      <c r="CU60" s="90">
        <f t="shared" si="2"/>
        <v>0</v>
      </c>
    </row>
    <row r="61" spans="1:99" ht="12" customHeight="1">
      <c r="A61" s="43">
        <v>5615</v>
      </c>
      <c r="B61" s="89" t="s">
        <v>312</v>
      </c>
      <c r="C61" s="89" t="s">
        <v>497</v>
      </c>
      <c r="D61" s="89" t="s">
        <v>498</v>
      </c>
      <c r="F61" s="43">
        <v>527098</v>
      </c>
      <c r="G61" s="43">
        <v>170956</v>
      </c>
      <c r="H61" s="89" t="s">
        <v>141</v>
      </c>
      <c r="I61" s="125">
        <v>43489</v>
      </c>
      <c r="J61" s="117">
        <v>43892</v>
      </c>
      <c r="K61" s="140">
        <v>0</v>
      </c>
      <c r="L61" s="140">
        <v>1</v>
      </c>
      <c r="M61" s="140">
        <v>1</v>
      </c>
      <c r="N61" s="140">
        <v>1</v>
      </c>
      <c r="O61" s="140">
        <v>1</v>
      </c>
      <c r="Q61" s="89" t="s">
        <v>499</v>
      </c>
      <c r="R61" s="43" t="s">
        <v>316</v>
      </c>
      <c r="S61" s="125">
        <v>43258</v>
      </c>
      <c r="T61" s="117">
        <v>43306</v>
      </c>
      <c r="V61" s="43" t="s">
        <v>317</v>
      </c>
      <c r="X61" s="43" t="s">
        <v>318</v>
      </c>
      <c r="Y61" s="43" t="s">
        <v>361</v>
      </c>
      <c r="Z61" s="43" t="s">
        <v>320</v>
      </c>
      <c r="AA61" s="43" t="s">
        <v>353</v>
      </c>
      <c r="AB61" s="144">
        <v>1.4000000432133701E-2</v>
      </c>
      <c r="AC61" s="125">
        <v>43489</v>
      </c>
      <c r="AE61" s="117">
        <v>43892</v>
      </c>
      <c r="AF61" s="43" t="s">
        <v>75</v>
      </c>
      <c r="AG61" s="43" t="s">
        <v>322</v>
      </c>
      <c r="AJ61" s="140">
        <v>0</v>
      </c>
      <c r="AK61" s="140">
        <v>0</v>
      </c>
      <c r="AL61" s="140">
        <v>0</v>
      </c>
      <c r="AM61" s="140">
        <v>0</v>
      </c>
      <c r="AN61" s="140">
        <v>0</v>
      </c>
      <c r="AO61" s="140">
        <v>0</v>
      </c>
      <c r="AP61" s="140">
        <v>1</v>
      </c>
      <c r="AQ61" s="140">
        <v>0</v>
      </c>
      <c r="AR61" s="140">
        <v>0</v>
      </c>
      <c r="AS61" s="140">
        <v>0</v>
      </c>
      <c r="AT61" s="140">
        <v>0</v>
      </c>
      <c r="AU61" s="140">
        <v>0</v>
      </c>
      <c r="AV61" s="140">
        <v>0</v>
      </c>
      <c r="AW61" s="140">
        <v>0</v>
      </c>
      <c r="AX61" s="140">
        <v>0</v>
      </c>
      <c r="AY61" s="140">
        <v>0</v>
      </c>
      <c r="AZ61" s="140">
        <v>0</v>
      </c>
      <c r="BA61" s="140">
        <v>0</v>
      </c>
      <c r="BB61" s="140">
        <v>0</v>
      </c>
      <c r="BC61" s="140">
        <v>0</v>
      </c>
      <c r="BD61" s="140">
        <v>1</v>
      </c>
      <c r="BE61" s="140">
        <v>0</v>
      </c>
      <c r="BF61" s="140">
        <v>0</v>
      </c>
      <c r="BG61" s="140">
        <v>0</v>
      </c>
      <c r="BH61" s="140">
        <v>0</v>
      </c>
      <c r="BI61" s="140">
        <v>0</v>
      </c>
      <c r="BJ61" s="140">
        <v>0</v>
      </c>
      <c r="BK61" s="140">
        <v>0</v>
      </c>
      <c r="BL61" s="140">
        <v>0</v>
      </c>
      <c r="BM61" s="140">
        <v>0</v>
      </c>
      <c r="BN61" s="140">
        <v>0</v>
      </c>
      <c r="BO61" s="140">
        <v>0</v>
      </c>
      <c r="BX61" s="43">
        <v>1</v>
      </c>
      <c r="BY61" s="90">
        <f t="shared" si="3"/>
        <v>1</v>
      </c>
      <c r="CT61" s="90">
        <f t="shared" si="1"/>
        <v>0</v>
      </c>
      <c r="CU61" s="90">
        <f t="shared" si="2"/>
        <v>0</v>
      </c>
    </row>
    <row r="62" spans="1:99" ht="12" customHeight="1">
      <c r="A62" s="43">
        <v>5703</v>
      </c>
      <c r="B62" s="89" t="s">
        <v>312</v>
      </c>
      <c r="C62" s="89" t="s">
        <v>500</v>
      </c>
      <c r="D62" s="89" t="s">
        <v>501</v>
      </c>
      <c r="F62" s="43">
        <v>522881</v>
      </c>
      <c r="G62" s="43">
        <v>175249</v>
      </c>
      <c r="H62" s="89" t="s">
        <v>181</v>
      </c>
      <c r="I62" s="125">
        <v>42825</v>
      </c>
      <c r="J62" s="117">
        <v>43921</v>
      </c>
      <c r="K62" s="140">
        <v>1</v>
      </c>
      <c r="L62" s="140">
        <v>1</v>
      </c>
      <c r="M62" s="140">
        <v>0</v>
      </c>
      <c r="N62" s="140">
        <v>1</v>
      </c>
      <c r="O62" s="140">
        <v>0</v>
      </c>
      <c r="Q62" s="89" t="s">
        <v>502</v>
      </c>
      <c r="R62" s="43" t="s">
        <v>316</v>
      </c>
      <c r="S62" s="125">
        <v>41897</v>
      </c>
      <c r="T62" s="117">
        <v>41995</v>
      </c>
      <c r="V62" s="43" t="s">
        <v>317</v>
      </c>
      <c r="X62" s="43" t="s">
        <v>318</v>
      </c>
      <c r="Y62" s="43" t="s">
        <v>361</v>
      </c>
      <c r="Z62" s="43" t="s">
        <v>320</v>
      </c>
      <c r="AA62" s="43" t="s">
        <v>353</v>
      </c>
      <c r="AB62" s="144">
        <v>3.20000015199184E-2</v>
      </c>
      <c r="AC62" s="125">
        <v>42825</v>
      </c>
      <c r="AE62" s="117">
        <v>43921</v>
      </c>
      <c r="AF62" s="43" t="s">
        <v>75</v>
      </c>
      <c r="AG62" s="43" t="s">
        <v>322</v>
      </c>
      <c r="AJ62" s="140">
        <v>0</v>
      </c>
      <c r="AK62" s="140">
        <v>0</v>
      </c>
      <c r="AL62" s="140">
        <v>0</v>
      </c>
      <c r="AM62" s="140">
        <v>0</v>
      </c>
      <c r="AN62" s="140">
        <v>0</v>
      </c>
      <c r="AO62" s="140">
        <v>0</v>
      </c>
      <c r="AP62" s="140">
        <v>0</v>
      </c>
      <c r="AQ62" s="140">
        <v>-1</v>
      </c>
      <c r="AR62" s="140">
        <v>1</v>
      </c>
      <c r="AS62" s="140">
        <v>0</v>
      </c>
      <c r="AT62" s="140">
        <v>0</v>
      </c>
      <c r="AU62" s="140">
        <v>0</v>
      </c>
      <c r="AV62" s="140">
        <v>0</v>
      </c>
      <c r="AW62" s="140">
        <v>0</v>
      </c>
      <c r="AX62" s="140">
        <v>0</v>
      </c>
      <c r="AY62" s="140">
        <v>0</v>
      </c>
      <c r="AZ62" s="140">
        <v>0</v>
      </c>
      <c r="BA62" s="140">
        <v>0</v>
      </c>
      <c r="BB62" s="140">
        <v>0</v>
      </c>
      <c r="BC62" s="140">
        <v>0</v>
      </c>
      <c r="BD62" s="140">
        <v>0</v>
      </c>
      <c r="BE62" s="140">
        <v>-1</v>
      </c>
      <c r="BF62" s="140">
        <v>1</v>
      </c>
      <c r="BG62" s="140">
        <v>0</v>
      </c>
      <c r="BH62" s="140">
        <v>0</v>
      </c>
      <c r="BI62" s="140">
        <v>0</v>
      </c>
      <c r="BJ62" s="140">
        <v>0</v>
      </c>
      <c r="BK62" s="140">
        <v>0</v>
      </c>
      <c r="BL62" s="140">
        <v>0</v>
      </c>
      <c r="BM62" s="140">
        <v>0</v>
      </c>
      <c r="BN62" s="140">
        <v>0</v>
      </c>
      <c r="BO62" s="140">
        <v>0</v>
      </c>
      <c r="BX62" s="43">
        <v>1</v>
      </c>
      <c r="BY62" s="90">
        <f t="shared" si="3"/>
        <v>0</v>
      </c>
      <c r="CT62" s="90">
        <f t="shared" si="1"/>
        <v>0</v>
      </c>
      <c r="CU62" s="90">
        <f t="shared" si="2"/>
        <v>0</v>
      </c>
    </row>
    <row r="63" spans="1:99" ht="12" customHeight="1">
      <c r="A63" s="43">
        <v>5782</v>
      </c>
      <c r="B63" s="89" t="s">
        <v>312</v>
      </c>
      <c r="C63" s="89" t="s">
        <v>503</v>
      </c>
      <c r="D63" s="89" t="s">
        <v>504</v>
      </c>
      <c r="E63" s="89" t="s">
        <v>505</v>
      </c>
      <c r="F63" s="43">
        <v>528822</v>
      </c>
      <c r="G63" s="43">
        <v>176878</v>
      </c>
      <c r="H63" s="89" t="s">
        <v>148</v>
      </c>
      <c r="I63" s="125">
        <v>42261</v>
      </c>
      <c r="K63" s="140">
        <v>0</v>
      </c>
      <c r="L63" s="140">
        <v>45</v>
      </c>
      <c r="M63" s="140">
        <v>45</v>
      </c>
      <c r="N63" s="140">
        <v>290</v>
      </c>
      <c r="O63" s="140">
        <v>290</v>
      </c>
      <c r="P63" s="43" t="s">
        <v>329</v>
      </c>
      <c r="Q63" s="89" t="s">
        <v>506</v>
      </c>
      <c r="R63" s="43" t="s">
        <v>392</v>
      </c>
      <c r="S63" s="125">
        <v>41855</v>
      </c>
      <c r="T63" s="117">
        <v>42075</v>
      </c>
      <c r="V63" s="43" t="s">
        <v>317</v>
      </c>
      <c r="X63" s="43" t="s">
        <v>318</v>
      </c>
      <c r="Y63" s="43" t="s">
        <v>319</v>
      </c>
      <c r="Z63" s="43" t="s">
        <v>361</v>
      </c>
      <c r="AA63" s="43" t="s">
        <v>320</v>
      </c>
      <c r="AB63" s="144">
        <v>0.16500000655651101</v>
      </c>
      <c r="AC63" s="125">
        <v>43227</v>
      </c>
      <c r="AE63" s="117">
        <v>43797</v>
      </c>
      <c r="AF63" s="43" t="s">
        <v>75</v>
      </c>
      <c r="AG63" s="43" t="s">
        <v>322</v>
      </c>
      <c r="AH63" s="43" t="s">
        <v>507</v>
      </c>
      <c r="AJ63" s="140">
        <v>45</v>
      </c>
      <c r="AK63" s="140">
        <v>0</v>
      </c>
      <c r="AL63" s="140">
        <v>5</v>
      </c>
      <c r="AM63" s="140">
        <v>0</v>
      </c>
      <c r="AN63" s="140">
        <v>0</v>
      </c>
      <c r="AO63" s="140">
        <v>5</v>
      </c>
      <c r="AP63" s="140">
        <v>32</v>
      </c>
      <c r="AQ63" s="140">
        <v>8</v>
      </c>
      <c r="AR63" s="140">
        <v>0</v>
      </c>
      <c r="AS63" s="140">
        <v>0</v>
      </c>
      <c r="AT63" s="140">
        <v>0</v>
      </c>
      <c r="AU63" s="140">
        <v>0</v>
      </c>
      <c r="AV63" s="140">
        <v>5</v>
      </c>
      <c r="AW63" s="140">
        <v>32</v>
      </c>
      <c r="AX63" s="140">
        <v>8</v>
      </c>
      <c r="AY63" s="140">
        <v>0</v>
      </c>
      <c r="AZ63" s="140">
        <v>0</v>
      </c>
      <c r="BA63" s="140">
        <v>0</v>
      </c>
      <c r="BB63" s="140">
        <v>0</v>
      </c>
      <c r="BC63" s="140">
        <v>0</v>
      </c>
      <c r="BD63" s="140">
        <v>0</v>
      </c>
      <c r="BE63" s="140">
        <v>0</v>
      </c>
      <c r="BF63" s="140">
        <v>0</v>
      </c>
      <c r="BG63" s="140">
        <v>0</v>
      </c>
      <c r="BH63" s="140">
        <v>0</v>
      </c>
      <c r="BI63" s="140">
        <v>0</v>
      </c>
      <c r="BJ63" s="140">
        <v>0</v>
      </c>
      <c r="BK63" s="140">
        <v>0</v>
      </c>
      <c r="BL63" s="140">
        <v>0</v>
      </c>
      <c r="BM63" s="140">
        <v>0</v>
      </c>
      <c r="BN63" s="140">
        <v>0</v>
      </c>
      <c r="BO63" s="140">
        <v>0</v>
      </c>
      <c r="BQ63" s="43" t="s">
        <v>329</v>
      </c>
      <c r="BX63" s="43">
        <v>12</v>
      </c>
      <c r="BY63" s="90">
        <f t="shared" si="3"/>
        <v>45</v>
      </c>
      <c r="CT63" s="90">
        <f t="shared" si="1"/>
        <v>0</v>
      </c>
      <c r="CU63" s="90">
        <f t="shared" si="2"/>
        <v>0</v>
      </c>
    </row>
    <row r="64" spans="1:99" ht="12" customHeight="1">
      <c r="A64" s="43">
        <v>5782</v>
      </c>
      <c r="B64" s="89" t="s">
        <v>312</v>
      </c>
      <c r="C64" s="89" t="s">
        <v>503</v>
      </c>
      <c r="D64" s="89" t="s">
        <v>504</v>
      </c>
      <c r="E64" s="89" t="s">
        <v>508</v>
      </c>
      <c r="F64" s="43">
        <v>528822</v>
      </c>
      <c r="G64" s="43">
        <v>176878</v>
      </c>
      <c r="H64" s="89" t="s">
        <v>148</v>
      </c>
      <c r="I64" s="125">
        <v>42261</v>
      </c>
      <c r="K64" s="140">
        <v>0</v>
      </c>
      <c r="L64" s="140">
        <v>13</v>
      </c>
      <c r="M64" s="140">
        <v>13</v>
      </c>
      <c r="N64" s="140">
        <v>290</v>
      </c>
      <c r="O64" s="140">
        <v>290</v>
      </c>
      <c r="P64" s="43" t="s">
        <v>329</v>
      </c>
      <c r="Q64" s="89" t="s">
        <v>506</v>
      </c>
      <c r="R64" s="43" t="s">
        <v>392</v>
      </c>
      <c r="S64" s="125">
        <v>41855</v>
      </c>
      <c r="T64" s="117">
        <v>42075</v>
      </c>
      <c r="V64" s="43" t="s">
        <v>317</v>
      </c>
      <c r="X64" s="43" t="s">
        <v>318</v>
      </c>
      <c r="Y64" s="43" t="s">
        <v>319</v>
      </c>
      <c r="Z64" s="43" t="s">
        <v>361</v>
      </c>
      <c r="AA64" s="43" t="s">
        <v>320</v>
      </c>
      <c r="AB64" s="144">
        <v>4.80000004172325E-2</v>
      </c>
      <c r="AE64" s="117">
        <v>43731</v>
      </c>
      <c r="AF64" s="43" t="s">
        <v>75</v>
      </c>
      <c r="AG64" s="43" t="s">
        <v>322</v>
      </c>
      <c r="AH64" s="43" t="s">
        <v>507</v>
      </c>
      <c r="AJ64" s="140">
        <v>13</v>
      </c>
      <c r="AK64" s="140">
        <v>0</v>
      </c>
      <c r="AL64" s="140">
        <v>1</v>
      </c>
      <c r="AM64" s="140">
        <v>0</v>
      </c>
      <c r="AN64" s="140">
        <v>0</v>
      </c>
      <c r="AO64" s="140">
        <v>0</v>
      </c>
      <c r="AP64" s="140">
        <v>6</v>
      </c>
      <c r="AQ64" s="140">
        <v>6</v>
      </c>
      <c r="AR64" s="140">
        <v>1</v>
      </c>
      <c r="AS64" s="140">
        <v>0</v>
      </c>
      <c r="AT64" s="140">
        <v>0</v>
      </c>
      <c r="AU64" s="140">
        <v>0</v>
      </c>
      <c r="AV64" s="140">
        <v>0</v>
      </c>
      <c r="AW64" s="140">
        <v>6</v>
      </c>
      <c r="AX64" s="140">
        <v>6</v>
      </c>
      <c r="AY64" s="140">
        <v>1</v>
      </c>
      <c r="AZ64" s="140">
        <v>0</v>
      </c>
      <c r="BA64" s="140">
        <v>0</v>
      </c>
      <c r="BB64" s="140">
        <v>0</v>
      </c>
      <c r="BC64" s="140">
        <v>0</v>
      </c>
      <c r="BD64" s="140">
        <v>0</v>
      </c>
      <c r="BE64" s="140">
        <v>0</v>
      </c>
      <c r="BF64" s="140">
        <v>0</v>
      </c>
      <c r="BG64" s="140">
        <v>0</v>
      </c>
      <c r="BH64" s="140">
        <v>0</v>
      </c>
      <c r="BI64" s="140">
        <v>0</v>
      </c>
      <c r="BJ64" s="140">
        <v>0</v>
      </c>
      <c r="BK64" s="140">
        <v>0</v>
      </c>
      <c r="BL64" s="140">
        <v>0</v>
      </c>
      <c r="BM64" s="140">
        <v>0</v>
      </c>
      <c r="BN64" s="140">
        <v>0</v>
      </c>
      <c r="BO64" s="140">
        <v>0</v>
      </c>
      <c r="BQ64" s="43" t="s">
        <v>329</v>
      </c>
      <c r="BX64" s="43">
        <v>12</v>
      </c>
      <c r="BY64" s="90">
        <f t="shared" si="3"/>
        <v>13</v>
      </c>
      <c r="CT64" s="90">
        <f t="shared" si="1"/>
        <v>0</v>
      </c>
      <c r="CU64" s="90">
        <f t="shared" si="2"/>
        <v>0</v>
      </c>
    </row>
    <row r="65" spans="1:99" ht="12" customHeight="1">
      <c r="A65" s="43">
        <v>5782</v>
      </c>
      <c r="B65" s="89" t="s">
        <v>312</v>
      </c>
      <c r="C65" s="89" t="s">
        <v>503</v>
      </c>
      <c r="D65" s="89" t="s">
        <v>504</v>
      </c>
      <c r="E65" s="89" t="s">
        <v>509</v>
      </c>
      <c r="F65" s="43">
        <v>528822</v>
      </c>
      <c r="G65" s="43">
        <v>176878</v>
      </c>
      <c r="H65" s="89" t="s">
        <v>148</v>
      </c>
      <c r="I65" s="125">
        <v>42261</v>
      </c>
      <c r="K65" s="140">
        <v>0</v>
      </c>
      <c r="L65" s="140">
        <v>4</v>
      </c>
      <c r="M65" s="140">
        <v>4</v>
      </c>
      <c r="N65" s="140">
        <v>290</v>
      </c>
      <c r="O65" s="140">
        <v>290</v>
      </c>
      <c r="P65" s="43" t="s">
        <v>329</v>
      </c>
      <c r="Q65" s="89" t="s">
        <v>506</v>
      </c>
      <c r="R65" s="43" t="s">
        <v>392</v>
      </c>
      <c r="S65" s="125">
        <v>41855</v>
      </c>
      <c r="T65" s="117">
        <v>42075</v>
      </c>
      <c r="V65" s="43" t="s">
        <v>317</v>
      </c>
      <c r="X65" s="43" t="s">
        <v>318</v>
      </c>
      <c r="Y65" s="43" t="s">
        <v>319</v>
      </c>
      <c r="Z65" s="43" t="s">
        <v>361</v>
      </c>
      <c r="AA65" s="43" t="s">
        <v>320</v>
      </c>
      <c r="AB65" s="144">
        <v>1.4999999664723899E-2</v>
      </c>
      <c r="AC65" s="125">
        <v>43555</v>
      </c>
      <c r="AE65" s="117">
        <v>43663</v>
      </c>
      <c r="AF65" s="43" t="s">
        <v>75</v>
      </c>
      <c r="AG65" s="43" t="s">
        <v>322</v>
      </c>
      <c r="AH65" s="43" t="s">
        <v>507</v>
      </c>
      <c r="AJ65" s="140">
        <v>4</v>
      </c>
      <c r="AK65" s="140">
        <v>0</v>
      </c>
      <c r="AL65" s="140">
        <v>0</v>
      </c>
      <c r="AM65" s="140">
        <v>0</v>
      </c>
      <c r="AN65" s="140">
        <v>0</v>
      </c>
      <c r="AO65" s="140">
        <v>2</v>
      </c>
      <c r="AP65" s="140">
        <v>2</v>
      </c>
      <c r="AQ65" s="140">
        <v>0</v>
      </c>
      <c r="AR65" s="140">
        <v>0</v>
      </c>
      <c r="AS65" s="140">
        <v>0</v>
      </c>
      <c r="AT65" s="140">
        <v>0</v>
      </c>
      <c r="AU65" s="140">
        <v>0</v>
      </c>
      <c r="AV65" s="140">
        <v>2</v>
      </c>
      <c r="AW65" s="140">
        <v>2</v>
      </c>
      <c r="AX65" s="140">
        <v>0</v>
      </c>
      <c r="AY65" s="140">
        <v>0</v>
      </c>
      <c r="AZ65" s="140">
        <v>0</v>
      </c>
      <c r="BA65" s="140">
        <v>0</v>
      </c>
      <c r="BB65" s="140">
        <v>0</v>
      </c>
      <c r="BC65" s="140">
        <v>0</v>
      </c>
      <c r="BD65" s="140">
        <v>0</v>
      </c>
      <c r="BE65" s="140">
        <v>0</v>
      </c>
      <c r="BF65" s="140">
        <v>0</v>
      </c>
      <c r="BG65" s="140">
        <v>0</v>
      </c>
      <c r="BH65" s="140">
        <v>0</v>
      </c>
      <c r="BI65" s="140">
        <v>0</v>
      </c>
      <c r="BJ65" s="140">
        <v>0</v>
      </c>
      <c r="BK65" s="140">
        <v>0</v>
      </c>
      <c r="BL65" s="140">
        <v>0</v>
      </c>
      <c r="BM65" s="140">
        <v>0</v>
      </c>
      <c r="BN65" s="140">
        <v>0</v>
      </c>
      <c r="BO65" s="140">
        <v>0</v>
      </c>
      <c r="BQ65" s="43" t="s">
        <v>329</v>
      </c>
      <c r="BX65" s="43">
        <v>12</v>
      </c>
      <c r="BY65" s="90">
        <f t="shared" si="3"/>
        <v>4</v>
      </c>
      <c r="CT65" s="90">
        <f t="shared" si="1"/>
        <v>0</v>
      </c>
      <c r="CU65" s="90">
        <f t="shared" si="2"/>
        <v>0</v>
      </c>
    </row>
    <row r="66" spans="1:99" ht="12" customHeight="1">
      <c r="A66" s="43">
        <v>5782</v>
      </c>
      <c r="B66" s="89" t="s">
        <v>312</v>
      </c>
      <c r="C66" s="89" t="s">
        <v>503</v>
      </c>
      <c r="D66" s="89" t="s">
        <v>504</v>
      </c>
      <c r="E66" s="89" t="s">
        <v>509</v>
      </c>
      <c r="F66" s="43">
        <v>528822</v>
      </c>
      <c r="G66" s="43">
        <v>176878</v>
      </c>
      <c r="H66" s="89" t="s">
        <v>148</v>
      </c>
      <c r="I66" s="125">
        <v>42261</v>
      </c>
      <c r="K66" s="140">
        <v>0</v>
      </c>
      <c r="L66" s="140">
        <v>2</v>
      </c>
      <c r="M66" s="140">
        <v>2</v>
      </c>
      <c r="N66" s="140">
        <v>290</v>
      </c>
      <c r="O66" s="140">
        <v>290</v>
      </c>
      <c r="P66" s="43" t="s">
        <v>329</v>
      </c>
      <c r="Q66" s="89" t="s">
        <v>506</v>
      </c>
      <c r="R66" s="43" t="s">
        <v>392</v>
      </c>
      <c r="S66" s="125">
        <v>41855</v>
      </c>
      <c r="T66" s="117">
        <v>42075</v>
      </c>
      <c r="V66" s="43" t="s">
        <v>317</v>
      </c>
      <c r="X66" s="43" t="s">
        <v>318</v>
      </c>
      <c r="Y66" s="43" t="s">
        <v>319</v>
      </c>
      <c r="Z66" s="43" t="s">
        <v>361</v>
      </c>
      <c r="AA66" s="43" t="s">
        <v>320</v>
      </c>
      <c r="AB66" s="144">
        <v>7.0000002160668399E-3</v>
      </c>
      <c r="AC66" s="125">
        <v>43555</v>
      </c>
      <c r="AE66" s="117">
        <v>43663</v>
      </c>
      <c r="AF66" s="43" t="s">
        <v>55</v>
      </c>
      <c r="AG66" s="43" t="s">
        <v>457</v>
      </c>
      <c r="AH66" s="43" t="s">
        <v>507</v>
      </c>
      <c r="AJ66" s="140">
        <v>2</v>
      </c>
      <c r="AK66" s="140">
        <v>0</v>
      </c>
      <c r="AL66" s="140">
        <v>0</v>
      </c>
      <c r="AM66" s="140">
        <v>0</v>
      </c>
      <c r="AN66" s="140">
        <v>0</v>
      </c>
      <c r="AO66" s="140">
        <v>0</v>
      </c>
      <c r="AP66" s="140">
        <v>0</v>
      </c>
      <c r="AQ66" s="140">
        <v>0</v>
      </c>
      <c r="AR66" s="140">
        <v>2</v>
      </c>
      <c r="AS66" s="140">
        <v>0</v>
      </c>
      <c r="AT66" s="140">
        <v>0</v>
      </c>
      <c r="AU66" s="140">
        <v>0</v>
      </c>
      <c r="AV66" s="140">
        <v>0</v>
      </c>
      <c r="AW66" s="140">
        <v>0</v>
      </c>
      <c r="AX66" s="140">
        <v>0</v>
      </c>
      <c r="AY66" s="140">
        <v>2</v>
      </c>
      <c r="AZ66" s="140">
        <v>0</v>
      </c>
      <c r="BA66" s="140">
        <v>0</v>
      </c>
      <c r="BB66" s="140">
        <v>0</v>
      </c>
      <c r="BC66" s="140">
        <v>0</v>
      </c>
      <c r="BD66" s="140">
        <v>0</v>
      </c>
      <c r="BE66" s="140">
        <v>0</v>
      </c>
      <c r="BF66" s="140">
        <v>0</v>
      </c>
      <c r="BG66" s="140">
        <v>0</v>
      </c>
      <c r="BH66" s="140">
        <v>0</v>
      </c>
      <c r="BI66" s="140">
        <v>0</v>
      </c>
      <c r="BJ66" s="140">
        <v>0</v>
      </c>
      <c r="BK66" s="140">
        <v>0</v>
      </c>
      <c r="BL66" s="140">
        <v>0</v>
      </c>
      <c r="BM66" s="140">
        <v>0</v>
      </c>
      <c r="BN66" s="140">
        <v>0</v>
      </c>
      <c r="BO66" s="140">
        <v>0</v>
      </c>
      <c r="BQ66" s="43" t="s">
        <v>329</v>
      </c>
      <c r="BX66" s="43">
        <v>12</v>
      </c>
      <c r="BY66" s="90">
        <f t="shared" ref="BY66:BY97" si="4">M66</f>
        <v>2</v>
      </c>
      <c r="CT66" s="90">
        <f t="shared" ref="CT66:CT129" si="5">SUM(BZ66:CD66)</f>
        <v>0</v>
      </c>
      <c r="CU66" s="90">
        <f t="shared" ref="CU66:CU129" si="6">SUM(BZ66:CI66)</f>
        <v>0</v>
      </c>
    </row>
    <row r="67" spans="1:99" ht="12" customHeight="1">
      <c r="A67" s="43">
        <v>5782</v>
      </c>
      <c r="B67" s="89" t="s">
        <v>312</v>
      </c>
      <c r="C67" s="89" t="s">
        <v>503</v>
      </c>
      <c r="D67" s="89" t="s">
        <v>504</v>
      </c>
      <c r="E67" s="89" t="s">
        <v>510</v>
      </c>
      <c r="F67" s="43">
        <v>528822</v>
      </c>
      <c r="G67" s="43">
        <v>176878</v>
      </c>
      <c r="H67" s="89" t="s">
        <v>148</v>
      </c>
      <c r="I67" s="125">
        <v>42261</v>
      </c>
      <c r="K67" s="140">
        <v>0</v>
      </c>
      <c r="L67" s="140">
        <v>72</v>
      </c>
      <c r="M67" s="140">
        <v>72</v>
      </c>
      <c r="N67" s="140">
        <v>290</v>
      </c>
      <c r="O67" s="140">
        <v>290</v>
      </c>
      <c r="P67" s="43" t="s">
        <v>329</v>
      </c>
      <c r="Q67" s="89" t="s">
        <v>506</v>
      </c>
      <c r="R67" s="43" t="s">
        <v>392</v>
      </c>
      <c r="S67" s="125">
        <v>41855</v>
      </c>
      <c r="T67" s="117">
        <v>42075</v>
      </c>
      <c r="V67" s="43" t="s">
        <v>317</v>
      </c>
      <c r="X67" s="43" t="s">
        <v>318</v>
      </c>
      <c r="Y67" s="43" t="s">
        <v>319</v>
      </c>
      <c r="Z67" s="43" t="s">
        <v>361</v>
      </c>
      <c r="AA67" s="43" t="s">
        <v>320</v>
      </c>
      <c r="AB67" s="144">
        <v>0.26399999856948902</v>
      </c>
      <c r="AC67" s="125">
        <v>42261</v>
      </c>
      <c r="AE67" s="117">
        <v>43810</v>
      </c>
      <c r="AF67" s="43" t="s">
        <v>75</v>
      </c>
      <c r="AG67" s="43" t="s">
        <v>322</v>
      </c>
      <c r="AH67" s="43" t="s">
        <v>507</v>
      </c>
      <c r="AJ67" s="140">
        <v>72</v>
      </c>
      <c r="AK67" s="140">
        <v>0</v>
      </c>
      <c r="AL67" s="140">
        <v>7</v>
      </c>
      <c r="AM67" s="140">
        <v>0</v>
      </c>
      <c r="AN67" s="140">
        <v>0</v>
      </c>
      <c r="AO67" s="140">
        <v>20</v>
      </c>
      <c r="AP67" s="140">
        <v>46</v>
      </c>
      <c r="AQ67" s="140">
        <v>6</v>
      </c>
      <c r="AR67" s="140">
        <v>0</v>
      </c>
      <c r="AS67" s="140">
        <v>0</v>
      </c>
      <c r="AT67" s="140">
        <v>0</v>
      </c>
      <c r="AU67" s="140">
        <v>0</v>
      </c>
      <c r="AV67" s="140">
        <v>20</v>
      </c>
      <c r="AW67" s="140">
        <v>46</v>
      </c>
      <c r="AX67" s="140">
        <v>6</v>
      </c>
      <c r="AY67" s="140">
        <v>0</v>
      </c>
      <c r="AZ67" s="140">
        <v>0</v>
      </c>
      <c r="BA67" s="140">
        <v>0</v>
      </c>
      <c r="BB67" s="140">
        <v>0</v>
      </c>
      <c r="BC67" s="140">
        <v>0</v>
      </c>
      <c r="BD67" s="140">
        <v>0</v>
      </c>
      <c r="BE67" s="140">
        <v>0</v>
      </c>
      <c r="BF67" s="140">
        <v>0</v>
      </c>
      <c r="BG67" s="140">
        <v>0</v>
      </c>
      <c r="BH67" s="140">
        <v>0</v>
      </c>
      <c r="BI67" s="140">
        <v>0</v>
      </c>
      <c r="BJ67" s="140">
        <v>0</v>
      </c>
      <c r="BK67" s="140">
        <v>0</v>
      </c>
      <c r="BL67" s="140">
        <v>0</v>
      </c>
      <c r="BM67" s="140">
        <v>0</v>
      </c>
      <c r="BN67" s="140">
        <v>0</v>
      </c>
      <c r="BO67" s="140">
        <v>0</v>
      </c>
      <c r="BQ67" s="43" t="s">
        <v>329</v>
      </c>
      <c r="BX67" s="43">
        <v>12</v>
      </c>
      <c r="BY67" s="90">
        <f t="shared" si="4"/>
        <v>72</v>
      </c>
      <c r="CT67" s="90">
        <f t="shared" si="5"/>
        <v>0</v>
      </c>
      <c r="CU67" s="90">
        <f t="shared" si="6"/>
        <v>0</v>
      </c>
    </row>
    <row r="68" spans="1:99" ht="12" customHeight="1">
      <c r="A68" s="43">
        <v>5782</v>
      </c>
      <c r="B68" s="89" t="s">
        <v>312</v>
      </c>
      <c r="C68" s="89" t="s">
        <v>503</v>
      </c>
      <c r="D68" s="89" t="s">
        <v>504</v>
      </c>
      <c r="E68" s="89" t="s">
        <v>510</v>
      </c>
      <c r="F68" s="43">
        <v>528822</v>
      </c>
      <c r="G68" s="43">
        <v>176878</v>
      </c>
      <c r="H68" s="89" t="s">
        <v>148</v>
      </c>
      <c r="I68" s="125">
        <v>42261</v>
      </c>
      <c r="K68" s="140">
        <v>0</v>
      </c>
      <c r="L68" s="140">
        <v>20</v>
      </c>
      <c r="M68" s="140">
        <v>20</v>
      </c>
      <c r="N68" s="140">
        <v>290</v>
      </c>
      <c r="O68" s="140">
        <v>290</v>
      </c>
      <c r="P68" s="43" t="s">
        <v>329</v>
      </c>
      <c r="Q68" s="89" t="s">
        <v>506</v>
      </c>
      <c r="R68" s="43" t="s">
        <v>392</v>
      </c>
      <c r="S68" s="125">
        <v>41855</v>
      </c>
      <c r="T68" s="117">
        <v>42075</v>
      </c>
      <c r="V68" s="43" t="s">
        <v>317</v>
      </c>
      <c r="X68" s="43" t="s">
        <v>318</v>
      </c>
      <c r="Y68" s="43" t="s">
        <v>319</v>
      </c>
      <c r="Z68" s="43" t="s">
        <v>361</v>
      </c>
      <c r="AA68" s="43" t="s">
        <v>320</v>
      </c>
      <c r="AB68" s="144">
        <v>7.2999998927116394E-2</v>
      </c>
      <c r="AC68" s="125">
        <v>42261</v>
      </c>
      <c r="AE68" s="117">
        <v>43810</v>
      </c>
      <c r="AF68" s="43" t="s">
        <v>54</v>
      </c>
      <c r="AG68" s="43" t="s">
        <v>399</v>
      </c>
      <c r="AH68" s="43" t="s">
        <v>507</v>
      </c>
      <c r="AJ68" s="140">
        <v>20</v>
      </c>
      <c r="AK68" s="140">
        <v>0</v>
      </c>
      <c r="AL68" s="140">
        <v>2</v>
      </c>
      <c r="AM68" s="140">
        <v>0</v>
      </c>
      <c r="AN68" s="140">
        <v>2</v>
      </c>
      <c r="AO68" s="140">
        <v>1</v>
      </c>
      <c r="AP68" s="140">
        <v>13</v>
      </c>
      <c r="AQ68" s="140">
        <v>4</v>
      </c>
      <c r="AR68" s="140">
        <v>0</v>
      </c>
      <c r="AS68" s="140">
        <v>0</v>
      </c>
      <c r="AT68" s="140">
        <v>0</v>
      </c>
      <c r="AU68" s="140">
        <v>2</v>
      </c>
      <c r="AV68" s="140">
        <v>1</v>
      </c>
      <c r="AW68" s="140">
        <v>13</v>
      </c>
      <c r="AX68" s="140">
        <v>4</v>
      </c>
      <c r="AY68" s="140">
        <v>0</v>
      </c>
      <c r="AZ68" s="140">
        <v>0</v>
      </c>
      <c r="BA68" s="140">
        <v>0</v>
      </c>
      <c r="BB68" s="140">
        <v>0</v>
      </c>
      <c r="BC68" s="140">
        <v>0</v>
      </c>
      <c r="BD68" s="140">
        <v>0</v>
      </c>
      <c r="BE68" s="140">
        <v>0</v>
      </c>
      <c r="BF68" s="140">
        <v>0</v>
      </c>
      <c r="BG68" s="140">
        <v>0</v>
      </c>
      <c r="BH68" s="140">
        <v>0</v>
      </c>
      <c r="BI68" s="140">
        <v>0</v>
      </c>
      <c r="BJ68" s="140">
        <v>0</v>
      </c>
      <c r="BK68" s="140">
        <v>0</v>
      </c>
      <c r="BL68" s="140">
        <v>0</v>
      </c>
      <c r="BM68" s="140">
        <v>0</v>
      </c>
      <c r="BN68" s="140">
        <v>0</v>
      </c>
      <c r="BO68" s="140">
        <v>0</v>
      </c>
      <c r="BQ68" s="43" t="s">
        <v>329</v>
      </c>
      <c r="BX68" s="43">
        <v>12</v>
      </c>
      <c r="BY68" s="90">
        <f t="shared" si="4"/>
        <v>20</v>
      </c>
      <c r="CT68" s="90">
        <f t="shared" si="5"/>
        <v>0</v>
      </c>
      <c r="CU68" s="90">
        <f t="shared" si="6"/>
        <v>0</v>
      </c>
    </row>
    <row r="69" spans="1:99" ht="12" customHeight="1">
      <c r="A69" s="43">
        <v>5782</v>
      </c>
      <c r="B69" s="89" t="s">
        <v>312</v>
      </c>
      <c r="C69" s="89" t="s">
        <v>503</v>
      </c>
      <c r="D69" s="89" t="s">
        <v>504</v>
      </c>
      <c r="E69" s="89" t="s">
        <v>510</v>
      </c>
      <c r="F69" s="43">
        <v>528822</v>
      </c>
      <c r="G69" s="43">
        <v>176878</v>
      </c>
      <c r="H69" s="89" t="s">
        <v>148</v>
      </c>
      <c r="I69" s="125">
        <v>42261</v>
      </c>
      <c r="K69" s="140">
        <v>0</v>
      </c>
      <c r="L69" s="140">
        <v>1</v>
      </c>
      <c r="M69" s="140">
        <v>1</v>
      </c>
      <c r="N69" s="140">
        <v>290</v>
      </c>
      <c r="O69" s="140">
        <v>290</v>
      </c>
      <c r="P69" s="43" t="s">
        <v>329</v>
      </c>
      <c r="Q69" s="89" t="s">
        <v>506</v>
      </c>
      <c r="R69" s="43" t="s">
        <v>392</v>
      </c>
      <c r="S69" s="125">
        <v>41855</v>
      </c>
      <c r="T69" s="117">
        <v>42075</v>
      </c>
      <c r="V69" s="43" t="s">
        <v>317</v>
      </c>
      <c r="X69" s="43" t="s">
        <v>318</v>
      </c>
      <c r="Y69" s="43" t="s">
        <v>319</v>
      </c>
      <c r="Z69" s="43" t="s">
        <v>361</v>
      </c>
      <c r="AA69" s="43" t="s">
        <v>320</v>
      </c>
      <c r="AB69" s="144">
        <v>4.0000001899898104E-3</v>
      </c>
      <c r="AC69" s="125">
        <v>42261</v>
      </c>
      <c r="AE69" s="117">
        <v>43810</v>
      </c>
      <c r="AF69" s="43" t="s">
        <v>55</v>
      </c>
      <c r="AG69" s="43" t="s">
        <v>457</v>
      </c>
      <c r="AH69" s="43" t="s">
        <v>507</v>
      </c>
      <c r="AJ69" s="140">
        <v>1</v>
      </c>
      <c r="AK69" s="140">
        <v>0</v>
      </c>
      <c r="AL69" s="140">
        <v>0</v>
      </c>
      <c r="AM69" s="140">
        <v>0</v>
      </c>
      <c r="AN69" s="140">
        <v>0</v>
      </c>
      <c r="AO69" s="140">
        <v>0</v>
      </c>
      <c r="AP69" s="140">
        <v>0</v>
      </c>
      <c r="AQ69" s="140">
        <v>1</v>
      </c>
      <c r="AR69" s="140">
        <v>0</v>
      </c>
      <c r="AS69" s="140">
        <v>0</v>
      </c>
      <c r="AT69" s="140">
        <v>0</v>
      </c>
      <c r="AU69" s="140">
        <v>0</v>
      </c>
      <c r="AV69" s="140">
        <v>0</v>
      </c>
      <c r="AW69" s="140">
        <v>0</v>
      </c>
      <c r="AX69" s="140">
        <v>1</v>
      </c>
      <c r="AY69" s="140">
        <v>0</v>
      </c>
      <c r="AZ69" s="140">
        <v>0</v>
      </c>
      <c r="BA69" s="140">
        <v>0</v>
      </c>
      <c r="BB69" s="140">
        <v>0</v>
      </c>
      <c r="BC69" s="140">
        <v>0</v>
      </c>
      <c r="BD69" s="140">
        <v>0</v>
      </c>
      <c r="BE69" s="140">
        <v>0</v>
      </c>
      <c r="BF69" s="140">
        <v>0</v>
      </c>
      <c r="BG69" s="140">
        <v>0</v>
      </c>
      <c r="BH69" s="140">
        <v>0</v>
      </c>
      <c r="BI69" s="140">
        <v>0</v>
      </c>
      <c r="BJ69" s="140">
        <v>0</v>
      </c>
      <c r="BK69" s="140">
        <v>0</v>
      </c>
      <c r="BL69" s="140">
        <v>0</v>
      </c>
      <c r="BM69" s="140">
        <v>0</v>
      </c>
      <c r="BN69" s="140">
        <v>0</v>
      </c>
      <c r="BO69" s="140">
        <v>0</v>
      </c>
      <c r="BQ69" s="43" t="s">
        <v>329</v>
      </c>
      <c r="BX69" s="43">
        <v>12</v>
      </c>
      <c r="BY69" s="90">
        <f t="shared" si="4"/>
        <v>1</v>
      </c>
      <c r="CT69" s="90">
        <f t="shared" si="5"/>
        <v>0</v>
      </c>
      <c r="CU69" s="90">
        <f t="shared" si="6"/>
        <v>0</v>
      </c>
    </row>
    <row r="70" spans="1:99" ht="12" customHeight="1">
      <c r="A70" s="43">
        <v>5782</v>
      </c>
      <c r="B70" s="89" t="s">
        <v>312</v>
      </c>
      <c r="C70" s="89" t="s">
        <v>503</v>
      </c>
      <c r="D70" s="89" t="s">
        <v>504</v>
      </c>
      <c r="E70" s="89" t="s">
        <v>511</v>
      </c>
      <c r="F70" s="43">
        <v>528822</v>
      </c>
      <c r="G70" s="43">
        <v>176878</v>
      </c>
      <c r="H70" s="89" t="s">
        <v>148</v>
      </c>
      <c r="I70" s="125">
        <v>42261</v>
      </c>
      <c r="K70" s="140">
        <v>0</v>
      </c>
      <c r="L70" s="140">
        <v>3</v>
      </c>
      <c r="M70" s="140">
        <v>3</v>
      </c>
      <c r="N70" s="140">
        <v>290</v>
      </c>
      <c r="O70" s="140">
        <v>290</v>
      </c>
      <c r="P70" s="43" t="s">
        <v>329</v>
      </c>
      <c r="Q70" s="89" t="s">
        <v>506</v>
      </c>
      <c r="R70" s="43" t="s">
        <v>392</v>
      </c>
      <c r="S70" s="125">
        <v>41855</v>
      </c>
      <c r="T70" s="117">
        <v>42075</v>
      </c>
      <c r="V70" s="43" t="s">
        <v>317</v>
      </c>
      <c r="X70" s="43" t="s">
        <v>318</v>
      </c>
      <c r="Y70" s="43" t="s">
        <v>319</v>
      </c>
      <c r="Z70" s="43" t="s">
        <v>361</v>
      </c>
      <c r="AA70" s="43" t="s">
        <v>320</v>
      </c>
      <c r="AB70" s="144">
        <v>1.09999999403954E-2</v>
      </c>
      <c r="AC70" s="125">
        <v>43555</v>
      </c>
      <c r="AE70" s="117">
        <v>43908</v>
      </c>
      <c r="AF70" s="43" t="s">
        <v>75</v>
      </c>
      <c r="AG70" s="43" t="s">
        <v>322</v>
      </c>
      <c r="AH70" s="43" t="s">
        <v>507</v>
      </c>
      <c r="AJ70" s="140">
        <v>3</v>
      </c>
      <c r="AK70" s="140">
        <v>0</v>
      </c>
      <c r="AL70" s="140">
        <v>0</v>
      </c>
      <c r="AM70" s="140">
        <v>0</v>
      </c>
      <c r="AN70" s="140">
        <v>0</v>
      </c>
      <c r="AO70" s="140">
        <v>3</v>
      </c>
      <c r="AP70" s="140">
        <v>0</v>
      </c>
      <c r="AQ70" s="140">
        <v>0</v>
      </c>
      <c r="AR70" s="140">
        <v>0</v>
      </c>
      <c r="AS70" s="140">
        <v>0</v>
      </c>
      <c r="AT70" s="140">
        <v>0</v>
      </c>
      <c r="AU70" s="140">
        <v>0</v>
      </c>
      <c r="AV70" s="140">
        <v>3</v>
      </c>
      <c r="AW70" s="140">
        <v>0</v>
      </c>
      <c r="AX70" s="140">
        <v>0</v>
      </c>
      <c r="AY70" s="140">
        <v>0</v>
      </c>
      <c r="AZ70" s="140">
        <v>0</v>
      </c>
      <c r="BA70" s="140">
        <v>0</v>
      </c>
      <c r="BB70" s="140">
        <v>0</v>
      </c>
      <c r="BC70" s="140">
        <v>0</v>
      </c>
      <c r="BD70" s="140">
        <v>0</v>
      </c>
      <c r="BE70" s="140">
        <v>0</v>
      </c>
      <c r="BF70" s="140">
        <v>0</v>
      </c>
      <c r="BG70" s="140">
        <v>0</v>
      </c>
      <c r="BH70" s="140">
        <v>0</v>
      </c>
      <c r="BI70" s="140">
        <v>0</v>
      </c>
      <c r="BJ70" s="140">
        <v>0</v>
      </c>
      <c r="BK70" s="140">
        <v>0</v>
      </c>
      <c r="BL70" s="140">
        <v>0</v>
      </c>
      <c r="BM70" s="140">
        <v>0</v>
      </c>
      <c r="BN70" s="140">
        <v>0</v>
      </c>
      <c r="BO70" s="140">
        <v>0</v>
      </c>
      <c r="BQ70" s="43" t="s">
        <v>329</v>
      </c>
      <c r="BX70" s="43">
        <v>12</v>
      </c>
      <c r="BY70" s="90">
        <f t="shared" si="4"/>
        <v>3</v>
      </c>
      <c r="CT70" s="90">
        <f t="shared" si="5"/>
        <v>0</v>
      </c>
      <c r="CU70" s="90">
        <f t="shared" si="6"/>
        <v>0</v>
      </c>
    </row>
    <row r="71" spans="1:99" ht="12" customHeight="1">
      <c r="A71" s="43">
        <v>5793</v>
      </c>
      <c r="B71" s="89" t="s">
        <v>312</v>
      </c>
      <c r="C71" s="89" t="s">
        <v>512</v>
      </c>
      <c r="D71" s="89" t="s">
        <v>513</v>
      </c>
      <c r="E71" s="89" t="s">
        <v>367</v>
      </c>
      <c r="F71" s="43">
        <v>525347</v>
      </c>
      <c r="G71" s="43">
        <v>175071</v>
      </c>
      <c r="H71" s="89" t="s">
        <v>178</v>
      </c>
      <c r="I71" s="125">
        <v>42825</v>
      </c>
      <c r="K71" s="140">
        <v>0</v>
      </c>
      <c r="L71" s="140">
        <v>39</v>
      </c>
      <c r="M71" s="140">
        <v>39</v>
      </c>
      <c r="N71" s="140">
        <v>85</v>
      </c>
      <c r="O71" s="140">
        <v>85</v>
      </c>
      <c r="P71" s="43" t="s">
        <v>329</v>
      </c>
      <c r="Q71" s="89" t="s">
        <v>514</v>
      </c>
      <c r="R71" s="43" t="s">
        <v>392</v>
      </c>
      <c r="S71" s="125">
        <v>41969</v>
      </c>
      <c r="T71" s="117">
        <v>42264</v>
      </c>
      <c r="V71" s="43" t="s">
        <v>317</v>
      </c>
      <c r="X71" s="43" t="s">
        <v>318</v>
      </c>
      <c r="Y71" s="43" t="s">
        <v>361</v>
      </c>
      <c r="Z71" s="43" t="s">
        <v>361</v>
      </c>
      <c r="AA71" s="43" t="s">
        <v>320</v>
      </c>
      <c r="AB71" s="144">
        <v>0.10199999809265101</v>
      </c>
      <c r="AC71" s="125">
        <v>42825</v>
      </c>
      <c r="AE71" s="117">
        <v>43906</v>
      </c>
      <c r="AF71" s="43" t="s">
        <v>75</v>
      </c>
      <c r="AG71" s="43" t="s">
        <v>322</v>
      </c>
      <c r="AJ71" s="140">
        <v>39</v>
      </c>
      <c r="AK71" s="140">
        <v>0</v>
      </c>
      <c r="AL71" s="140">
        <v>4</v>
      </c>
      <c r="AM71" s="140">
        <v>0</v>
      </c>
      <c r="AN71" s="140">
        <v>0</v>
      </c>
      <c r="AO71" s="140">
        <v>0</v>
      </c>
      <c r="AP71" s="140">
        <v>38</v>
      </c>
      <c r="AQ71" s="140">
        <v>1</v>
      </c>
      <c r="AR71" s="140">
        <v>0</v>
      </c>
      <c r="AS71" s="140">
        <v>0</v>
      </c>
      <c r="AT71" s="140">
        <v>0</v>
      </c>
      <c r="AU71" s="140">
        <v>0</v>
      </c>
      <c r="AV71" s="140">
        <v>0</v>
      </c>
      <c r="AW71" s="140">
        <v>38</v>
      </c>
      <c r="AX71" s="140">
        <v>1</v>
      </c>
      <c r="AY71" s="140">
        <v>0</v>
      </c>
      <c r="AZ71" s="140">
        <v>0</v>
      </c>
      <c r="BA71" s="140">
        <v>0</v>
      </c>
      <c r="BB71" s="140">
        <v>0</v>
      </c>
      <c r="BC71" s="140">
        <v>0</v>
      </c>
      <c r="BD71" s="140">
        <v>0</v>
      </c>
      <c r="BE71" s="140">
        <v>0</v>
      </c>
      <c r="BF71" s="140">
        <v>0</v>
      </c>
      <c r="BG71" s="140">
        <v>0</v>
      </c>
      <c r="BH71" s="140">
        <v>0</v>
      </c>
      <c r="BI71" s="140">
        <v>0</v>
      </c>
      <c r="BJ71" s="140">
        <v>0</v>
      </c>
      <c r="BK71" s="140">
        <v>0</v>
      </c>
      <c r="BL71" s="140">
        <v>0</v>
      </c>
      <c r="BM71" s="140">
        <v>0</v>
      </c>
      <c r="BN71" s="140">
        <v>0</v>
      </c>
      <c r="BO71" s="140">
        <v>0</v>
      </c>
      <c r="BR71" s="43" t="s">
        <v>329</v>
      </c>
      <c r="BX71" s="43">
        <v>1</v>
      </c>
      <c r="BY71" s="90">
        <f t="shared" si="4"/>
        <v>39</v>
      </c>
      <c r="CT71" s="90">
        <f t="shared" si="5"/>
        <v>0</v>
      </c>
      <c r="CU71" s="90">
        <f t="shared" si="6"/>
        <v>0</v>
      </c>
    </row>
    <row r="72" spans="1:99" ht="12" customHeight="1">
      <c r="A72" s="43">
        <v>5793</v>
      </c>
      <c r="B72" s="89" t="s">
        <v>312</v>
      </c>
      <c r="C72" s="89" t="s">
        <v>512</v>
      </c>
      <c r="D72" s="89" t="s">
        <v>513</v>
      </c>
      <c r="E72" s="89" t="s">
        <v>367</v>
      </c>
      <c r="F72" s="43">
        <v>525347</v>
      </c>
      <c r="G72" s="43">
        <v>175071</v>
      </c>
      <c r="H72" s="89" t="s">
        <v>178</v>
      </c>
      <c r="I72" s="125">
        <v>42825</v>
      </c>
      <c r="K72" s="140">
        <v>0</v>
      </c>
      <c r="L72" s="140">
        <v>7</v>
      </c>
      <c r="M72" s="140">
        <v>7</v>
      </c>
      <c r="N72" s="140">
        <v>85</v>
      </c>
      <c r="O72" s="140">
        <v>85</v>
      </c>
      <c r="P72" s="43" t="s">
        <v>329</v>
      </c>
      <c r="Q72" s="89" t="s">
        <v>514</v>
      </c>
      <c r="R72" s="43" t="s">
        <v>392</v>
      </c>
      <c r="S72" s="125">
        <v>41969</v>
      </c>
      <c r="T72" s="117">
        <v>42264</v>
      </c>
      <c r="V72" s="43" t="s">
        <v>317</v>
      </c>
      <c r="X72" s="43" t="s">
        <v>318</v>
      </c>
      <c r="Y72" s="43" t="s">
        <v>361</v>
      </c>
      <c r="Z72" s="43" t="s">
        <v>361</v>
      </c>
      <c r="AA72" s="43" t="s">
        <v>320</v>
      </c>
      <c r="AB72" s="144">
        <v>1.7999999225139601E-2</v>
      </c>
      <c r="AC72" s="125">
        <v>42825</v>
      </c>
      <c r="AE72" s="117">
        <v>43861</v>
      </c>
      <c r="AF72" s="43" t="s">
        <v>54</v>
      </c>
      <c r="AG72" s="43" t="s">
        <v>399</v>
      </c>
      <c r="AJ72" s="140">
        <v>7</v>
      </c>
      <c r="AK72" s="140">
        <v>0</v>
      </c>
      <c r="AL72" s="140">
        <v>1</v>
      </c>
      <c r="AM72" s="140">
        <v>0</v>
      </c>
      <c r="AN72" s="140">
        <v>0</v>
      </c>
      <c r="AO72" s="140">
        <v>7</v>
      </c>
      <c r="AP72" s="140">
        <v>0</v>
      </c>
      <c r="AQ72" s="140">
        <v>0</v>
      </c>
      <c r="AR72" s="140">
        <v>0</v>
      </c>
      <c r="AS72" s="140">
        <v>0</v>
      </c>
      <c r="AT72" s="140">
        <v>0</v>
      </c>
      <c r="AU72" s="140">
        <v>0</v>
      </c>
      <c r="AV72" s="140">
        <v>7</v>
      </c>
      <c r="AW72" s="140">
        <v>0</v>
      </c>
      <c r="AX72" s="140">
        <v>0</v>
      </c>
      <c r="AY72" s="140">
        <v>0</v>
      </c>
      <c r="AZ72" s="140">
        <v>0</v>
      </c>
      <c r="BA72" s="140">
        <v>0</v>
      </c>
      <c r="BB72" s="140">
        <v>0</v>
      </c>
      <c r="BC72" s="140">
        <v>0</v>
      </c>
      <c r="BD72" s="140">
        <v>0</v>
      </c>
      <c r="BE72" s="140">
        <v>0</v>
      </c>
      <c r="BF72" s="140">
        <v>0</v>
      </c>
      <c r="BG72" s="140">
        <v>0</v>
      </c>
      <c r="BH72" s="140">
        <v>0</v>
      </c>
      <c r="BI72" s="140">
        <v>0</v>
      </c>
      <c r="BJ72" s="140">
        <v>0</v>
      </c>
      <c r="BK72" s="140">
        <v>0</v>
      </c>
      <c r="BL72" s="140">
        <v>0</v>
      </c>
      <c r="BM72" s="140">
        <v>0</v>
      </c>
      <c r="BN72" s="140">
        <v>0</v>
      </c>
      <c r="BO72" s="140">
        <v>0</v>
      </c>
      <c r="BR72" s="43" t="s">
        <v>329</v>
      </c>
      <c r="BX72" s="43">
        <v>1</v>
      </c>
      <c r="BY72" s="90">
        <f t="shared" si="4"/>
        <v>7</v>
      </c>
      <c r="CT72" s="90">
        <f t="shared" si="5"/>
        <v>0</v>
      </c>
      <c r="CU72" s="90">
        <f t="shared" si="6"/>
        <v>0</v>
      </c>
    </row>
    <row r="73" spans="1:99" ht="12" customHeight="1">
      <c r="A73" s="43">
        <v>5793</v>
      </c>
      <c r="B73" s="89" t="s">
        <v>312</v>
      </c>
      <c r="C73" s="89" t="s">
        <v>515</v>
      </c>
      <c r="D73" s="89" t="s">
        <v>513</v>
      </c>
      <c r="E73" s="89" t="s">
        <v>369</v>
      </c>
      <c r="F73" s="43">
        <v>525347</v>
      </c>
      <c r="G73" s="43">
        <v>175071</v>
      </c>
      <c r="H73" s="89" t="s">
        <v>178</v>
      </c>
      <c r="I73" s="125">
        <v>42825</v>
      </c>
      <c r="J73" s="117">
        <v>43906</v>
      </c>
      <c r="K73" s="140">
        <v>0</v>
      </c>
      <c r="L73" s="140">
        <v>21</v>
      </c>
      <c r="M73" s="140">
        <v>21</v>
      </c>
      <c r="N73" s="140">
        <v>39</v>
      </c>
      <c r="O73" s="140">
        <v>39</v>
      </c>
      <c r="P73" s="43" t="s">
        <v>329</v>
      </c>
      <c r="Q73" s="89" t="s">
        <v>516</v>
      </c>
      <c r="R73" s="43" t="s">
        <v>460</v>
      </c>
      <c r="S73" s="125">
        <v>43524</v>
      </c>
      <c r="T73" s="117">
        <v>43731</v>
      </c>
      <c r="U73" s="43" t="s">
        <v>329</v>
      </c>
      <c r="V73" s="43" t="s">
        <v>317</v>
      </c>
      <c r="X73" s="43" t="s">
        <v>318</v>
      </c>
      <c r="Y73" s="43" t="s">
        <v>361</v>
      </c>
      <c r="Z73" s="43" t="s">
        <v>361</v>
      </c>
      <c r="AA73" s="43" t="s">
        <v>320</v>
      </c>
      <c r="AB73" s="144">
        <v>5.7999998331069898E-2</v>
      </c>
      <c r="AC73" s="125">
        <v>42825</v>
      </c>
      <c r="AE73" s="117">
        <v>43906</v>
      </c>
      <c r="AF73" s="43" t="s">
        <v>75</v>
      </c>
      <c r="AG73" s="43" t="s">
        <v>322</v>
      </c>
      <c r="AJ73" s="140">
        <v>0</v>
      </c>
      <c r="AK73" s="140">
        <v>0</v>
      </c>
      <c r="AL73" s="140">
        <v>0</v>
      </c>
      <c r="AM73" s="140">
        <v>0</v>
      </c>
      <c r="AN73" s="140">
        <v>0</v>
      </c>
      <c r="AO73" s="140">
        <v>6</v>
      </c>
      <c r="AP73" s="140">
        <v>7</v>
      </c>
      <c r="AQ73" s="140">
        <v>8</v>
      </c>
      <c r="AR73" s="140">
        <v>0</v>
      </c>
      <c r="AS73" s="140">
        <v>0</v>
      </c>
      <c r="AT73" s="140">
        <v>0</v>
      </c>
      <c r="AU73" s="140">
        <v>0</v>
      </c>
      <c r="AV73" s="140">
        <v>6</v>
      </c>
      <c r="AW73" s="140">
        <v>7</v>
      </c>
      <c r="AX73" s="140">
        <v>8</v>
      </c>
      <c r="AY73" s="140">
        <v>0</v>
      </c>
      <c r="AZ73" s="140">
        <v>0</v>
      </c>
      <c r="BA73" s="140">
        <v>0</v>
      </c>
      <c r="BB73" s="140">
        <v>0</v>
      </c>
      <c r="BC73" s="140">
        <v>0</v>
      </c>
      <c r="BD73" s="140">
        <v>0</v>
      </c>
      <c r="BE73" s="140">
        <v>0</v>
      </c>
      <c r="BF73" s="140">
        <v>0</v>
      </c>
      <c r="BG73" s="140">
        <v>0</v>
      </c>
      <c r="BH73" s="140">
        <v>0</v>
      </c>
      <c r="BI73" s="140">
        <v>0</v>
      </c>
      <c r="BJ73" s="140">
        <v>0</v>
      </c>
      <c r="BK73" s="140">
        <v>0</v>
      </c>
      <c r="BL73" s="140">
        <v>0</v>
      </c>
      <c r="BM73" s="140">
        <v>0</v>
      </c>
      <c r="BN73" s="140">
        <v>0</v>
      </c>
      <c r="BO73" s="140">
        <v>0</v>
      </c>
      <c r="BR73" s="43" t="s">
        <v>329</v>
      </c>
      <c r="BX73" s="43">
        <v>1</v>
      </c>
      <c r="BY73" s="90">
        <f t="shared" si="4"/>
        <v>21</v>
      </c>
      <c r="CT73" s="90">
        <f t="shared" si="5"/>
        <v>0</v>
      </c>
      <c r="CU73" s="90">
        <f t="shared" si="6"/>
        <v>0</v>
      </c>
    </row>
    <row r="74" spans="1:99" ht="12" customHeight="1">
      <c r="A74" s="43">
        <v>5793</v>
      </c>
      <c r="B74" s="89" t="s">
        <v>312</v>
      </c>
      <c r="C74" s="89" t="s">
        <v>515</v>
      </c>
      <c r="D74" s="89" t="s">
        <v>513</v>
      </c>
      <c r="E74" s="89" t="s">
        <v>369</v>
      </c>
      <c r="F74" s="43">
        <v>525347</v>
      </c>
      <c r="G74" s="43">
        <v>175071</v>
      </c>
      <c r="H74" s="89" t="s">
        <v>178</v>
      </c>
      <c r="I74" s="125">
        <v>42825</v>
      </c>
      <c r="J74" s="117">
        <v>43906</v>
      </c>
      <c r="K74" s="140">
        <v>0</v>
      </c>
      <c r="L74" s="140">
        <v>2</v>
      </c>
      <c r="M74" s="140">
        <v>2</v>
      </c>
      <c r="N74" s="140">
        <v>39</v>
      </c>
      <c r="O74" s="140">
        <v>39</v>
      </c>
      <c r="P74" s="43" t="s">
        <v>329</v>
      </c>
      <c r="Q74" s="89" t="s">
        <v>516</v>
      </c>
      <c r="R74" s="43" t="s">
        <v>460</v>
      </c>
      <c r="S74" s="125">
        <v>43524</v>
      </c>
      <c r="T74" s="117">
        <v>43731</v>
      </c>
      <c r="U74" s="43" t="s">
        <v>329</v>
      </c>
      <c r="V74" s="43" t="s">
        <v>317</v>
      </c>
      <c r="X74" s="43" t="s">
        <v>318</v>
      </c>
      <c r="Y74" s="43" t="s">
        <v>361</v>
      </c>
      <c r="Z74" s="43" t="s">
        <v>361</v>
      </c>
      <c r="AA74" s="43" t="s">
        <v>320</v>
      </c>
      <c r="AB74" s="144">
        <v>3.0000000260770299E-3</v>
      </c>
      <c r="AC74" s="125">
        <v>42825</v>
      </c>
      <c r="AE74" s="117">
        <v>43861</v>
      </c>
      <c r="AF74" s="43" t="s">
        <v>54</v>
      </c>
      <c r="AG74" s="43" t="s">
        <v>399</v>
      </c>
      <c r="AJ74" s="140">
        <v>0</v>
      </c>
      <c r="AK74" s="140">
        <v>0</v>
      </c>
      <c r="AL74" s="140">
        <v>0</v>
      </c>
      <c r="AM74" s="140">
        <v>0</v>
      </c>
      <c r="AN74" s="140">
        <v>0</v>
      </c>
      <c r="AO74" s="140">
        <v>1</v>
      </c>
      <c r="AP74" s="140">
        <v>1</v>
      </c>
      <c r="AQ74" s="140">
        <v>0</v>
      </c>
      <c r="AR74" s="140">
        <v>0</v>
      </c>
      <c r="AS74" s="140">
        <v>0</v>
      </c>
      <c r="AT74" s="140">
        <v>0</v>
      </c>
      <c r="AU74" s="140">
        <v>0</v>
      </c>
      <c r="AV74" s="140">
        <v>1</v>
      </c>
      <c r="AW74" s="140">
        <v>1</v>
      </c>
      <c r="AX74" s="140">
        <v>0</v>
      </c>
      <c r="AY74" s="140">
        <v>0</v>
      </c>
      <c r="AZ74" s="140">
        <v>0</v>
      </c>
      <c r="BA74" s="140">
        <v>0</v>
      </c>
      <c r="BB74" s="140">
        <v>0</v>
      </c>
      <c r="BC74" s="140">
        <v>0</v>
      </c>
      <c r="BD74" s="140">
        <v>0</v>
      </c>
      <c r="BE74" s="140">
        <v>0</v>
      </c>
      <c r="BF74" s="140">
        <v>0</v>
      </c>
      <c r="BG74" s="140">
        <v>0</v>
      </c>
      <c r="BH74" s="140">
        <v>0</v>
      </c>
      <c r="BI74" s="140">
        <v>0</v>
      </c>
      <c r="BJ74" s="140">
        <v>0</v>
      </c>
      <c r="BK74" s="140">
        <v>0</v>
      </c>
      <c r="BL74" s="140">
        <v>0</v>
      </c>
      <c r="BM74" s="140">
        <v>0</v>
      </c>
      <c r="BN74" s="140">
        <v>0</v>
      </c>
      <c r="BO74" s="140">
        <v>0</v>
      </c>
      <c r="BR74" s="43" t="s">
        <v>329</v>
      </c>
      <c r="BX74" s="43">
        <v>1</v>
      </c>
      <c r="BY74" s="90">
        <f t="shared" si="4"/>
        <v>2</v>
      </c>
      <c r="CT74" s="90">
        <f t="shared" si="5"/>
        <v>0</v>
      </c>
      <c r="CU74" s="90">
        <f t="shared" si="6"/>
        <v>0</v>
      </c>
    </row>
    <row r="75" spans="1:99" ht="12" customHeight="1">
      <c r="A75" s="43">
        <v>5793</v>
      </c>
      <c r="B75" s="89" t="s">
        <v>312</v>
      </c>
      <c r="C75" s="89" t="s">
        <v>515</v>
      </c>
      <c r="D75" s="89" t="s">
        <v>513</v>
      </c>
      <c r="E75" s="89" t="s">
        <v>454</v>
      </c>
      <c r="F75" s="43">
        <v>525347</v>
      </c>
      <c r="G75" s="43">
        <v>175071</v>
      </c>
      <c r="H75" s="89" t="s">
        <v>178</v>
      </c>
      <c r="I75" s="125">
        <v>42825</v>
      </c>
      <c r="J75" s="117">
        <v>43906</v>
      </c>
      <c r="K75" s="140">
        <v>0</v>
      </c>
      <c r="L75" s="140">
        <v>10</v>
      </c>
      <c r="M75" s="140">
        <v>10</v>
      </c>
      <c r="N75" s="140">
        <v>39</v>
      </c>
      <c r="O75" s="140">
        <v>39</v>
      </c>
      <c r="P75" s="43" t="s">
        <v>329</v>
      </c>
      <c r="Q75" s="89" t="s">
        <v>516</v>
      </c>
      <c r="R75" s="43" t="s">
        <v>460</v>
      </c>
      <c r="S75" s="125">
        <v>43524</v>
      </c>
      <c r="T75" s="117">
        <v>43731</v>
      </c>
      <c r="U75" s="43" t="s">
        <v>329</v>
      </c>
      <c r="V75" s="43" t="s">
        <v>317</v>
      </c>
      <c r="X75" s="43" t="s">
        <v>318</v>
      </c>
      <c r="Y75" s="43" t="s">
        <v>361</v>
      </c>
      <c r="Z75" s="43" t="s">
        <v>361</v>
      </c>
      <c r="AA75" s="43" t="s">
        <v>320</v>
      </c>
      <c r="AB75" s="144">
        <v>2.4000000208616298E-2</v>
      </c>
      <c r="AC75" s="125">
        <v>42825</v>
      </c>
      <c r="AE75" s="117">
        <v>43861</v>
      </c>
      <c r="AF75" s="43" t="s">
        <v>54</v>
      </c>
      <c r="AG75" s="43" t="s">
        <v>399</v>
      </c>
      <c r="AJ75" s="140">
        <v>0</v>
      </c>
      <c r="AK75" s="140">
        <v>0</v>
      </c>
      <c r="AL75" s="140">
        <v>0</v>
      </c>
      <c r="AM75" s="140">
        <v>0</v>
      </c>
      <c r="AN75" s="140">
        <v>0</v>
      </c>
      <c r="AO75" s="140">
        <v>0</v>
      </c>
      <c r="AP75" s="140">
        <v>10</v>
      </c>
      <c r="AQ75" s="140">
        <v>0</v>
      </c>
      <c r="AR75" s="140">
        <v>0</v>
      </c>
      <c r="AS75" s="140">
        <v>0</v>
      </c>
      <c r="AT75" s="140">
        <v>0</v>
      </c>
      <c r="AU75" s="140">
        <v>0</v>
      </c>
      <c r="AV75" s="140">
        <v>0</v>
      </c>
      <c r="AW75" s="140">
        <v>10</v>
      </c>
      <c r="AX75" s="140">
        <v>0</v>
      </c>
      <c r="AY75" s="140">
        <v>0</v>
      </c>
      <c r="AZ75" s="140">
        <v>0</v>
      </c>
      <c r="BA75" s="140">
        <v>0</v>
      </c>
      <c r="BB75" s="140">
        <v>0</v>
      </c>
      <c r="BC75" s="140">
        <v>0</v>
      </c>
      <c r="BD75" s="140">
        <v>0</v>
      </c>
      <c r="BE75" s="140">
        <v>0</v>
      </c>
      <c r="BF75" s="140">
        <v>0</v>
      </c>
      <c r="BG75" s="140">
        <v>0</v>
      </c>
      <c r="BH75" s="140">
        <v>0</v>
      </c>
      <c r="BI75" s="140">
        <v>0</v>
      </c>
      <c r="BJ75" s="140">
        <v>0</v>
      </c>
      <c r="BK75" s="140">
        <v>0</v>
      </c>
      <c r="BL75" s="140">
        <v>0</v>
      </c>
      <c r="BM75" s="140">
        <v>0</v>
      </c>
      <c r="BN75" s="140">
        <v>0</v>
      </c>
      <c r="BO75" s="140">
        <v>0</v>
      </c>
      <c r="BR75" s="43" t="s">
        <v>329</v>
      </c>
      <c r="BX75" s="43">
        <v>1</v>
      </c>
      <c r="BY75" s="90">
        <f t="shared" si="4"/>
        <v>10</v>
      </c>
      <c r="CT75" s="90">
        <f t="shared" si="5"/>
        <v>0</v>
      </c>
      <c r="CU75" s="90">
        <f t="shared" si="6"/>
        <v>0</v>
      </c>
    </row>
    <row r="76" spans="1:99" ht="12" customHeight="1">
      <c r="A76" s="43">
        <v>5793</v>
      </c>
      <c r="B76" s="89" t="s">
        <v>312</v>
      </c>
      <c r="C76" s="89" t="s">
        <v>515</v>
      </c>
      <c r="D76" s="89" t="s">
        <v>513</v>
      </c>
      <c r="E76" s="89" t="s">
        <v>454</v>
      </c>
      <c r="F76" s="43">
        <v>525347</v>
      </c>
      <c r="G76" s="43">
        <v>175071</v>
      </c>
      <c r="H76" s="89" t="s">
        <v>178</v>
      </c>
      <c r="I76" s="125">
        <v>42825</v>
      </c>
      <c r="J76" s="117">
        <v>43906</v>
      </c>
      <c r="K76" s="140">
        <v>0</v>
      </c>
      <c r="L76" s="140">
        <v>6</v>
      </c>
      <c r="M76" s="140">
        <v>6</v>
      </c>
      <c r="N76" s="140">
        <v>39</v>
      </c>
      <c r="O76" s="140">
        <v>39</v>
      </c>
      <c r="P76" s="43" t="s">
        <v>329</v>
      </c>
      <c r="Q76" s="89" t="s">
        <v>516</v>
      </c>
      <c r="R76" s="43" t="s">
        <v>460</v>
      </c>
      <c r="S76" s="125">
        <v>43524</v>
      </c>
      <c r="T76" s="117">
        <v>43731</v>
      </c>
      <c r="U76" s="43" t="s">
        <v>329</v>
      </c>
      <c r="V76" s="43" t="s">
        <v>317</v>
      </c>
      <c r="X76" s="43" t="s">
        <v>318</v>
      </c>
      <c r="Y76" s="43" t="s">
        <v>361</v>
      </c>
      <c r="Z76" s="43" t="s">
        <v>361</v>
      </c>
      <c r="AA76" s="43" t="s">
        <v>320</v>
      </c>
      <c r="AB76" s="144">
        <v>1.7999999225139601E-2</v>
      </c>
      <c r="AC76" s="125">
        <v>42825</v>
      </c>
      <c r="AE76" s="117">
        <v>43906</v>
      </c>
      <c r="AF76" s="43" t="s">
        <v>75</v>
      </c>
      <c r="AG76" s="43" t="s">
        <v>322</v>
      </c>
      <c r="AJ76" s="140">
        <v>0</v>
      </c>
      <c r="AK76" s="140">
        <v>0</v>
      </c>
      <c r="AL76" s="140">
        <v>0</v>
      </c>
      <c r="AM76" s="140">
        <v>0</v>
      </c>
      <c r="AN76" s="140">
        <v>0</v>
      </c>
      <c r="AO76" s="140">
        <v>1</v>
      </c>
      <c r="AP76" s="140">
        <v>5</v>
      </c>
      <c r="AQ76" s="140">
        <v>0</v>
      </c>
      <c r="AR76" s="140">
        <v>0</v>
      </c>
      <c r="AS76" s="140">
        <v>0</v>
      </c>
      <c r="AT76" s="140">
        <v>0</v>
      </c>
      <c r="AU76" s="140">
        <v>0</v>
      </c>
      <c r="AV76" s="140">
        <v>1</v>
      </c>
      <c r="AW76" s="140">
        <v>5</v>
      </c>
      <c r="AX76" s="140">
        <v>0</v>
      </c>
      <c r="AY76" s="140">
        <v>0</v>
      </c>
      <c r="AZ76" s="140">
        <v>0</v>
      </c>
      <c r="BA76" s="140">
        <v>0</v>
      </c>
      <c r="BB76" s="140">
        <v>0</v>
      </c>
      <c r="BC76" s="140">
        <v>0</v>
      </c>
      <c r="BD76" s="140">
        <v>0</v>
      </c>
      <c r="BE76" s="140">
        <v>0</v>
      </c>
      <c r="BF76" s="140">
        <v>0</v>
      </c>
      <c r="BG76" s="140">
        <v>0</v>
      </c>
      <c r="BH76" s="140">
        <v>0</v>
      </c>
      <c r="BI76" s="140">
        <v>0</v>
      </c>
      <c r="BJ76" s="140">
        <v>0</v>
      </c>
      <c r="BK76" s="140">
        <v>0</v>
      </c>
      <c r="BL76" s="140">
        <v>0</v>
      </c>
      <c r="BM76" s="140">
        <v>0</v>
      </c>
      <c r="BN76" s="140">
        <v>0</v>
      </c>
      <c r="BO76" s="140">
        <v>0</v>
      </c>
      <c r="BR76" s="43" t="s">
        <v>329</v>
      </c>
      <c r="BX76" s="43">
        <v>1</v>
      </c>
      <c r="BY76" s="90">
        <f t="shared" si="4"/>
        <v>6</v>
      </c>
      <c r="CT76" s="90">
        <f t="shared" si="5"/>
        <v>0</v>
      </c>
      <c r="CU76" s="90">
        <f t="shared" si="6"/>
        <v>0</v>
      </c>
    </row>
    <row r="77" spans="1:99" ht="12" customHeight="1">
      <c r="A77" s="43">
        <v>5821</v>
      </c>
      <c r="B77" s="89" t="s">
        <v>312</v>
      </c>
      <c r="C77" s="89" t="s">
        <v>517</v>
      </c>
      <c r="D77" s="89" t="s">
        <v>518</v>
      </c>
      <c r="F77" s="43">
        <v>528080</v>
      </c>
      <c r="G77" s="43">
        <v>176610</v>
      </c>
      <c r="H77" s="89" t="s">
        <v>147</v>
      </c>
      <c r="I77" s="125">
        <v>42769</v>
      </c>
      <c r="K77" s="140">
        <v>0</v>
      </c>
      <c r="L77" s="140">
        <v>10</v>
      </c>
      <c r="M77" s="140">
        <v>10</v>
      </c>
      <c r="N77" s="140">
        <v>10</v>
      </c>
      <c r="O77" s="140">
        <v>10</v>
      </c>
      <c r="P77" s="43" t="s">
        <v>329</v>
      </c>
      <c r="Q77" s="89" t="s">
        <v>519</v>
      </c>
      <c r="R77" s="43" t="s">
        <v>316</v>
      </c>
      <c r="S77" s="125">
        <v>42373</v>
      </c>
      <c r="T77" s="117">
        <v>42552</v>
      </c>
      <c r="V77" s="43" t="s">
        <v>317</v>
      </c>
      <c r="X77" s="43" t="s">
        <v>318</v>
      </c>
      <c r="Y77" s="43" t="s">
        <v>361</v>
      </c>
      <c r="Z77" s="43" t="s">
        <v>361</v>
      </c>
      <c r="AA77" s="43" t="s">
        <v>320</v>
      </c>
      <c r="AB77" s="144">
        <v>4.80000004172325E-2</v>
      </c>
      <c r="AC77" s="125">
        <v>42769</v>
      </c>
      <c r="AE77" s="117">
        <v>43556</v>
      </c>
      <c r="AF77" s="43" t="s">
        <v>75</v>
      </c>
      <c r="AG77" s="43" t="s">
        <v>322</v>
      </c>
      <c r="AJ77" s="140">
        <v>10</v>
      </c>
      <c r="AK77" s="140">
        <v>0</v>
      </c>
      <c r="AL77" s="140">
        <v>2</v>
      </c>
      <c r="AM77" s="140">
        <v>0</v>
      </c>
      <c r="AN77" s="140">
        <v>0</v>
      </c>
      <c r="AO77" s="140">
        <v>2</v>
      </c>
      <c r="AP77" s="140">
        <v>6</v>
      </c>
      <c r="AQ77" s="140">
        <v>2</v>
      </c>
      <c r="AR77" s="140">
        <v>0</v>
      </c>
      <c r="AS77" s="140">
        <v>0</v>
      </c>
      <c r="AT77" s="140">
        <v>0</v>
      </c>
      <c r="AU77" s="140">
        <v>0</v>
      </c>
      <c r="AV77" s="140">
        <v>2</v>
      </c>
      <c r="AW77" s="140">
        <v>6</v>
      </c>
      <c r="AX77" s="140">
        <v>2</v>
      </c>
      <c r="AY77" s="140">
        <v>0</v>
      </c>
      <c r="AZ77" s="140">
        <v>0</v>
      </c>
      <c r="BA77" s="140">
        <v>0</v>
      </c>
      <c r="BB77" s="140">
        <v>0</v>
      </c>
      <c r="BC77" s="140">
        <v>0</v>
      </c>
      <c r="BD77" s="140">
        <v>0</v>
      </c>
      <c r="BE77" s="140">
        <v>0</v>
      </c>
      <c r="BF77" s="140">
        <v>0</v>
      </c>
      <c r="BG77" s="140">
        <v>0</v>
      </c>
      <c r="BH77" s="140">
        <v>0</v>
      </c>
      <c r="BI77" s="140">
        <v>0</v>
      </c>
      <c r="BJ77" s="140">
        <v>0</v>
      </c>
      <c r="BK77" s="140">
        <v>0</v>
      </c>
      <c r="BL77" s="140">
        <v>0</v>
      </c>
      <c r="BM77" s="140">
        <v>0</v>
      </c>
      <c r="BN77" s="140">
        <v>0</v>
      </c>
      <c r="BO77" s="140">
        <v>0</v>
      </c>
      <c r="BX77" s="43">
        <v>1</v>
      </c>
      <c r="BY77" s="90">
        <f t="shared" si="4"/>
        <v>10</v>
      </c>
      <c r="CT77" s="90">
        <f t="shared" si="5"/>
        <v>0</v>
      </c>
      <c r="CU77" s="90">
        <f t="shared" si="6"/>
        <v>0</v>
      </c>
    </row>
    <row r="78" spans="1:99" ht="12" customHeight="1">
      <c r="A78" s="43">
        <v>5955</v>
      </c>
      <c r="B78" s="89" t="s">
        <v>312</v>
      </c>
      <c r="C78" s="89" t="s">
        <v>520</v>
      </c>
      <c r="D78" s="89" t="s">
        <v>521</v>
      </c>
      <c r="F78" s="43">
        <v>527059</v>
      </c>
      <c r="G78" s="43">
        <v>176166</v>
      </c>
      <c r="H78" s="89" t="s">
        <v>177</v>
      </c>
      <c r="I78" s="125">
        <v>43363</v>
      </c>
      <c r="J78" s="117">
        <v>43663</v>
      </c>
      <c r="K78" s="140">
        <v>0</v>
      </c>
      <c r="L78" s="140">
        <v>1</v>
      </c>
      <c r="M78" s="140">
        <v>1</v>
      </c>
      <c r="N78" s="140">
        <v>1</v>
      </c>
      <c r="O78" s="140">
        <v>1</v>
      </c>
      <c r="Q78" s="89" t="s">
        <v>522</v>
      </c>
      <c r="R78" s="43" t="s">
        <v>316</v>
      </c>
      <c r="S78" s="125">
        <v>43082</v>
      </c>
      <c r="T78" s="117">
        <v>43138</v>
      </c>
      <c r="V78" s="43" t="s">
        <v>317</v>
      </c>
      <c r="X78" s="43" t="s">
        <v>318</v>
      </c>
      <c r="Y78" s="43" t="s">
        <v>379</v>
      </c>
      <c r="Z78" s="43" t="s">
        <v>320</v>
      </c>
      <c r="AA78" s="43" t="s">
        <v>340</v>
      </c>
      <c r="AB78" s="144">
        <v>3.0000000260770299E-3</v>
      </c>
      <c r="AC78" s="125">
        <v>43363</v>
      </c>
      <c r="AE78" s="117">
        <v>43663</v>
      </c>
      <c r="AF78" s="43" t="s">
        <v>75</v>
      </c>
      <c r="AG78" s="43" t="s">
        <v>322</v>
      </c>
      <c r="AJ78" s="140">
        <v>0</v>
      </c>
      <c r="AK78" s="140">
        <v>0</v>
      </c>
      <c r="AL78" s="140">
        <v>0</v>
      </c>
      <c r="AM78" s="140">
        <v>0</v>
      </c>
      <c r="AN78" s="140">
        <v>0</v>
      </c>
      <c r="AO78" s="140">
        <v>0</v>
      </c>
      <c r="AP78" s="140">
        <v>1</v>
      </c>
      <c r="AQ78" s="140">
        <v>0</v>
      </c>
      <c r="AR78" s="140">
        <v>0</v>
      </c>
      <c r="AS78" s="140">
        <v>0</v>
      </c>
      <c r="AT78" s="140">
        <v>0</v>
      </c>
      <c r="AU78" s="140">
        <v>0</v>
      </c>
      <c r="AV78" s="140">
        <v>0</v>
      </c>
      <c r="AW78" s="140">
        <v>1</v>
      </c>
      <c r="AX78" s="140">
        <v>0</v>
      </c>
      <c r="AY78" s="140">
        <v>0</v>
      </c>
      <c r="AZ78" s="140">
        <v>0</v>
      </c>
      <c r="BA78" s="140">
        <v>0</v>
      </c>
      <c r="BB78" s="140">
        <v>0</v>
      </c>
      <c r="BC78" s="140">
        <v>0</v>
      </c>
      <c r="BD78" s="140">
        <v>0</v>
      </c>
      <c r="BE78" s="140">
        <v>0</v>
      </c>
      <c r="BF78" s="140">
        <v>0</v>
      </c>
      <c r="BG78" s="140">
        <v>0</v>
      </c>
      <c r="BH78" s="140">
        <v>0</v>
      </c>
      <c r="BI78" s="140">
        <v>0</v>
      </c>
      <c r="BJ78" s="140">
        <v>0</v>
      </c>
      <c r="BK78" s="140">
        <v>0</v>
      </c>
      <c r="BL78" s="140">
        <v>0</v>
      </c>
      <c r="BM78" s="140">
        <v>0</v>
      </c>
      <c r="BN78" s="140">
        <v>0</v>
      </c>
      <c r="BO78" s="140">
        <v>0</v>
      </c>
      <c r="BX78" s="43">
        <v>12</v>
      </c>
      <c r="BY78" s="90">
        <f t="shared" si="4"/>
        <v>1</v>
      </c>
      <c r="CT78" s="90">
        <f t="shared" si="5"/>
        <v>0</v>
      </c>
      <c r="CU78" s="90">
        <f t="shared" si="6"/>
        <v>0</v>
      </c>
    </row>
    <row r="79" spans="1:99" ht="12" customHeight="1">
      <c r="A79" s="43">
        <v>5968</v>
      </c>
      <c r="B79" s="89" t="s">
        <v>312</v>
      </c>
      <c r="C79" s="89" t="s">
        <v>523</v>
      </c>
      <c r="D79" s="89" t="s">
        <v>524</v>
      </c>
      <c r="F79" s="43">
        <v>528235</v>
      </c>
      <c r="G79" s="43">
        <v>172781</v>
      </c>
      <c r="H79" s="89" t="s">
        <v>173</v>
      </c>
      <c r="I79" s="125">
        <v>42856</v>
      </c>
      <c r="J79" s="117">
        <v>43921</v>
      </c>
      <c r="K79" s="140">
        <v>0</v>
      </c>
      <c r="L79" s="140">
        <v>65</v>
      </c>
      <c r="M79" s="140">
        <v>65</v>
      </c>
      <c r="N79" s="140">
        <v>70</v>
      </c>
      <c r="O79" s="140">
        <v>70</v>
      </c>
      <c r="P79" s="43" t="s">
        <v>329</v>
      </c>
      <c r="Q79" s="89" t="s">
        <v>525</v>
      </c>
      <c r="R79" s="43" t="s">
        <v>360</v>
      </c>
      <c r="S79" s="125">
        <v>43242</v>
      </c>
      <c r="T79" s="117">
        <v>43424</v>
      </c>
      <c r="V79" s="43" t="s">
        <v>317</v>
      </c>
      <c r="X79" s="43" t="s">
        <v>318</v>
      </c>
      <c r="Y79" s="43" t="s">
        <v>361</v>
      </c>
      <c r="Z79" s="43" t="s">
        <v>361</v>
      </c>
      <c r="AA79" s="43" t="s">
        <v>320</v>
      </c>
      <c r="AB79" s="144">
        <v>0.123000003397465</v>
      </c>
      <c r="AC79" s="125">
        <v>42856</v>
      </c>
      <c r="AE79" s="117">
        <v>43921</v>
      </c>
      <c r="AF79" s="43" t="s">
        <v>75</v>
      </c>
      <c r="AG79" s="43" t="s">
        <v>322</v>
      </c>
      <c r="AJ79" s="140">
        <v>0</v>
      </c>
      <c r="AK79" s="140">
        <v>58</v>
      </c>
      <c r="AL79" s="140">
        <v>0</v>
      </c>
      <c r="AM79" s="140">
        <v>7</v>
      </c>
      <c r="AN79" s="140">
        <v>0</v>
      </c>
      <c r="AO79" s="140">
        <v>21</v>
      </c>
      <c r="AP79" s="140">
        <v>38</v>
      </c>
      <c r="AQ79" s="140">
        <v>6</v>
      </c>
      <c r="AR79" s="140">
        <v>0</v>
      </c>
      <c r="AS79" s="140">
        <v>0</v>
      </c>
      <c r="AT79" s="140">
        <v>0</v>
      </c>
      <c r="AU79" s="140">
        <v>0</v>
      </c>
      <c r="AV79" s="140">
        <v>21</v>
      </c>
      <c r="AW79" s="140">
        <v>38</v>
      </c>
      <c r="AX79" s="140">
        <v>6</v>
      </c>
      <c r="AY79" s="140">
        <v>0</v>
      </c>
      <c r="AZ79" s="140">
        <v>0</v>
      </c>
      <c r="BA79" s="140">
        <v>0</v>
      </c>
      <c r="BB79" s="140">
        <v>0</v>
      </c>
      <c r="BC79" s="140">
        <v>0</v>
      </c>
      <c r="BD79" s="140">
        <v>0</v>
      </c>
      <c r="BE79" s="140">
        <v>0</v>
      </c>
      <c r="BF79" s="140">
        <v>0</v>
      </c>
      <c r="BG79" s="140">
        <v>0</v>
      </c>
      <c r="BH79" s="140">
        <v>0</v>
      </c>
      <c r="BI79" s="140">
        <v>0</v>
      </c>
      <c r="BJ79" s="140">
        <v>0</v>
      </c>
      <c r="BK79" s="140">
        <v>0</v>
      </c>
      <c r="BL79" s="140">
        <v>0</v>
      </c>
      <c r="BM79" s="140">
        <v>0</v>
      </c>
      <c r="BN79" s="140">
        <v>0</v>
      </c>
      <c r="BO79" s="140">
        <v>0</v>
      </c>
      <c r="BX79" s="43">
        <v>1</v>
      </c>
      <c r="BY79" s="90">
        <f t="shared" si="4"/>
        <v>65</v>
      </c>
      <c r="CT79" s="90">
        <f t="shared" si="5"/>
        <v>0</v>
      </c>
      <c r="CU79" s="90">
        <f t="shared" si="6"/>
        <v>0</v>
      </c>
    </row>
    <row r="80" spans="1:99" ht="12" customHeight="1">
      <c r="A80" s="43">
        <v>5968</v>
      </c>
      <c r="B80" s="89" t="s">
        <v>312</v>
      </c>
      <c r="C80" s="89" t="s">
        <v>523</v>
      </c>
      <c r="D80" s="89" t="s">
        <v>524</v>
      </c>
      <c r="F80" s="43">
        <v>528235</v>
      </c>
      <c r="G80" s="43">
        <v>172781</v>
      </c>
      <c r="H80" s="89" t="s">
        <v>173</v>
      </c>
      <c r="I80" s="125">
        <v>42856</v>
      </c>
      <c r="J80" s="117">
        <v>43921</v>
      </c>
      <c r="K80" s="140">
        <v>0</v>
      </c>
      <c r="L80" s="140">
        <v>3</v>
      </c>
      <c r="M80" s="140">
        <v>3</v>
      </c>
      <c r="N80" s="140">
        <v>70</v>
      </c>
      <c r="O80" s="140">
        <v>70</v>
      </c>
      <c r="P80" s="43" t="s">
        <v>329</v>
      </c>
      <c r="Q80" s="89" t="s">
        <v>525</v>
      </c>
      <c r="R80" s="43" t="s">
        <v>360</v>
      </c>
      <c r="S80" s="125">
        <v>43242</v>
      </c>
      <c r="T80" s="117">
        <v>43424</v>
      </c>
      <c r="V80" s="43" t="s">
        <v>317</v>
      </c>
      <c r="X80" s="43" t="s">
        <v>318</v>
      </c>
      <c r="Y80" s="43" t="s">
        <v>361</v>
      </c>
      <c r="Z80" s="43" t="s">
        <v>361</v>
      </c>
      <c r="AA80" s="43" t="s">
        <v>320</v>
      </c>
      <c r="AB80" s="144">
        <v>6.0000000521540598E-3</v>
      </c>
      <c r="AC80" s="125">
        <v>42856</v>
      </c>
      <c r="AE80" s="117">
        <v>43862</v>
      </c>
      <c r="AF80" s="43" t="s">
        <v>55</v>
      </c>
      <c r="AG80" s="43" t="s">
        <v>526</v>
      </c>
      <c r="AJ80" s="140">
        <v>0</v>
      </c>
      <c r="AK80" s="140">
        <v>2</v>
      </c>
      <c r="AL80" s="140">
        <v>0</v>
      </c>
      <c r="AM80" s="140">
        <v>1</v>
      </c>
      <c r="AN80" s="140">
        <v>0</v>
      </c>
      <c r="AO80" s="140">
        <v>1</v>
      </c>
      <c r="AP80" s="140">
        <v>2</v>
      </c>
      <c r="AQ80" s="140">
        <v>0</v>
      </c>
      <c r="AR80" s="140">
        <v>0</v>
      </c>
      <c r="AS80" s="140">
        <v>0</v>
      </c>
      <c r="AT80" s="140">
        <v>0</v>
      </c>
      <c r="AU80" s="140">
        <v>0</v>
      </c>
      <c r="AV80" s="140">
        <v>1</v>
      </c>
      <c r="AW80" s="140">
        <v>2</v>
      </c>
      <c r="AX80" s="140">
        <v>0</v>
      </c>
      <c r="AY80" s="140">
        <v>0</v>
      </c>
      <c r="AZ80" s="140">
        <v>0</v>
      </c>
      <c r="BA80" s="140">
        <v>0</v>
      </c>
      <c r="BB80" s="140">
        <v>0</v>
      </c>
      <c r="BC80" s="140">
        <v>0</v>
      </c>
      <c r="BD80" s="140">
        <v>0</v>
      </c>
      <c r="BE80" s="140">
        <v>0</v>
      </c>
      <c r="BF80" s="140">
        <v>0</v>
      </c>
      <c r="BG80" s="140">
        <v>0</v>
      </c>
      <c r="BH80" s="140">
        <v>0</v>
      </c>
      <c r="BI80" s="140">
        <v>0</v>
      </c>
      <c r="BJ80" s="140">
        <v>0</v>
      </c>
      <c r="BK80" s="140">
        <v>0</v>
      </c>
      <c r="BL80" s="140">
        <v>0</v>
      </c>
      <c r="BM80" s="140">
        <v>0</v>
      </c>
      <c r="BN80" s="140">
        <v>0</v>
      </c>
      <c r="BO80" s="140">
        <v>0</v>
      </c>
      <c r="BX80" s="43">
        <v>1</v>
      </c>
      <c r="BY80" s="90">
        <f t="shared" si="4"/>
        <v>3</v>
      </c>
      <c r="CT80" s="90">
        <f t="shared" si="5"/>
        <v>0</v>
      </c>
      <c r="CU80" s="90">
        <f t="shared" si="6"/>
        <v>0</v>
      </c>
    </row>
    <row r="81" spans="1:99" ht="12" customHeight="1">
      <c r="A81" s="43">
        <v>5968</v>
      </c>
      <c r="B81" s="89" t="s">
        <v>312</v>
      </c>
      <c r="C81" s="89" t="s">
        <v>523</v>
      </c>
      <c r="D81" s="89" t="s">
        <v>524</v>
      </c>
      <c r="F81" s="43">
        <v>528235</v>
      </c>
      <c r="G81" s="43">
        <v>172781</v>
      </c>
      <c r="H81" s="89" t="s">
        <v>173</v>
      </c>
      <c r="I81" s="125">
        <v>42856</v>
      </c>
      <c r="J81" s="117">
        <v>43921</v>
      </c>
      <c r="K81" s="140">
        <v>0</v>
      </c>
      <c r="L81" s="140">
        <v>2</v>
      </c>
      <c r="M81" s="140">
        <v>2</v>
      </c>
      <c r="N81" s="140">
        <v>70</v>
      </c>
      <c r="O81" s="140">
        <v>70</v>
      </c>
      <c r="P81" s="43" t="s">
        <v>329</v>
      </c>
      <c r="Q81" s="89" t="s">
        <v>525</v>
      </c>
      <c r="R81" s="43" t="s">
        <v>360</v>
      </c>
      <c r="S81" s="125">
        <v>43242</v>
      </c>
      <c r="T81" s="117">
        <v>43424</v>
      </c>
      <c r="V81" s="43" t="s">
        <v>317</v>
      </c>
      <c r="X81" s="43" t="s">
        <v>318</v>
      </c>
      <c r="Y81" s="43" t="s">
        <v>361</v>
      </c>
      <c r="Z81" s="43" t="s">
        <v>361</v>
      </c>
      <c r="AA81" s="43" t="s">
        <v>320</v>
      </c>
      <c r="AB81" s="144">
        <v>4.0000001899898104E-3</v>
      </c>
      <c r="AC81" s="125">
        <v>42856</v>
      </c>
      <c r="AE81" s="117">
        <v>43862</v>
      </c>
      <c r="AF81" s="43" t="s">
        <v>54</v>
      </c>
      <c r="AG81" s="43" t="s">
        <v>399</v>
      </c>
      <c r="AJ81" s="140">
        <v>0</v>
      </c>
      <c r="AK81" s="140">
        <v>1</v>
      </c>
      <c r="AL81" s="140">
        <v>0</v>
      </c>
      <c r="AM81" s="140">
        <v>1</v>
      </c>
      <c r="AN81" s="140">
        <v>0</v>
      </c>
      <c r="AO81" s="140">
        <v>1</v>
      </c>
      <c r="AP81" s="140">
        <v>1</v>
      </c>
      <c r="AQ81" s="140">
        <v>0</v>
      </c>
      <c r="AR81" s="140">
        <v>0</v>
      </c>
      <c r="AS81" s="140">
        <v>0</v>
      </c>
      <c r="AT81" s="140">
        <v>0</v>
      </c>
      <c r="AU81" s="140">
        <v>0</v>
      </c>
      <c r="AV81" s="140">
        <v>1</v>
      </c>
      <c r="AW81" s="140">
        <v>1</v>
      </c>
      <c r="AX81" s="140">
        <v>0</v>
      </c>
      <c r="AY81" s="140">
        <v>0</v>
      </c>
      <c r="AZ81" s="140">
        <v>0</v>
      </c>
      <c r="BA81" s="140">
        <v>0</v>
      </c>
      <c r="BB81" s="140">
        <v>0</v>
      </c>
      <c r="BC81" s="140">
        <v>0</v>
      </c>
      <c r="BD81" s="140">
        <v>0</v>
      </c>
      <c r="BE81" s="140">
        <v>0</v>
      </c>
      <c r="BF81" s="140">
        <v>0</v>
      </c>
      <c r="BG81" s="140">
        <v>0</v>
      </c>
      <c r="BH81" s="140">
        <v>0</v>
      </c>
      <c r="BI81" s="140">
        <v>0</v>
      </c>
      <c r="BJ81" s="140">
        <v>0</v>
      </c>
      <c r="BK81" s="140">
        <v>0</v>
      </c>
      <c r="BL81" s="140">
        <v>0</v>
      </c>
      <c r="BM81" s="140">
        <v>0</v>
      </c>
      <c r="BN81" s="140">
        <v>0</v>
      </c>
      <c r="BO81" s="140">
        <v>0</v>
      </c>
      <c r="BX81" s="43">
        <v>1</v>
      </c>
      <c r="BY81" s="90">
        <f t="shared" si="4"/>
        <v>2</v>
      </c>
      <c r="CT81" s="90">
        <f t="shared" si="5"/>
        <v>0</v>
      </c>
      <c r="CU81" s="90">
        <f t="shared" si="6"/>
        <v>0</v>
      </c>
    </row>
    <row r="82" spans="1:99" ht="12" customHeight="1">
      <c r="A82" s="43">
        <v>6006</v>
      </c>
      <c r="B82" s="89" t="s">
        <v>312</v>
      </c>
      <c r="C82" s="89" t="s">
        <v>527</v>
      </c>
      <c r="D82" s="89" t="s">
        <v>528</v>
      </c>
      <c r="F82" s="43">
        <v>524739</v>
      </c>
      <c r="G82" s="43">
        <v>174137</v>
      </c>
      <c r="H82" s="89" t="s">
        <v>169</v>
      </c>
      <c r="I82" s="125">
        <v>42937</v>
      </c>
      <c r="J82" s="117">
        <v>43917</v>
      </c>
      <c r="K82" s="140">
        <v>0</v>
      </c>
      <c r="L82" s="140">
        <v>1</v>
      </c>
      <c r="M82" s="140">
        <v>1</v>
      </c>
      <c r="N82" s="140">
        <v>1</v>
      </c>
      <c r="O82" s="140">
        <v>1</v>
      </c>
      <c r="Q82" s="89" t="s">
        <v>529</v>
      </c>
      <c r="R82" s="43" t="s">
        <v>316</v>
      </c>
      <c r="S82" s="125">
        <v>42482</v>
      </c>
      <c r="T82" s="117">
        <v>42719</v>
      </c>
      <c r="V82" s="43" t="s">
        <v>317</v>
      </c>
      <c r="X82" s="43" t="s">
        <v>318</v>
      </c>
      <c r="Y82" s="43" t="s">
        <v>361</v>
      </c>
      <c r="Z82" s="43" t="s">
        <v>320</v>
      </c>
      <c r="AA82" s="43" t="s">
        <v>353</v>
      </c>
      <c r="AB82" s="144">
        <v>2.70000007003546E-2</v>
      </c>
      <c r="AC82" s="125">
        <v>42937</v>
      </c>
      <c r="AE82" s="117">
        <v>43917</v>
      </c>
      <c r="AF82" s="43" t="s">
        <v>75</v>
      </c>
      <c r="AG82" s="43" t="s">
        <v>322</v>
      </c>
      <c r="AJ82" s="140">
        <v>1</v>
      </c>
      <c r="AK82" s="140">
        <v>0</v>
      </c>
      <c r="AL82" s="140">
        <v>0</v>
      </c>
      <c r="AM82" s="140">
        <v>0</v>
      </c>
      <c r="AN82" s="140">
        <v>0</v>
      </c>
      <c r="AO82" s="140">
        <v>0</v>
      </c>
      <c r="AP82" s="140">
        <v>0</v>
      </c>
      <c r="AQ82" s="140">
        <v>0</v>
      </c>
      <c r="AR82" s="140">
        <v>1</v>
      </c>
      <c r="AS82" s="140">
        <v>0</v>
      </c>
      <c r="AT82" s="140">
        <v>0</v>
      </c>
      <c r="AU82" s="140">
        <v>0</v>
      </c>
      <c r="AV82" s="140">
        <v>0</v>
      </c>
      <c r="AW82" s="140">
        <v>0</v>
      </c>
      <c r="AX82" s="140">
        <v>0</v>
      </c>
      <c r="AY82" s="140">
        <v>0</v>
      </c>
      <c r="AZ82" s="140">
        <v>0</v>
      </c>
      <c r="BA82" s="140">
        <v>0</v>
      </c>
      <c r="BB82" s="140">
        <v>0</v>
      </c>
      <c r="BC82" s="140">
        <v>0</v>
      </c>
      <c r="BD82" s="140">
        <v>0</v>
      </c>
      <c r="BE82" s="140">
        <v>0</v>
      </c>
      <c r="BF82" s="140">
        <v>1</v>
      </c>
      <c r="BG82" s="140">
        <v>0</v>
      </c>
      <c r="BH82" s="140">
        <v>0</v>
      </c>
      <c r="BI82" s="140">
        <v>0</v>
      </c>
      <c r="BJ82" s="140">
        <v>0</v>
      </c>
      <c r="BK82" s="140">
        <v>0</v>
      </c>
      <c r="BL82" s="140">
        <v>0</v>
      </c>
      <c r="BM82" s="140">
        <v>0</v>
      </c>
      <c r="BN82" s="140">
        <v>0</v>
      </c>
      <c r="BO82" s="140">
        <v>0</v>
      </c>
      <c r="BX82" s="43">
        <v>1</v>
      </c>
      <c r="BY82" s="90">
        <f t="shared" si="4"/>
        <v>1</v>
      </c>
      <c r="CT82" s="90">
        <f t="shared" si="5"/>
        <v>0</v>
      </c>
      <c r="CU82" s="90">
        <f t="shared" si="6"/>
        <v>0</v>
      </c>
    </row>
    <row r="83" spans="1:99" ht="12" customHeight="1">
      <c r="A83" s="43">
        <v>6058</v>
      </c>
      <c r="B83" s="89" t="s">
        <v>312</v>
      </c>
      <c r="C83" s="89" t="s">
        <v>530</v>
      </c>
      <c r="D83" s="89" t="s">
        <v>531</v>
      </c>
      <c r="F83" s="43">
        <v>523963</v>
      </c>
      <c r="G83" s="43">
        <v>175629</v>
      </c>
      <c r="H83" s="89" t="s">
        <v>178</v>
      </c>
      <c r="I83" s="125">
        <v>43191</v>
      </c>
      <c r="J83" s="117">
        <v>43859</v>
      </c>
      <c r="K83" s="140">
        <v>0</v>
      </c>
      <c r="L83" s="140">
        <v>2</v>
      </c>
      <c r="M83" s="140">
        <v>2</v>
      </c>
      <c r="N83" s="140">
        <v>2</v>
      </c>
      <c r="O83" s="140">
        <v>2</v>
      </c>
      <c r="Q83" s="89" t="s">
        <v>532</v>
      </c>
      <c r="R83" s="43" t="s">
        <v>316</v>
      </c>
      <c r="S83" s="125">
        <v>42264</v>
      </c>
      <c r="T83" s="117">
        <v>42459</v>
      </c>
      <c r="V83" s="43" t="s">
        <v>317</v>
      </c>
      <c r="X83" s="43" t="s">
        <v>318</v>
      </c>
      <c r="Y83" s="43" t="s">
        <v>361</v>
      </c>
      <c r="Z83" s="43" t="s">
        <v>320</v>
      </c>
      <c r="AA83" s="43" t="s">
        <v>353</v>
      </c>
      <c r="AB83" s="144">
        <v>2.19999998807907E-2</v>
      </c>
      <c r="AC83" s="125">
        <v>43191</v>
      </c>
      <c r="AE83" s="117">
        <v>43859</v>
      </c>
      <c r="AF83" s="43" t="s">
        <v>75</v>
      </c>
      <c r="AG83" s="43" t="s">
        <v>322</v>
      </c>
      <c r="AJ83" s="140">
        <v>2</v>
      </c>
      <c r="AK83" s="140">
        <v>0</v>
      </c>
      <c r="AL83" s="140">
        <v>0</v>
      </c>
      <c r="AM83" s="140">
        <v>0</v>
      </c>
      <c r="AN83" s="140">
        <v>0</v>
      </c>
      <c r="AO83" s="140">
        <v>1</v>
      </c>
      <c r="AP83" s="140">
        <v>1</v>
      </c>
      <c r="AQ83" s="140">
        <v>0</v>
      </c>
      <c r="AR83" s="140">
        <v>0</v>
      </c>
      <c r="AS83" s="140">
        <v>0</v>
      </c>
      <c r="AT83" s="140">
        <v>0</v>
      </c>
      <c r="AU83" s="140">
        <v>0</v>
      </c>
      <c r="AV83" s="140">
        <v>1</v>
      </c>
      <c r="AW83" s="140">
        <v>1</v>
      </c>
      <c r="AX83" s="140">
        <v>0</v>
      </c>
      <c r="AY83" s="140">
        <v>0</v>
      </c>
      <c r="AZ83" s="140">
        <v>0</v>
      </c>
      <c r="BA83" s="140">
        <v>0</v>
      </c>
      <c r="BB83" s="140">
        <v>0</v>
      </c>
      <c r="BC83" s="140">
        <v>0</v>
      </c>
      <c r="BD83" s="140">
        <v>0</v>
      </c>
      <c r="BE83" s="140">
        <v>0</v>
      </c>
      <c r="BF83" s="140">
        <v>0</v>
      </c>
      <c r="BG83" s="140">
        <v>0</v>
      </c>
      <c r="BH83" s="140">
        <v>0</v>
      </c>
      <c r="BI83" s="140">
        <v>0</v>
      </c>
      <c r="BJ83" s="140">
        <v>0</v>
      </c>
      <c r="BK83" s="140">
        <v>0</v>
      </c>
      <c r="BL83" s="140">
        <v>0</v>
      </c>
      <c r="BM83" s="140">
        <v>0</v>
      </c>
      <c r="BN83" s="140">
        <v>0</v>
      </c>
      <c r="BO83" s="140">
        <v>0</v>
      </c>
      <c r="BX83" s="43">
        <v>1</v>
      </c>
      <c r="BY83" s="90">
        <f t="shared" si="4"/>
        <v>2</v>
      </c>
      <c r="CT83" s="90">
        <f t="shared" si="5"/>
        <v>0</v>
      </c>
      <c r="CU83" s="90">
        <f t="shared" si="6"/>
        <v>0</v>
      </c>
    </row>
    <row r="84" spans="1:99" ht="12" customHeight="1">
      <c r="A84" s="43">
        <v>6071</v>
      </c>
      <c r="B84" s="89" t="s">
        <v>312</v>
      </c>
      <c r="C84" s="89" t="s">
        <v>533</v>
      </c>
      <c r="D84" s="89" t="s">
        <v>534</v>
      </c>
      <c r="F84" s="43">
        <v>527421</v>
      </c>
      <c r="G84" s="43">
        <v>171301</v>
      </c>
      <c r="H84" s="89" t="s">
        <v>172</v>
      </c>
      <c r="I84" s="125">
        <v>42788</v>
      </c>
      <c r="K84" s="140">
        <v>0</v>
      </c>
      <c r="L84" s="140">
        <v>51</v>
      </c>
      <c r="M84" s="140">
        <v>51</v>
      </c>
      <c r="N84" s="140">
        <v>51</v>
      </c>
      <c r="O84" s="140">
        <v>51</v>
      </c>
      <c r="P84" s="43" t="s">
        <v>329</v>
      </c>
      <c r="Q84" s="89" t="s">
        <v>535</v>
      </c>
      <c r="R84" s="43" t="s">
        <v>360</v>
      </c>
      <c r="S84" s="125">
        <v>43397</v>
      </c>
      <c r="T84" s="117">
        <v>43487</v>
      </c>
      <c r="V84" s="43" t="s">
        <v>317</v>
      </c>
      <c r="X84" s="43" t="s">
        <v>318</v>
      </c>
      <c r="Y84" s="43" t="s">
        <v>336</v>
      </c>
      <c r="Z84" s="43" t="s">
        <v>536</v>
      </c>
      <c r="AA84" s="43" t="s">
        <v>320</v>
      </c>
      <c r="AB84" s="144">
        <v>0.35299998521804798</v>
      </c>
      <c r="AC84" s="125">
        <v>42788</v>
      </c>
      <c r="AE84" s="117">
        <v>43556</v>
      </c>
      <c r="AF84" s="43" t="s">
        <v>55</v>
      </c>
      <c r="AG84" s="43" t="s">
        <v>438</v>
      </c>
      <c r="AH84" s="43" t="s">
        <v>537</v>
      </c>
      <c r="AJ84" s="140">
        <v>0</v>
      </c>
      <c r="AK84" s="140">
        <v>0</v>
      </c>
      <c r="AL84" s="140">
        <v>0</v>
      </c>
      <c r="AM84" s="140">
        <v>0</v>
      </c>
      <c r="AN84" s="140">
        <v>2</v>
      </c>
      <c r="AO84" s="140">
        <v>20</v>
      </c>
      <c r="AP84" s="140">
        <v>13</v>
      </c>
      <c r="AQ84" s="140">
        <v>10</v>
      </c>
      <c r="AR84" s="140">
        <v>6</v>
      </c>
      <c r="AS84" s="140">
        <v>0</v>
      </c>
      <c r="AT84" s="140">
        <v>0</v>
      </c>
      <c r="AU84" s="140">
        <v>2</v>
      </c>
      <c r="AV84" s="140">
        <v>20</v>
      </c>
      <c r="AW84" s="140">
        <v>13</v>
      </c>
      <c r="AX84" s="140">
        <v>10</v>
      </c>
      <c r="AY84" s="140">
        <v>6</v>
      </c>
      <c r="AZ84" s="140">
        <v>0</v>
      </c>
      <c r="BA84" s="140">
        <v>0</v>
      </c>
      <c r="BB84" s="140">
        <v>0</v>
      </c>
      <c r="BC84" s="140">
        <v>0</v>
      </c>
      <c r="BD84" s="140">
        <v>0</v>
      </c>
      <c r="BE84" s="140">
        <v>0</v>
      </c>
      <c r="BF84" s="140">
        <v>0</v>
      </c>
      <c r="BG84" s="140">
        <v>0</v>
      </c>
      <c r="BH84" s="140">
        <v>0</v>
      </c>
      <c r="BI84" s="140">
        <v>0</v>
      </c>
      <c r="BJ84" s="140">
        <v>0</v>
      </c>
      <c r="BK84" s="140">
        <v>0</v>
      </c>
      <c r="BL84" s="140">
        <v>0</v>
      </c>
      <c r="BM84" s="140">
        <v>0</v>
      </c>
      <c r="BN84" s="140">
        <v>0</v>
      </c>
      <c r="BO84" s="140">
        <v>0</v>
      </c>
      <c r="BX84" s="43">
        <v>12</v>
      </c>
      <c r="BY84" s="90">
        <f t="shared" si="4"/>
        <v>51</v>
      </c>
      <c r="CT84" s="90">
        <f t="shared" si="5"/>
        <v>0</v>
      </c>
      <c r="CU84" s="90">
        <f t="shared" si="6"/>
        <v>0</v>
      </c>
    </row>
    <row r="85" spans="1:99" ht="12" customHeight="1">
      <c r="A85" s="43">
        <v>6082</v>
      </c>
      <c r="B85" s="89" t="s">
        <v>312</v>
      </c>
      <c r="C85" s="89" t="s">
        <v>538</v>
      </c>
      <c r="D85" s="89" t="s">
        <v>539</v>
      </c>
      <c r="F85" s="43">
        <v>529010</v>
      </c>
      <c r="G85" s="43">
        <v>174056</v>
      </c>
      <c r="H85" s="89" t="s">
        <v>138</v>
      </c>
      <c r="I85" s="125">
        <v>43178</v>
      </c>
      <c r="J85" s="117">
        <v>43763</v>
      </c>
      <c r="K85" s="140">
        <v>0</v>
      </c>
      <c r="L85" s="140">
        <v>6</v>
      </c>
      <c r="M85" s="140">
        <v>6</v>
      </c>
      <c r="N85" s="140">
        <v>6</v>
      </c>
      <c r="O85" s="140">
        <v>6</v>
      </c>
      <c r="Q85" s="89" t="s">
        <v>540</v>
      </c>
      <c r="R85" s="43" t="s">
        <v>316</v>
      </c>
      <c r="S85" s="125">
        <v>42298</v>
      </c>
      <c r="T85" s="117">
        <v>42433</v>
      </c>
      <c r="V85" s="43" t="s">
        <v>317</v>
      </c>
      <c r="X85" s="43" t="s">
        <v>318</v>
      </c>
      <c r="Y85" s="43" t="s">
        <v>361</v>
      </c>
      <c r="Z85" s="43" t="s">
        <v>320</v>
      </c>
      <c r="AA85" s="43" t="s">
        <v>353</v>
      </c>
      <c r="AB85" s="144">
        <v>3.4000001847744002E-2</v>
      </c>
      <c r="AC85" s="125">
        <v>43178</v>
      </c>
      <c r="AE85" s="117">
        <v>43763</v>
      </c>
      <c r="AF85" s="43" t="s">
        <v>55</v>
      </c>
      <c r="AG85" s="43" t="s">
        <v>438</v>
      </c>
      <c r="AJ85" s="140">
        <v>6</v>
      </c>
      <c r="AK85" s="140">
        <v>0</v>
      </c>
      <c r="AL85" s="140">
        <v>0</v>
      </c>
      <c r="AM85" s="140">
        <v>0</v>
      </c>
      <c r="AN85" s="140">
        <v>0</v>
      </c>
      <c r="AO85" s="140">
        <v>2</v>
      </c>
      <c r="AP85" s="140">
        <v>4</v>
      </c>
      <c r="AQ85" s="140">
        <v>0</v>
      </c>
      <c r="AR85" s="140">
        <v>0</v>
      </c>
      <c r="AS85" s="140">
        <v>0</v>
      </c>
      <c r="AT85" s="140">
        <v>0</v>
      </c>
      <c r="AU85" s="140">
        <v>0</v>
      </c>
      <c r="AV85" s="140">
        <v>2</v>
      </c>
      <c r="AW85" s="140">
        <v>4</v>
      </c>
      <c r="AX85" s="140">
        <v>0</v>
      </c>
      <c r="AY85" s="140">
        <v>0</v>
      </c>
      <c r="AZ85" s="140">
        <v>0</v>
      </c>
      <c r="BA85" s="140">
        <v>0</v>
      </c>
      <c r="BB85" s="140">
        <v>0</v>
      </c>
      <c r="BC85" s="140">
        <v>0</v>
      </c>
      <c r="BD85" s="140">
        <v>0</v>
      </c>
      <c r="BE85" s="140">
        <v>0</v>
      </c>
      <c r="BF85" s="140">
        <v>0</v>
      </c>
      <c r="BG85" s="140">
        <v>0</v>
      </c>
      <c r="BH85" s="140">
        <v>0</v>
      </c>
      <c r="BI85" s="140">
        <v>0</v>
      </c>
      <c r="BJ85" s="140">
        <v>0</v>
      </c>
      <c r="BK85" s="140">
        <v>0</v>
      </c>
      <c r="BL85" s="140">
        <v>0</v>
      </c>
      <c r="BM85" s="140">
        <v>0</v>
      </c>
      <c r="BN85" s="140">
        <v>0</v>
      </c>
      <c r="BO85" s="140">
        <v>0</v>
      </c>
      <c r="BX85" s="43">
        <v>1</v>
      </c>
      <c r="BY85" s="90">
        <f t="shared" si="4"/>
        <v>6</v>
      </c>
      <c r="CT85" s="90">
        <f t="shared" si="5"/>
        <v>0</v>
      </c>
      <c r="CU85" s="90">
        <f t="shared" si="6"/>
        <v>0</v>
      </c>
    </row>
    <row r="86" spans="1:99" ht="12" customHeight="1">
      <c r="A86" s="43">
        <v>6099</v>
      </c>
      <c r="B86" s="89" t="s">
        <v>312</v>
      </c>
      <c r="C86" s="89" t="s">
        <v>541</v>
      </c>
      <c r="D86" s="89" t="s">
        <v>542</v>
      </c>
      <c r="F86" s="43">
        <v>523163</v>
      </c>
      <c r="G86" s="43">
        <v>174605</v>
      </c>
      <c r="H86" s="89" t="s">
        <v>181</v>
      </c>
      <c r="I86" s="125">
        <v>42754</v>
      </c>
      <c r="J86" s="117">
        <v>43592</v>
      </c>
      <c r="K86" s="140">
        <v>1</v>
      </c>
      <c r="L86" s="140">
        <v>1</v>
      </c>
      <c r="M86" s="140">
        <v>0</v>
      </c>
      <c r="N86" s="140">
        <v>1</v>
      </c>
      <c r="O86" s="140">
        <v>0</v>
      </c>
      <c r="Q86" s="89" t="s">
        <v>543</v>
      </c>
      <c r="R86" s="43" t="s">
        <v>316</v>
      </c>
      <c r="S86" s="125">
        <v>42306</v>
      </c>
      <c r="T86" s="117">
        <v>42361</v>
      </c>
      <c r="V86" s="43" t="s">
        <v>317</v>
      </c>
      <c r="X86" s="43" t="s">
        <v>318</v>
      </c>
      <c r="Y86" s="43" t="s">
        <v>361</v>
      </c>
      <c r="Z86" s="43" t="s">
        <v>320</v>
      </c>
      <c r="AA86" s="43" t="s">
        <v>353</v>
      </c>
      <c r="AB86" s="144">
        <v>5.4999999701976797E-2</v>
      </c>
      <c r="AC86" s="125">
        <v>42754</v>
      </c>
      <c r="AE86" s="117">
        <v>43592</v>
      </c>
      <c r="AF86" s="43" t="s">
        <v>75</v>
      </c>
      <c r="AG86" s="43" t="s">
        <v>322</v>
      </c>
      <c r="AJ86" s="140">
        <v>1</v>
      </c>
      <c r="AK86" s="140">
        <v>0</v>
      </c>
      <c r="AL86" s="140">
        <v>0</v>
      </c>
      <c r="AM86" s="140">
        <v>0</v>
      </c>
      <c r="AN86" s="140">
        <v>0</v>
      </c>
      <c r="AO86" s="140">
        <v>0</v>
      </c>
      <c r="AP86" s="140">
        <v>0</v>
      </c>
      <c r="AQ86" s="140">
        <v>-1</v>
      </c>
      <c r="AR86" s="140">
        <v>0</v>
      </c>
      <c r="AS86" s="140">
        <v>1</v>
      </c>
      <c r="AT86" s="140">
        <v>0</v>
      </c>
      <c r="AU86" s="140">
        <v>0</v>
      </c>
      <c r="AV86" s="140">
        <v>0</v>
      </c>
      <c r="AW86" s="140">
        <v>0</v>
      </c>
      <c r="AX86" s="140">
        <v>0</v>
      </c>
      <c r="AY86" s="140">
        <v>0</v>
      </c>
      <c r="AZ86" s="140">
        <v>0</v>
      </c>
      <c r="BA86" s="140">
        <v>0</v>
      </c>
      <c r="BB86" s="140">
        <v>0</v>
      </c>
      <c r="BC86" s="140">
        <v>0</v>
      </c>
      <c r="BD86" s="140">
        <v>0</v>
      </c>
      <c r="BE86" s="140">
        <v>-1</v>
      </c>
      <c r="BF86" s="140">
        <v>0</v>
      </c>
      <c r="BG86" s="140">
        <v>1</v>
      </c>
      <c r="BH86" s="140">
        <v>0</v>
      </c>
      <c r="BI86" s="140">
        <v>0</v>
      </c>
      <c r="BJ86" s="140">
        <v>0</v>
      </c>
      <c r="BK86" s="140">
        <v>0</v>
      </c>
      <c r="BL86" s="140">
        <v>0</v>
      </c>
      <c r="BM86" s="140">
        <v>0</v>
      </c>
      <c r="BN86" s="140">
        <v>0</v>
      </c>
      <c r="BO86" s="140">
        <v>0</v>
      </c>
      <c r="BX86" s="43">
        <v>1</v>
      </c>
      <c r="BY86" s="90">
        <f t="shared" si="4"/>
        <v>0</v>
      </c>
      <c r="CT86" s="90">
        <f t="shared" si="5"/>
        <v>0</v>
      </c>
      <c r="CU86" s="90">
        <f t="shared" si="6"/>
        <v>0</v>
      </c>
    </row>
    <row r="87" spans="1:99" ht="12" customHeight="1">
      <c r="A87" s="43">
        <v>6112</v>
      </c>
      <c r="B87" s="89" t="s">
        <v>312</v>
      </c>
      <c r="C87" s="89" t="s">
        <v>544</v>
      </c>
      <c r="D87" s="89" t="s">
        <v>545</v>
      </c>
      <c r="F87" s="43">
        <v>525940</v>
      </c>
      <c r="G87" s="43">
        <v>173410</v>
      </c>
      <c r="H87" s="89" t="s">
        <v>168</v>
      </c>
      <c r="I87" s="125">
        <v>43190</v>
      </c>
      <c r="K87" s="140">
        <v>0</v>
      </c>
      <c r="L87" s="140">
        <v>3</v>
      </c>
      <c r="M87" s="140">
        <v>3</v>
      </c>
      <c r="N87" s="140">
        <v>4</v>
      </c>
      <c r="O87" s="140">
        <v>4</v>
      </c>
      <c r="Q87" s="89" t="s">
        <v>546</v>
      </c>
      <c r="R87" s="43" t="s">
        <v>316</v>
      </c>
      <c r="S87" s="125">
        <v>43119</v>
      </c>
      <c r="T87" s="117">
        <v>43175</v>
      </c>
      <c r="V87" s="43" t="s">
        <v>317</v>
      </c>
      <c r="X87" s="43" t="s">
        <v>318</v>
      </c>
      <c r="Y87" s="43" t="s">
        <v>319</v>
      </c>
      <c r="Z87" s="43" t="s">
        <v>320</v>
      </c>
      <c r="AA87" s="43" t="s">
        <v>353</v>
      </c>
      <c r="AB87" s="144">
        <v>8.9999996125698107E-3</v>
      </c>
      <c r="AC87" s="125">
        <v>43190</v>
      </c>
      <c r="AE87" s="117">
        <v>43619</v>
      </c>
      <c r="AF87" s="43" t="s">
        <v>75</v>
      </c>
      <c r="AG87" s="43" t="s">
        <v>322</v>
      </c>
      <c r="AJ87" s="140">
        <v>0</v>
      </c>
      <c r="AK87" s="140">
        <v>0</v>
      </c>
      <c r="AL87" s="140">
        <v>0</v>
      </c>
      <c r="AM87" s="140">
        <v>0</v>
      </c>
      <c r="AN87" s="140">
        <v>0</v>
      </c>
      <c r="AO87" s="140">
        <v>0</v>
      </c>
      <c r="AP87" s="140">
        <v>2</v>
      </c>
      <c r="AQ87" s="140">
        <v>1</v>
      </c>
      <c r="AR87" s="140">
        <v>0</v>
      </c>
      <c r="AS87" s="140">
        <v>0</v>
      </c>
      <c r="AT87" s="140">
        <v>0</v>
      </c>
      <c r="AU87" s="140">
        <v>0</v>
      </c>
      <c r="AV87" s="140">
        <v>0</v>
      </c>
      <c r="AW87" s="140">
        <v>2</v>
      </c>
      <c r="AX87" s="140">
        <v>1</v>
      </c>
      <c r="AY87" s="140">
        <v>0</v>
      </c>
      <c r="AZ87" s="140">
        <v>0</v>
      </c>
      <c r="BA87" s="140">
        <v>0</v>
      </c>
      <c r="BB87" s="140">
        <v>0</v>
      </c>
      <c r="BC87" s="140">
        <v>0</v>
      </c>
      <c r="BD87" s="140">
        <v>0</v>
      </c>
      <c r="BE87" s="140">
        <v>0</v>
      </c>
      <c r="BF87" s="140">
        <v>0</v>
      </c>
      <c r="BG87" s="140">
        <v>0</v>
      </c>
      <c r="BH87" s="140">
        <v>0</v>
      </c>
      <c r="BI87" s="140">
        <v>0</v>
      </c>
      <c r="BJ87" s="140">
        <v>0</v>
      </c>
      <c r="BK87" s="140">
        <v>0</v>
      </c>
      <c r="BL87" s="140">
        <v>0</v>
      </c>
      <c r="BM87" s="140">
        <v>0</v>
      </c>
      <c r="BN87" s="140">
        <v>0</v>
      </c>
      <c r="BO87" s="140">
        <v>0</v>
      </c>
      <c r="BW87" s="43" t="s">
        <v>329</v>
      </c>
      <c r="BX87" s="43">
        <v>12</v>
      </c>
      <c r="BY87" s="90">
        <f t="shared" si="4"/>
        <v>3</v>
      </c>
      <c r="CT87" s="90">
        <f t="shared" si="5"/>
        <v>0</v>
      </c>
      <c r="CU87" s="90">
        <f t="shared" si="6"/>
        <v>0</v>
      </c>
    </row>
    <row r="88" spans="1:99" ht="12" customHeight="1">
      <c r="A88" s="43">
        <v>6112</v>
      </c>
      <c r="B88" s="89" t="s">
        <v>312</v>
      </c>
      <c r="C88" s="89" t="s">
        <v>544</v>
      </c>
      <c r="D88" s="89" t="s">
        <v>545</v>
      </c>
      <c r="F88" s="43">
        <v>525940</v>
      </c>
      <c r="G88" s="43">
        <v>173410</v>
      </c>
      <c r="H88" s="89" t="s">
        <v>168</v>
      </c>
      <c r="I88" s="125">
        <v>43190</v>
      </c>
      <c r="K88" s="140">
        <v>0</v>
      </c>
      <c r="L88" s="140">
        <v>1</v>
      </c>
      <c r="M88" s="140">
        <v>1</v>
      </c>
      <c r="N88" s="140">
        <v>4</v>
      </c>
      <c r="O88" s="140">
        <v>4</v>
      </c>
      <c r="Q88" s="89" t="s">
        <v>546</v>
      </c>
      <c r="R88" s="43" t="s">
        <v>316</v>
      </c>
      <c r="S88" s="125">
        <v>43119</v>
      </c>
      <c r="T88" s="117">
        <v>43175</v>
      </c>
      <c r="V88" s="43" t="s">
        <v>317</v>
      </c>
      <c r="X88" s="43" t="s">
        <v>318</v>
      </c>
      <c r="Y88" s="43" t="s">
        <v>319</v>
      </c>
      <c r="Z88" s="43" t="s">
        <v>320</v>
      </c>
      <c r="AA88" s="43" t="s">
        <v>30</v>
      </c>
      <c r="AB88" s="144">
        <v>4.0000001899898104E-3</v>
      </c>
      <c r="AC88" s="125">
        <v>43190</v>
      </c>
      <c r="AE88" s="117">
        <v>43619</v>
      </c>
      <c r="AF88" s="43" t="s">
        <v>75</v>
      </c>
      <c r="AG88" s="43" t="s">
        <v>322</v>
      </c>
      <c r="AJ88" s="140">
        <v>0</v>
      </c>
      <c r="AK88" s="140">
        <v>0</v>
      </c>
      <c r="AL88" s="140">
        <v>0</v>
      </c>
      <c r="AM88" s="140">
        <v>0</v>
      </c>
      <c r="AN88" s="140">
        <v>0</v>
      </c>
      <c r="AO88" s="140">
        <v>1</v>
      </c>
      <c r="AP88" s="140">
        <v>0</v>
      </c>
      <c r="AQ88" s="140">
        <v>0</v>
      </c>
      <c r="AR88" s="140">
        <v>0</v>
      </c>
      <c r="AS88" s="140">
        <v>0</v>
      </c>
      <c r="AT88" s="140">
        <v>0</v>
      </c>
      <c r="AU88" s="140">
        <v>0</v>
      </c>
      <c r="AV88" s="140">
        <v>1</v>
      </c>
      <c r="AW88" s="140">
        <v>0</v>
      </c>
      <c r="AX88" s="140">
        <v>0</v>
      </c>
      <c r="AY88" s="140">
        <v>0</v>
      </c>
      <c r="AZ88" s="140">
        <v>0</v>
      </c>
      <c r="BA88" s="140">
        <v>0</v>
      </c>
      <c r="BB88" s="140">
        <v>0</v>
      </c>
      <c r="BC88" s="140">
        <v>0</v>
      </c>
      <c r="BD88" s="140">
        <v>0</v>
      </c>
      <c r="BE88" s="140">
        <v>0</v>
      </c>
      <c r="BF88" s="140">
        <v>0</v>
      </c>
      <c r="BG88" s="140">
        <v>0</v>
      </c>
      <c r="BH88" s="140">
        <v>0</v>
      </c>
      <c r="BI88" s="140">
        <v>0</v>
      </c>
      <c r="BJ88" s="140">
        <v>0</v>
      </c>
      <c r="BK88" s="140">
        <v>0</v>
      </c>
      <c r="BL88" s="140">
        <v>0</v>
      </c>
      <c r="BM88" s="140">
        <v>0</v>
      </c>
      <c r="BN88" s="140">
        <v>0</v>
      </c>
      <c r="BO88" s="140">
        <v>0</v>
      </c>
      <c r="BW88" s="43" t="s">
        <v>329</v>
      </c>
      <c r="BX88" s="43">
        <v>12</v>
      </c>
      <c r="BY88" s="90">
        <f t="shared" si="4"/>
        <v>1</v>
      </c>
      <c r="CT88" s="90">
        <f t="shared" si="5"/>
        <v>0</v>
      </c>
      <c r="CU88" s="90">
        <f t="shared" si="6"/>
        <v>0</v>
      </c>
    </row>
    <row r="89" spans="1:99" ht="12" customHeight="1">
      <c r="A89" s="43">
        <v>6121</v>
      </c>
      <c r="B89" s="89" t="s">
        <v>312</v>
      </c>
      <c r="C89" s="89" t="s">
        <v>547</v>
      </c>
      <c r="D89" s="89" t="s">
        <v>548</v>
      </c>
      <c r="F89" s="43">
        <v>527356</v>
      </c>
      <c r="G89" s="43">
        <v>171517</v>
      </c>
      <c r="H89" s="89" t="s">
        <v>141</v>
      </c>
      <c r="I89" s="125">
        <v>43190</v>
      </c>
      <c r="J89" s="117">
        <v>43675</v>
      </c>
      <c r="K89" s="140">
        <v>1</v>
      </c>
      <c r="L89" s="140">
        <v>3</v>
      </c>
      <c r="M89" s="140">
        <v>2</v>
      </c>
      <c r="N89" s="140">
        <v>3</v>
      </c>
      <c r="O89" s="140">
        <v>2</v>
      </c>
      <c r="Q89" s="89" t="s">
        <v>549</v>
      </c>
      <c r="R89" s="43" t="s">
        <v>316</v>
      </c>
      <c r="S89" s="125">
        <v>42503</v>
      </c>
      <c r="T89" s="117">
        <v>42559</v>
      </c>
      <c r="V89" s="43" t="s">
        <v>317</v>
      </c>
      <c r="X89" s="43" t="s">
        <v>318</v>
      </c>
      <c r="Y89" s="43" t="s">
        <v>361</v>
      </c>
      <c r="Z89" s="43" t="s">
        <v>320</v>
      </c>
      <c r="AA89" s="43" t="s">
        <v>353</v>
      </c>
      <c r="AB89" s="144">
        <v>3.4000001847744002E-2</v>
      </c>
      <c r="AC89" s="125">
        <v>43190</v>
      </c>
      <c r="AE89" s="117">
        <v>43675</v>
      </c>
      <c r="AF89" s="43" t="s">
        <v>75</v>
      </c>
      <c r="AG89" s="43" t="s">
        <v>322</v>
      </c>
      <c r="AJ89" s="140">
        <v>0</v>
      </c>
      <c r="AK89" s="140">
        <v>0</v>
      </c>
      <c r="AL89" s="140">
        <v>0</v>
      </c>
      <c r="AM89" s="140">
        <v>0</v>
      </c>
      <c r="AN89" s="140">
        <v>-1</v>
      </c>
      <c r="AO89" s="140">
        <v>1</v>
      </c>
      <c r="AP89" s="140">
        <v>2</v>
      </c>
      <c r="AQ89" s="140">
        <v>0</v>
      </c>
      <c r="AR89" s="140">
        <v>0</v>
      </c>
      <c r="AS89" s="140">
        <v>0</v>
      </c>
      <c r="AT89" s="140">
        <v>0</v>
      </c>
      <c r="AU89" s="140">
        <v>-1</v>
      </c>
      <c r="AV89" s="140">
        <v>1</v>
      </c>
      <c r="AW89" s="140">
        <v>2</v>
      </c>
      <c r="AX89" s="140">
        <v>0</v>
      </c>
      <c r="AY89" s="140">
        <v>0</v>
      </c>
      <c r="AZ89" s="140">
        <v>0</v>
      </c>
      <c r="BA89" s="140">
        <v>0</v>
      </c>
      <c r="BB89" s="140">
        <v>0</v>
      </c>
      <c r="BC89" s="140">
        <v>0</v>
      </c>
      <c r="BD89" s="140">
        <v>0</v>
      </c>
      <c r="BE89" s="140">
        <v>0</v>
      </c>
      <c r="BF89" s="140">
        <v>0</v>
      </c>
      <c r="BG89" s="140">
        <v>0</v>
      </c>
      <c r="BH89" s="140">
        <v>0</v>
      </c>
      <c r="BI89" s="140">
        <v>0</v>
      </c>
      <c r="BJ89" s="140">
        <v>0</v>
      </c>
      <c r="BK89" s="140">
        <v>0</v>
      </c>
      <c r="BL89" s="140">
        <v>0</v>
      </c>
      <c r="BM89" s="140">
        <v>0</v>
      </c>
      <c r="BN89" s="140">
        <v>0</v>
      </c>
      <c r="BO89" s="140">
        <v>0</v>
      </c>
      <c r="BX89" s="43">
        <v>1</v>
      </c>
      <c r="BY89" s="90">
        <f t="shared" si="4"/>
        <v>2</v>
      </c>
      <c r="CT89" s="90">
        <f t="shared" si="5"/>
        <v>0</v>
      </c>
      <c r="CU89" s="90">
        <f t="shared" si="6"/>
        <v>0</v>
      </c>
    </row>
    <row r="90" spans="1:99" ht="12" customHeight="1">
      <c r="A90" s="43">
        <v>6191</v>
      </c>
      <c r="B90" s="89" t="s">
        <v>312</v>
      </c>
      <c r="C90" s="89" t="s">
        <v>550</v>
      </c>
      <c r="D90" s="89" t="s">
        <v>551</v>
      </c>
      <c r="F90" s="43">
        <v>527606</v>
      </c>
      <c r="G90" s="43">
        <v>174610</v>
      </c>
      <c r="H90" s="89" t="s">
        <v>174</v>
      </c>
      <c r="I90" s="125">
        <v>43555</v>
      </c>
      <c r="J90" s="117">
        <v>43754</v>
      </c>
      <c r="K90" s="140">
        <v>0</v>
      </c>
      <c r="L90" s="140">
        <v>1</v>
      </c>
      <c r="M90" s="140">
        <v>1</v>
      </c>
      <c r="N90" s="140">
        <v>1</v>
      </c>
      <c r="O90" s="140">
        <v>1</v>
      </c>
      <c r="Q90" s="89" t="s">
        <v>552</v>
      </c>
      <c r="R90" s="43" t="s">
        <v>316</v>
      </c>
      <c r="S90" s="125">
        <v>42415</v>
      </c>
      <c r="T90" s="117">
        <v>42527</v>
      </c>
      <c r="V90" s="43" t="s">
        <v>317</v>
      </c>
      <c r="X90" s="43" t="s">
        <v>318</v>
      </c>
      <c r="Y90" s="43" t="s">
        <v>319</v>
      </c>
      <c r="Z90" s="43" t="s">
        <v>320</v>
      </c>
      <c r="AA90" s="43" t="s">
        <v>33</v>
      </c>
      <c r="AB90" s="144">
        <v>4.0000001899898104E-3</v>
      </c>
      <c r="AC90" s="125">
        <v>43555</v>
      </c>
      <c r="AE90" s="117">
        <v>43754</v>
      </c>
      <c r="AF90" s="43" t="s">
        <v>75</v>
      </c>
      <c r="AG90" s="43" t="s">
        <v>322</v>
      </c>
      <c r="AJ90" s="140">
        <v>0</v>
      </c>
      <c r="AK90" s="140">
        <v>0</v>
      </c>
      <c r="AL90" s="140">
        <v>0</v>
      </c>
      <c r="AM90" s="140">
        <v>0</v>
      </c>
      <c r="AN90" s="140">
        <v>0</v>
      </c>
      <c r="AO90" s="140">
        <v>1</v>
      </c>
      <c r="AP90" s="140">
        <v>0</v>
      </c>
      <c r="AQ90" s="140">
        <v>0</v>
      </c>
      <c r="AR90" s="140">
        <v>0</v>
      </c>
      <c r="AS90" s="140">
        <v>0</v>
      </c>
      <c r="AT90" s="140">
        <v>0</v>
      </c>
      <c r="AU90" s="140">
        <v>0</v>
      </c>
      <c r="AV90" s="140">
        <v>0</v>
      </c>
      <c r="AW90" s="140">
        <v>0</v>
      </c>
      <c r="AX90" s="140">
        <v>0</v>
      </c>
      <c r="AY90" s="140">
        <v>0</v>
      </c>
      <c r="AZ90" s="140">
        <v>0</v>
      </c>
      <c r="BA90" s="140">
        <v>0</v>
      </c>
      <c r="BB90" s="140">
        <v>0</v>
      </c>
      <c r="BC90" s="140">
        <v>1</v>
      </c>
      <c r="BD90" s="140">
        <v>0</v>
      </c>
      <c r="BE90" s="140">
        <v>0</v>
      </c>
      <c r="BF90" s="140">
        <v>0</v>
      </c>
      <c r="BG90" s="140">
        <v>0</v>
      </c>
      <c r="BH90" s="140">
        <v>0</v>
      </c>
      <c r="BI90" s="140">
        <v>0</v>
      </c>
      <c r="BJ90" s="140">
        <v>0</v>
      </c>
      <c r="BK90" s="140">
        <v>0</v>
      </c>
      <c r="BL90" s="140">
        <v>0</v>
      </c>
      <c r="BM90" s="140">
        <v>0</v>
      </c>
      <c r="BN90" s="140">
        <v>0</v>
      </c>
      <c r="BO90" s="140">
        <v>0</v>
      </c>
      <c r="BX90" s="43">
        <v>12</v>
      </c>
      <c r="BY90" s="90">
        <f t="shared" si="4"/>
        <v>1</v>
      </c>
      <c r="CT90" s="90">
        <f t="shared" si="5"/>
        <v>0</v>
      </c>
      <c r="CU90" s="90">
        <f t="shared" si="6"/>
        <v>0</v>
      </c>
    </row>
    <row r="91" spans="1:99" ht="12" customHeight="1">
      <c r="A91" s="43">
        <v>6213</v>
      </c>
      <c r="B91" s="89" t="s">
        <v>312</v>
      </c>
      <c r="C91" s="89" t="s">
        <v>553</v>
      </c>
      <c r="D91" s="89" t="s">
        <v>554</v>
      </c>
      <c r="F91" s="43">
        <v>524769</v>
      </c>
      <c r="G91" s="43">
        <v>173307</v>
      </c>
      <c r="H91" s="89" t="s">
        <v>176</v>
      </c>
      <c r="I91" s="125">
        <v>43608</v>
      </c>
      <c r="J91" s="117">
        <v>43921</v>
      </c>
      <c r="K91" s="140">
        <v>0</v>
      </c>
      <c r="L91" s="140">
        <v>1</v>
      </c>
      <c r="M91" s="140">
        <v>1</v>
      </c>
      <c r="N91" s="140">
        <v>1</v>
      </c>
      <c r="O91" s="140">
        <v>1</v>
      </c>
      <c r="Q91" s="89" t="s">
        <v>555</v>
      </c>
      <c r="R91" s="43" t="s">
        <v>443</v>
      </c>
      <c r="S91" s="125">
        <v>43389</v>
      </c>
      <c r="T91" s="117">
        <v>43441</v>
      </c>
      <c r="V91" s="43" t="s">
        <v>317</v>
      </c>
      <c r="X91" s="43" t="s">
        <v>318</v>
      </c>
      <c r="Y91" s="43" t="s">
        <v>336</v>
      </c>
      <c r="Z91" s="43" t="s">
        <v>320</v>
      </c>
      <c r="AA91" s="43" t="s">
        <v>30</v>
      </c>
      <c r="AB91" s="144">
        <v>2.0000000949949E-3</v>
      </c>
      <c r="AC91" s="125">
        <v>43608</v>
      </c>
      <c r="AD91" s="43" t="s">
        <v>329</v>
      </c>
      <c r="AE91" s="117">
        <v>43921</v>
      </c>
      <c r="AF91" s="43" t="s">
        <v>75</v>
      </c>
      <c r="AG91" s="43" t="s">
        <v>322</v>
      </c>
      <c r="AJ91" s="140">
        <v>0</v>
      </c>
      <c r="AK91" s="140">
        <v>0</v>
      </c>
      <c r="AL91" s="140">
        <v>0</v>
      </c>
      <c r="AM91" s="140">
        <v>0</v>
      </c>
      <c r="AN91" s="140">
        <v>1</v>
      </c>
      <c r="AO91" s="140">
        <v>0</v>
      </c>
      <c r="AP91" s="140">
        <v>0</v>
      </c>
      <c r="AQ91" s="140">
        <v>0</v>
      </c>
      <c r="AR91" s="140">
        <v>0</v>
      </c>
      <c r="AS91" s="140">
        <v>0</v>
      </c>
      <c r="AT91" s="140">
        <v>0</v>
      </c>
      <c r="AU91" s="140">
        <v>1</v>
      </c>
      <c r="AV91" s="140">
        <v>0</v>
      </c>
      <c r="AW91" s="140">
        <v>0</v>
      </c>
      <c r="AX91" s="140">
        <v>0</v>
      </c>
      <c r="AY91" s="140">
        <v>0</v>
      </c>
      <c r="AZ91" s="140">
        <v>0</v>
      </c>
      <c r="BA91" s="140">
        <v>0</v>
      </c>
      <c r="BB91" s="140">
        <v>0</v>
      </c>
      <c r="BC91" s="140">
        <v>0</v>
      </c>
      <c r="BD91" s="140">
        <v>0</v>
      </c>
      <c r="BE91" s="140">
        <v>0</v>
      </c>
      <c r="BF91" s="140">
        <v>0</v>
      </c>
      <c r="BG91" s="140">
        <v>0</v>
      </c>
      <c r="BH91" s="140">
        <v>0</v>
      </c>
      <c r="BI91" s="140">
        <v>0</v>
      </c>
      <c r="BJ91" s="140">
        <v>0</v>
      </c>
      <c r="BK91" s="140">
        <v>0</v>
      </c>
      <c r="BL91" s="140">
        <v>0</v>
      </c>
      <c r="BM91" s="140">
        <v>0</v>
      </c>
      <c r="BN91" s="140">
        <v>0</v>
      </c>
      <c r="BO91" s="140">
        <v>0</v>
      </c>
      <c r="BX91" s="43">
        <v>12</v>
      </c>
      <c r="BY91" s="90">
        <f t="shared" si="4"/>
        <v>1</v>
      </c>
      <c r="CT91" s="90">
        <f t="shared" si="5"/>
        <v>0</v>
      </c>
      <c r="CU91" s="90">
        <f t="shared" si="6"/>
        <v>0</v>
      </c>
    </row>
    <row r="92" spans="1:99" ht="12" customHeight="1">
      <c r="A92" s="43">
        <v>6231</v>
      </c>
      <c r="B92" s="89" t="s">
        <v>312</v>
      </c>
      <c r="C92" s="89" t="s">
        <v>556</v>
      </c>
      <c r="D92" s="89" t="s">
        <v>557</v>
      </c>
      <c r="F92" s="43">
        <v>528546</v>
      </c>
      <c r="G92" s="43">
        <v>173121</v>
      </c>
      <c r="H92" s="89" t="s">
        <v>173</v>
      </c>
      <c r="I92" s="125">
        <v>43511</v>
      </c>
      <c r="J92" s="117">
        <v>43921</v>
      </c>
      <c r="K92" s="140">
        <v>0</v>
      </c>
      <c r="L92" s="140">
        <v>1</v>
      </c>
      <c r="M92" s="140">
        <v>1</v>
      </c>
      <c r="N92" s="140">
        <v>1</v>
      </c>
      <c r="O92" s="140">
        <v>1</v>
      </c>
      <c r="Q92" s="89" t="s">
        <v>558</v>
      </c>
      <c r="R92" s="43" t="s">
        <v>316</v>
      </c>
      <c r="S92" s="125">
        <v>42501</v>
      </c>
      <c r="T92" s="117">
        <v>42557</v>
      </c>
      <c r="V92" s="43" t="s">
        <v>317</v>
      </c>
      <c r="X92" s="43" t="s">
        <v>318</v>
      </c>
      <c r="Y92" s="43" t="s">
        <v>361</v>
      </c>
      <c r="Z92" s="43" t="s">
        <v>320</v>
      </c>
      <c r="AA92" s="43" t="s">
        <v>353</v>
      </c>
      <c r="AB92" s="144">
        <v>4.9999998882412902E-3</v>
      </c>
      <c r="AC92" s="125">
        <v>43511</v>
      </c>
      <c r="AE92" s="117">
        <v>43921</v>
      </c>
      <c r="AF92" s="43" t="s">
        <v>75</v>
      </c>
      <c r="AG92" s="43" t="s">
        <v>322</v>
      </c>
      <c r="AJ92" s="140">
        <v>0</v>
      </c>
      <c r="AK92" s="140">
        <v>0</v>
      </c>
      <c r="AL92" s="140">
        <v>0</v>
      </c>
      <c r="AM92" s="140">
        <v>0</v>
      </c>
      <c r="AN92" s="140">
        <v>0</v>
      </c>
      <c r="AO92" s="140">
        <v>1</v>
      </c>
      <c r="AP92" s="140">
        <v>0</v>
      </c>
      <c r="AQ92" s="140">
        <v>0</v>
      </c>
      <c r="AR92" s="140">
        <v>0</v>
      </c>
      <c r="AS92" s="140">
        <v>0</v>
      </c>
      <c r="AT92" s="140">
        <v>0</v>
      </c>
      <c r="AU92" s="140">
        <v>0</v>
      </c>
      <c r="AV92" s="140">
        <v>1</v>
      </c>
      <c r="AW92" s="140">
        <v>0</v>
      </c>
      <c r="AX92" s="140">
        <v>0</v>
      </c>
      <c r="AY92" s="140">
        <v>0</v>
      </c>
      <c r="AZ92" s="140">
        <v>0</v>
      </c>
      <c r="BA92" s="140">
        <v>0</v>
      </c>
      <c r="BB92" s="140">
        <v>0</v>
      </c>
      <c r="BC92" s="140">
        <v>0</v>
      </c>
      <c r="BD92" s="140">
        <v>0</v>
      </c>
      <c r="BE92" s="140">
        <v>0</v>
      </c>
      <c r="BF92" s="140">
        <v>0</v>
      </c>
      <c r="BG92" s="140">
        <v>0</v>
      </c>
      <c r="BH92" s="140">
        <v>0</v>
      </c>
      <c r="BI92" s="140">
        <v>0</v>
      </c>
      <c r="BJ92" s="140">
        <v>0</v>
      </c>
      <c r="BK92" s="140">
        <v>0</v>
      </c>
      <c r="BL92" s="140">
        <v>0</v>
      </c>
      <c r="BM92" s="140">
        <v>0</v>
      </c>
      <c r="BN92" s="140">
        <v>0</v>
      </c>
      <c r="BO92" s="140">
        <v>0</v>
      </c>
      <c r="BX92" s="43">
        <v>1</v>
      </c>
      <c r="BY92" s="90">
        <f t="shared" si="4"/>
        <v>1</v>
      </c>
      <c r="CT92" s="90">
        <f t="shared" si="5"/>
        <v>0</v>
      </c>
      <c r="CU92" s="90">
        <f t="shared" si="6"/>
        <v>0</v>
      </c>
    </row>
    <row r="93" spans="1:99" ht="12" customHeight="1">
      <c r="A93" s="43">
        <v>6236</v>
      </c>
      <c r="B93" s="89" t="s">
        <v>312</v>
      </c>
      <c r="C93" s="89" t="s">
        <v>559</v>
      </c>
      <c r="D93" s="89" t="s">
        <v>560</v>
      </c>
      <c r="F93" s="43">
        <v>524331</v>
      </c>
      <c r="G93" s="43">
        <v>174652</v>
      </c>
      <c r="H93" s="89" t="s">
        <v>169</v>
      </c>
      <c r="I93" s="125">
        <v>43409</v>
      </c>
      <c r="J93" s="117">
        <v>43713</v>
      </c>
      <c r="K93" s="140">
        <v>0</v>
      </c>
      <c r="L93" s="140">
        <v>4</v>
      </c>
      <c r="M93" s="140">
        <v>4</v>
      </c>
      <c r="N93" s="140">
        <v>4</v>
      </c>
      <c r="O93" s="140">
        <v>4</v>
      </c>
      <c r="Q93" s="89" t="s">
        <v>561</v>
      </c>
      <c r="R93" s="43" t="s">
        <v>316</v>
      </c>
      <c r="S93" s="125">
        <v>42513</v>
      </c>
      <c r="T93" s="117">
        <v>42628</v>
      </c>
      <c r="V93" s="43" t="s">
        <v>317</v>
      </c>
      <c r="X93" s="43" t="s">
        <v>318</v>
      </c>
      <c r="Y93" s="43" t="s">
        <v>361</v>
      </c>
      <c r="Z93" s="43" t="s">
        <v>320</v>
      </c>
      <c r="AA93" s="43" t="s">
        <v>353</v>
      </c>
      <c r="AB93" s="144">
        <v>2.60000005364418E-2</v>
      </c>
      <c r="AC93" s="125">
        <v>43409</v>
      </c>
      <c r="AE93" s="117">
        <v>43713</v>
      </c>
      <c r="AF93" s="43" t="s">
        <v>75</v>
      </c>
      <c r="AG93" s="43" t="s">
        <v>322</v>
      </c>
      <c r="AJ93" s="140">
        <v>0</v>
      </c>
      <c r="AK93" s="140">
        <v>0</v>
      </c>
      <c r="AL93" s="140">
        <v>0</v>
      </c>
      <c r="AM93" s="140">
        <v>0</v>
      </c>
      <c r="AN93" s="140">
        <v>0</v>
      </c>
      <c r="AO93" s="140">
        <v>3</v>
      </c>
      <c r="AP93" s="140">
        <v>1</v>
      </c>
      <c r="AQ93" s="140">
        <v>0</v>
      </c>
      <c r="AR93" s="140">
        <v>0</v>
      </c>
      <c r="AS93" s="140">
        <v>0</v>
      </c>
      <c r="AT93" s="140">
        <v>0</v>
      </c>
      <c r="AU93" s="140">
        <v>0</v>
      </c>
      <c r="AV93" s="140">
        <v>3</v>
      </c>
      <c r="AW93" s="140">
        <v>1</v>
      </c>
      <c r="AX93" s="140">
        <v>0</v>
      </c>
      <c r="AY93" s="140">
        <v>0</v>
      </c>
      <c r="AZ93" s="140">
        <v>0</v>
      </c>
      <c r="BA93" s="140">
        <v>0</v>
      </c>
      <c r="BB93" s="140">
        <v>0</v>
      </c>
      <c r="BC93" s="140">
        <v>0</v>
      </c>
      <c r="BD93" s="140">
        <v>0</v>
      </c>
      <c r="BE93" s="140">
        <v>0</v>
      </c>
      <c r="BF93" s="140">
        <v>0</v>
      </c>
      <c r="BG93" s="140">
        <v>0</v>
      </c>
      <c r="BH93" s="140">
        <v>0</v>
      </c>
      <c r="BI93" s="140">
        <v>0</v>
      </c>
      <c r="BJ93" s="140">
        <v>0</v>
      </c>
      <c r="BK93" s="140">
        <v>0</v>
      </c>
      <c r="BL93" s="140">
        <v>0</v>
      </c>
      <c r="BM93" s="140">
        <v>0</v>
      </c>
      <c r="BN93" s="140">
        <v>0</v>
      </c>
      <c r="BO93" s="140">
        <v>0</v>
      </c>
      <c r="BX93" s="43">
        <v>1</v>
      </c>
      <c r="BY93" s="90">
        <f t="shared" si="4"/>
        <v>4</v>
      </c>
      <c r="CT93" s="90">
        <f t="shared" si="5"/>
        <v>0</v>
      </c>
      <c r="CU93" s="90">
        <f t="shared" si="6"/>
        <v>0</v>
      </c>
    </row>
    <row r="94" spans="1:99" ht="12" customHeight="1">
      <c r="A94" s="43">
        <v>6249</v>
      </c>
      <c r="B94" s="89" t="s">
        <v>312</v>
      </c>
      <c r="C94" s="89" t="s">
        <v>562</v>
      </c>
      <c r="D94" s="89" t="s">
        <v>563</v>
      </c>
      <c r="F94" s="43">
        <v>527514</v>
      </c>
      <c r="G94" s="43">
        <v>173045</v>
      </c>
      <c r="H94" s="89" t="s">
        <v>179</v>
      </c>
      <c r="I94" s="125">
        <v>42825</v>
      </c>
      <c r="J94" s="117">
        <v>43921</v>
      </c>
      <c r="K94" s="140">
        <v>0</v>
      </c>
      <c r="L94" s="140">
        <v>1</v>
      </c>
      <c r="M94" s="140">
        <v>1</v>
      </c>
      <c r="N94" s="140">
        <v>5</v>
      </c>
      <c r="O94" s="140">
        <v>4</v>
      </c>
      <c r="Q94" s="89" t="s">
        <v>564</v>
      </c>
      <c r="R94" s="43" t="s">
        <v>316</v>
      </c>
      <c r="S94" s="125">
        <v>42503</v>
      </c>
      <c r="T94" s="117">
        <v>42576</v>
      </c>
      <c r="V94" s="43" t="s">
        <v>317</v>
      </c>
      <c r="X94" s="43" t="s">
        <v>318</v>
      </c>
      <c r="Y94" s="43" t="s">
        <v>319</v>
      </c>
      <c r="Z94" s="43" t="s">
        <v>320</v>
      </c>
      <c r="AA94" s="43" t="s">
        <v>353</v>
      </c>
      <c r="AB94" s="144">
        <v>6.0000000521540598E-3</v>
      </c>
      <c r="AC94" s="125">
        <v>43262</v>
      </c>
      <c r="AE94" s="117">
        <v>43921</v>
      </c>
      <c r="AF94" s="43" t="s">
        <v>75</v>
      </c>
      <c r="AG94" s="43" t="s">
        <v>322</v>
      </c>
      <c r="AJ94" s="140">
        <v>0</v>
      </c>
      <c r="AK94" s="140">
        <v>0</v>
      </c>
      <c r="AL94" s="140">
        <v>0</v>
      </c>
      <c r="AM94" s="140">
        <v>0</v>
      </c>
      <c r="AN94" s="140">
        <v>0</v>
      </c>
      <c r="AO94" s="140">
        <v>0</v>
      </c>
      <c r="AP94" s="140">
        <v>0</v>
      </c>
      <c r="AQ94" s="140">
        <v>1</v>
      </c>
      <c r="AR94" s="140">
        <v>0</v>
      </c>
      <c r="AS94" s="140">
        <v>0</v>
      </c>
      <c r="AT94" s="140">
        <v>0</v>
      </c>
      <c r="AU94" s="140">
        <v>0</v>
      </c>
      <c r="AV94" s="140">
        <v>0</v>
      </c>
      <c r="AW94" s="140">
        <v>0</v>
      </c>
      <c r="AX94" s="140">
        <v>0</v>
      </c>
      <c r="AY94" s="140">
        <v>0</v>
      </c>
      <c r="AZ94" s="140">
        <v>0</v>
      </c>
      <c r="BA94" s="140">
        <v>0</v>
      </c>
      <c r="BB94" s="140">
        <v>0</v>
      </c>
      <c r="BC94" s="140">
        <v>0</v>
      </c>
      <c r="BD94" s="140">
        <v>0</v>
      </c>
      <c r="BE94" s="140">
        <v>1</v>
      </c>
      <c r="BF94" s="140">
        <v>0</v>
      </c>
      <c r="BG94" s="140">
        <v>0</v>
      </c>
      <c r="BH94" s="140">
        <v>0</v>
      </c>
      <c r="BI94" s="140">
        <v>0</v>
      </c>
      <c r="BJ94" s="140">
        <v>0</v>
      </c>
      <c r="BK94" s="140">
        <v>0</v>
      </c>
      <c r="BL94" s="140">
        <v>0</v>
      </c>
      <c r="BM94" s="140">
        <v>0</v>
      </c>
      <c r="BN94" s="140">
        <v>0</v>
      </c>
      <c r="BO94" s="140">
        <v>0</v>
      </c>
      <c r="BX94" s="43">
        <v>12</v>
      </c>
      <c r="BY94" s="90">
        <f t="shared" si="4"/>
        <v>1</v>
      </c>
      <c r="CT94" s="90">
        <f t="shared" si="5"/>
        <v>0</v>
      </c>
      <c r="CU94" s="90">
        <f t="shared" si="6"/>
        <v>0</v>
      </c>
    </row>
    <row r="95" spans="1:99" ht="12" customHeight="1">
      <c r="A95" s="43">
        <v>6250</v>
      </c>
      <c r="B95" s="89" t="s">
        <v>312</v>
      </c>
      <c r="C95" s="89" t="s">
        <v>565</v>
      </c>
      <c r="D95" s="89" t="s">
        <v>566</v>
      </c>
      <c r="F95" s="43">
        <v>524222</v>
      </c>
      <c r="G95" s="43">
        <v>173822</v>
      </c>
      <c r="H95" s="89" t="s">
        <v>180</v>
      </c>
      <c r="I95" s="125">
        <v>43190</v>
      </c>
      <c r="J95" s="117">
        <v>43580</v>
      </c>
      <c r="K95" s="140">
        <v>0</v>
      </c>
      <c r="L95" s="140">
        <v>2</v>
      </c>
      <c r="M95" s="140">
        <v>2</v>
      </c>
      <c r="N95" s="140">
        <v>2</v>
      </c>
      <c r="O95" s="140">
        <v>2</v>
      </c>
      <c r="Q95" s="89" t="s">
        <v>567</v>
      </c>
      <c r="R95" s="43" t="s">
        <v>316</v>
      </c>
      <c r="S95" s="125">
        <v>42515</v>
      </c>
      <c r="T95" s="117">
        <v>42628</v>
      </c>
      <c r="V95" s="43" t="s">
        <v>317</v>
      </c>
      <c r="X95" s="43" t="s">
        <v>318</v>
      </c>
      <c r="Y95" s="43" t="s">
        <v>361</v>
      </c>
      <c r="Z95" s="43" t="s">
        <v>320</v>
      </c>
      <c r="AA95" s="43" t="s">
        <v>353</v>
      </c>
      <c r="AB95" s="144">
        <v>1.30000002682209E-2</v>
      </c>
      <c r="AC95" s="125">
        <v>43190</v>
      </c>
      <c r="AE95" s="117">
        <v>43580</v>
      </c>
      <c r="AF95" s="43" t="s">
        <v>55</v>
      </c>
      <c r="AG95" s="43" t="s">
        <v>438</v>
      </c>
      <c r="AJ95" s="140">
        <v>2</v>
      </c>
      <c r="AK95" s="140">
        <v>0</v>
      </c>
      <c r="AL95" s="140">
        <v>2</v>
      </c>
      <c r="AM95" s="140">
        <v>0</v>
      </c>
      <c r="AN95" s="140">
        <v>0</v>
      </c>
      <c r="AO95" s="140">
        <v>1</v>
      </c>
      <c r="AP95" s="140">
        <v>1</v>
      </c>
      <c r="AQ95" s="140">
        <v>0</v>
      </c>
      <c r="AR95" s="140">
        <v>0</v>
      </c>
      <c r="AS95" s="140">
        <v>0</v>
      </c>
      <c r="AT95" s="140">
        <v>0</v>
      </c>
      <c r="AU95" s="140">
        <v>0</v>
      </c>
      <c r="AV95" s="140">
        <v>1</v>
      </c>
      <c r="AW95" s="140">
        <v>1</v>
      </c>
      <c r="AX95" s="140">
        <v>0</v>
      </c>
      <c r="AY95" s="140">
        <v>0</v>
      </c>
      <c r="AZ95" s="140">
        <v>0</v>
      </c>
      <c r="BA95" s="140">
        <v>0</v>
      </c>
      <c r="BB95" s="140">
        <v>0</v>
      </c>
      <c r="BC95" s="140">
        <v>0</v>
      </c>
      <c r="BD95" s="140">
        <v>0</v>
      </c>
      <c r="BE95" s="140">
        <v>0</v>
      </c>
      <c r="BF95" s="140">
        <v>0</v>
      </c>
      <c r="BG95" s="140">
        <v>0</v>
      </c>
      <c r="BH95" s="140">
        <v>0</v>
      </c>
      <c r="BI95" s="140">
        <v>0</v>
      </c>
      <c r="BJ95" s="140">
        <v>0</v>
      </c>
      <c r="BK95" s="140">
        <v>0</v>
      </c>
      <c r="BL95" s="140">
        <v>0</v>
      </c>
      <c r="BM95" s="140">
        <v>0</v>
      </c>
      <c r="BN95" s="140">
        <v>0</v>
      </c>
      <c r="BO95" s="140">
        <v>0</v>
      </c>
      <c r="BX95" s="43">
        <v>1</v>
      </c>
      <c r="BY95" s="90">
        <f t="shared" si="4"/>
        <v>2</v>
      </c>
      <c r="CT95" s="90">
        <f t="shared" si="5"/>
        <v>0</v>
      </c>
      <c r="CU95" s="90">
        <f t="shared" si="6"/>
        <v>0</v>
      </c>
    </row>
    <row r="96" spans="1:99" ht="12" customHeight="1">
      <c r="A96" s="43">
        <v>6263</v>
      </c>
      <c r="B96" s="89" t="s">
        <v>312</v>
      </c>
      <c r="C96" s="89" t="s">
        <v>568</v>
      </c>
      <c r="D96" s="89" t="s">
        <v>569</v>
      </c>
      <c r="F96" s="43">
        <v>526852</v>
      </c>
      <c r="G96" s="43">
        <v>175075</v>
      </c>
      <c r="H96" s="89" t="s">
        <v>170</v>
      </c>
      <c r="I96" s="125">
        <v>43011</v>
      </c>
      <c r="J96" s="117">
        <v>43556</v>
      </c>
      <c r="K96" s="140">
        <v>1</v>
      </c>
      <c r="L96" s="140">
        <v>2</v>
      </c>
      <c r="M96" s="140">
        <v>1</v>
      </c>
      <c r="N96" s="140">
        <v>2</v>
      </c>
      <c r="O96" s="140">
        <v>1</v>
      </c>
      <c r="Q96" s="89" t="s">
        <v>570</v>
      </c>
      <c r="R96" s="43" t="s">
        <v>316</v>
      </c>
      <c r="S96" s="125">
        <v>42524</v>
      </c>
      <c r="T96" s="117">
        <v>42579</v>
      </c>
      <c r="V96" s="43" t="s">
        <v>317</v>
      </c>
      <c r="X96" s="43" t="s">
        <v>318</v>
      </c>
      <c r="Y96" s="43" t="s">
        <v>348</v>
      </c>
      <c r="Z96" s="43" t="s">
        <v>320</v>
      </c>
      <c r="AA96" s="43" t="s">
        <v>321</v>
      </c>
      <c r="AB96" s="144">
        <v>4.0000001899898104E-3</v>
      </c>
      <c r="AC96" s="125">
        <v>43011</v>
      </c>
      <c r="AE96" s="117">
        <v>43556</v>
      </c>
      <c r="AF96" s="43" t="s">
        <v>75</v>
      </c>
      <c r="AG96" s="43" t="s">
        <v>322</v>
      </c>
      <c r="AJ96" s="140">
        <v>0</v>
      </c>
      <c r="AK96" s="140">
        <v>0</v>
      </c>
      <c r="AL96" s="140">
        <v>0</v>
      </c>
      <c r="AM96" s="140">
        <v>0</v>
      </c>
      <c r="AN96" s="140">
        <v>1</v>
      </c>
      <c r="AO96" s="140">
        <v>1</v>
      </c>
      <c r="AP96" s="140">
        <v>0</v>
      </c>
      <c r="AQ96" s="140">
        <v>0</v>
      </c>
      <c r="AR96" s="140">
        <v>-1</v>
      </c>
      <c r="AS96" s="140">
        <v>0</v>
      </c>
      <c r="AT96" s="140">
        <v>0</v>
      </c>
      <c r="AU96" s="140">
        <v>1</v>
      </c>
      <c r="AV96" s="140">
        <v>1</v>
      </c>
      <c r="AW96" s="140">
        <v>0</v>
      </c>
      <c r="AX96" s="140">
        <v>0</v>
      </c>
      <c r="AY96" s="140">
        <v>-1</v>
      </c>
      <c r="AZ96" s="140">
        <v>0</v>
      </c>
      <c r="BA96" s="140">
        <v>0</v>
      </c>
      <c r="BB96" s="140">
        <v>0</v>
      </c>
      <c r="BC96" s="140">
        <v>0</v>
      </c>
      <c r="BD96" s="140">
        <v>0</v>
      </c>
      <c r="BE96" s="140">
        <v>0</v>
      </c>
      <c r="BF96" s="140">
        <v>0</v>
      </c>
      <c r="BG96" s="140">
        <v>0</v>
      </c>
      <c r="BH96" s="140">
        <v>0</v>
      </c>
      <c r="BI96" s="140">
        <v>0</v>
      </c>
      <c r="BJ96" s="140">
        <v>0</v>
      </c>
      <c r="BK96" s="140">
        <v>0</v>
      </c>
      <c r="BL96" s="140">
        <v>0</v>
      </c>
      <c r="BM96" s="140">
        <v>0</v>
      </c>
      <c r="BN96" s="140">
        <v>0</v>
      </c>
      <c r="BO96" s="140">
        <v>0</v>
      </c>
      <c r="BX96" s="43">
        <v>12</v>
      </c>
      <c r="BY96" s="90">
        <f t="shared" si="4"/>
        <v>1</v>
      </c>
      <c r="CT96" s="90">
        <f t="shared" si="5"/>
        <v>0</v>
      </c>
      <c r="CU96" s="90">
        <f t="shared" si="6"/>
        <v>0</v>
      </c>
    </row>
    <row r="97" spans="1:99" ht="12" customHeight="1">
      <c r="A97" s="43">
        <v>6281</v>
      </c>
      <c r="B97" s="89" t="s">
        <v>312</v>
      </c>
      <c r="C97" s="89" t="s">
        <v>571</v>
      </c>
      <c r="D97" s="89" t="s">
        <v>572</v>
      </c>
      <c r="F97" s="43">
        <v>522932</v>
      </c>
      <c r="G97" s="43">
        <v>175036</v>
      </c>
      <c r="H97" s="89" t="s">
        <v>181</v>
      </c>
      <c r="I97" s="125">
        <v>43190</v>
      </c>
      <c r="J97" s="117">
        <v>43636</v>
      </c>
      <c r="K97" s="140">
        <v>1</v>
      </c>
      <c r="L97" s="140">
        <v>2</v>
      </c>
      <c r="M97" s="140">
        <v>1</v>
      </c>
      <c r="N97" s="140">
        <v>2</v>
      </c>
      <c r="O97" s="140">
        <v>1</v>
      </c>
      <c r="Q97" s="89" t="s">
        <v>573</v>
      </c>
      <c r="R97" s="43" t="s">
        <v>316</v>
      </c>
      <c r="S97" s="125">
        <v>42528</v>
      </c>
      <c r="T97" s="117">
        <v>42584</v>
      </c>
      <c r="V97" s="43" t="s">
        <v>317</v>
      </c>
      <c r="X97" s="43" t="s">
        <v>318</v>
      </c>
      <c r="Y97" s="43" t="s">
        <v>361</v>
      </c>
      <c r="Z97" s="43" t="s">
        <v>320</v>
      </c>
      <c r="AA97" s="43" t="s">
        <v>353</v>
      </c>
      <c r="AB97" s="144">
        <v>8.6000002920627594E-2</v>
      </c>
      <c r="AC97" s="125">
        <v>43190</v>
      </c>
      <c r="AE97" s="117">
        <v>43636</v>
      </c>
      <c r="AF97" s="43" t="s">
        <v>75</v>
      </c>
      <c r="AG97" s="43" t="s">
        <v>322</v>
      </c>
      <c r="AJ97" s="140">
        <v>0</v>
      </c>
      <c r="AK97" s="140">
        <v>0</v>
      </c>
      <c r="AL97" s="140">
        <v>0</v>
      </c>
      <c r="AM97" s="140">
        <v>0</v>
      </c>
      <c r="AN97" s="140">
        <v>0</v>
      </c>
      <c r="AO97" s="140">
        <v>0</v>
      </c>
      <c r="AP97" s="140">
        <v>0</v>
      </c>
      <c r="AQ97" s="140">
        <v>0</v>
      </c>
      <c r="AR97" s="140">
        <v>1</v>
      </c>
      <c r="AS97" s="140">
        <v>0</v>
      </c>
      <c r="AT97" s="140">
        <v>0</v>
      </c>
      <c r="AU97" s="140">
        <v>0</v>
      </c>
      <c r="AV97" s="140">
        <v>0</v>
      </c>
      <c r="AW97" s="140">
        <v>0</v>
      </c>
      <c r="AX97" s="140">
        <v>0</v>
      </c>
      <c r="AY97" s="140">
        <v>0</v>
      </c>
      <c r="AZ97" s="140">
        <v>0</v>
      </c>
      <c r="BA97" s="140">
        <v>0</v>
      </c>
      <c r="BB97" s="140">
        <v>0</v>
      </c>
      <c r="BC97" s="140">
        <v>0</v>
      </c>
      <c r="BD97" s="140">
        <v>0</v>
      </c>
      <c r="BE97" s="140">
        <v>0</v>
      </c>
      <c r="BF97" s="140">
        <v>1</v>
      </c>
      <c r="BG97" s="140">
        <v>0</v>
      </c>
      <c r="BH97" s="140">
        <v>0</v>
      </c>
      <c r="BI97" s="140">
        <v>0</v>
      </c>
      <c r="BJ97" s="140">
        <v>0</v>
      </c>
      <c r="BK97" s="140">
        <v>0</v>
      </c>
      <c r="BL97" s="140">
        <v>0</v>
      </c>
      <c r="BM97" s="140">
        <v>0</v>
      </c>
      <c r="BN97" s="140">
        <v>0</v>
      </c>
      <c r="BO97" s="140">
        <v>0</v>
      </c>
      <c r="BX97" s="43">
        <v>1</v>
      </c>
      <c r="BY97" s="90">
        <f t="shared" si="4"/>
        <v>1</v>
      </c>
      <c r="CT97" s="90">
        <f t="shared" si="5"/>
        <v>0</v>
      </c>
      <c r="CU97" s="90">
        <f t="shared" si="6"/>
        <v>0</v>
      </c>
    </row>
    <row r="98" spans="1:99" ht="12" customHeight="1">
      <c r="A98" s="43">
        <v>6282</v>
      </c>
      <c r="B98" s="89" t="s">
        <v>312</v>
      </c>
      <c r="C98" s="89" t="s">
        <v>574</v>
      </c>
      <c r="D98" s="89" t="s">
        <v>575</v>
      </c>
      <c r="F98" s="43">
        <v>524759</v>
      </c>
      <c r="G98" s="43">
        <v>174251</v>
      </c>
      <c r="H98" s="89" t="s">
        <v>169</v>
      </c>
      <c r="I98" s="125">
        <v>43921</v>
      </c>
      <c r="J98" s="117">
        <v>43921</v>
      </c>
      <c r="K98" s="140">
        <v>1</v>
      </c>
      <c r="L98" s="140">
        <v>4</v>
      </c>
      <c r="M98" s="140">
        <v>3</v>
      </c>
      <c r="N98" s="140">
        <v>4</v>
      </c>
      <c r="O98" s="140">
        <v>3</v>
      </c>
      <c r="Q98" s="89" t="s">
        <v>576</v>
      </c>
      <c r="R98" s="43" t="s">
        <v>316</v>
      </c>
      <c r="S98" s="125">
        <v>42796</v>
      </c>
      <c r="T98" s="117">
        <v>42873</v>
      </c>
      <c r="V98" s="43" t="s">
        <v>317</v>
      </c>
      <c r="X98" s="43" t="s">
        <v>318</v>
      </c>
      <c r="Y98" s="43" t="s">
        <v>361</v>
      </c>
      <c r="Z98" s="43" t="s">
        <v>320</v>
      </c>
      <c r="AA98" s="43" t="s">
        <v>353</v>
      </c>
      <c r="AB98" s="144">
        <v>0.193000003695488</v>
      </c>
      <c r="AC98" s="125">
        <v>43921</v>
      </c>
      <c r="AD98" s="43" t="s">
        <v>329</v>
      </c>
      <c r="AE98" s="117">
        <v>43921</v>
      </c>
      <c r="AF98" s="43" t="s">
        <v>75</v>
      </c>
      <c r="AG98" s="43" t="s">
        <v>322</v>
      </c>
      <c r="AJ98" s="140">
        <v>0</v>
      </c>
      <c r="AK98" s="140">
        <v>0</v>
      </c>
      <c r="AL98" s="140">
        <v>0</v>
      </c>
      <c r="AM98" s="140">
        <v>0</v>
      </c>
      <c r="AN98" s="140">
        <v>0</v>
      </c>
      <c r="AO98" s="140">
        <v>0</v>
      </c>
      <c r="AP98" s="140">
        <v>0</v>
      </c>
      <c r="AQ98" s="140">
        <v>0</v>
      </c>
      <c r="AR98" s="140">
        <v>0</v>
      </c>
      <c r="AS98" s="140">
        <v>3</v>
      </c>
      <c r="AT98" s="140">
        <v>0</v>
      </c>
      <c r="AU98" s="140">
        <v>0</v>
      </c>
      <c r="AV98" s="140">
        <v>0</v>
      </c>
      <c r="AW98" s="140">
        <v>0</v>
      </c>
      <c r="AX98" s="140">
        <v>0</v>
      </c>
      <c r="AY98" s="140">
        <v>0</v>
      </c>
      <c r="AZ98" s="140">
        <v>0</v>
      </c>
      <c r="BA98" s="140">
        <v>0</v>
      </c>
      <c r="BB98" s="140">
        <v>0</v>
      </c>
      <c r="BC98" s="140">
        <v>0</v>
      </c>
      <c r="BD98" s="140">
        <v>0</v>
      </c>
      <c r="BE98" s="140">
        <v>0</v>
      </c>
      <c r="BF98" s="140">
        <v>0</v>
      </c>
      <c r="BG98" s="140">
        <v>3</v>
      </c>
      <c r="BH98" s="140">
        <v>0</v>
      </c>
      <c r="BI98" s="140">
        <v>0</v>
      </c>
      <c r="BJ98" s="140">
        <v>0</v>
      </c>
      <c r="BK98" s="140">
        <v>0</v>
      </c>
      <c r="BL98" s="140">
        <v>0</v>
      </c>
      <c r="BM98" s="140">
        <v>0</v>
      </c>
      <c r="BN98" s="140">
        <v>0</v>
      </c>
      <c r="BO98" s="140">
        <v>0</v>
      </c>
      <c r="BX98" s="43">
        <v>1</v>
      </c>
      <c r="BY98" s="90">
        <f t="shared" ref="BY98:BY129" si="7">M98</f>
        <v>3</v>
      </c>
      <c r="CT98" s="90">
        <f t="shared" si="5"/>
        <v>0</v>
      </c>
      <c r="CU98" s="90">
        <f t="shared" si="6"/>
        <v>0</v>
      </c>
    </row>
    <row r="99" spans="1:99" ht="12" customHeight="1">
      <c r="A99" s="43">
        <v>6294</v>
      </c>
      <c r="B99" s="89" t="s">
        <v>312</v>
      </c>
      <c r="C99" s="89" t="s">
        <v>577</v>
      </c>
      <c r="D99" s="89" t="s">
        <v>578</v>
      </c>
      <c r="F99" s="43">
        <v>528226</v>
      </c>
      <c r="G99" s="43">
        <v>175530</v>
      </c>
      <c r="H99" s="89" t="s">
        <v>175</v>
      </c>
      <c r="I99" s="125">
        <v>43387</v>
      </c>
      <c r="J99" s="117">
        <v>43921</v>
      </c>
      <c r="K99" s="140">
        <v>1</v>
      </c>
      <c r="L99" s="140">
        <v>1</v>
      </c>
      <c r="M99" s="140">
        <v>0</v>
      </c>
      <c r="N99" s="140">
        <v>1</v>
      </c>
      <c r="O99" s="140">
        <v>0</v>
      </c>
      <c r="Q99" s="89" t="s">
        <v>579</v>
      </c>
      <c r="R99" s="43" t="s">
        <v>316</v>
      </c>
      <c r="S99" s="125">
        <v>43188</v>
      </c>
      <c r="T99" s="117">
        <v>43301</v>
      </c>
      <c r="V99" s="43" t="s">
        <v>317</v>
      </c>
      <c r="X99" s="43" t="s">
        <v>318</v>
      </c>
      <c r="Y99" s="43" t="s">
        <v>361</v>
      </c>
      <c r="Z99" s="43" t="s">
        <v>320</v>
      </c>
      <c r="AA99" s="43" t="s">
        <v>353</v>
      </c>
      <c r="AB99" s="144">
        <v>1.09999999403954E-2</v>
      </c>
      <c r="AC99" s="125">
        <v>43387</v>
      </c>
      <c r="AE99" s="117">
        <v>43921</v>
      </c>
      <c r="AF99" s="43" t="s">
        <v>75</v>
      </c>
      <c r="AG99" s="43" t="s">
        <v>322</v>
      </c>
      <c r="AJ99" s="140">
        <v>0</v>
      </c>
      <c r="AK99" s="140">
        <v>0</v>
      </c>
      <c r="AL99" s="140">
        <v>0</v>
      </c>
      <c r="AM99" s="140">
        <v>0</v>
      </c>
      <c r="AN99" s="140">
        <v>0</v>
      </c>
      <c r="AO99" s="140">
        <v>0</v>
      </c>
      <c r="AP99" s="140">
        <v>0</v>
      </c>
      <c r="AQ99" s="140">
        <v>0</v>
      </c>
      <c r="AR99" s="140">
        <v>0</v>
      </c>
      <c r="AS99" s="140">
        <v>0</v>
      </c>
      <c r="AT99" s="140">
        <v>0</v>
      </c>
      <c r="AU99" s="140">
        <v>0</v>
      </c>
      <c r="AV99" s="140">
        <v>0</v>
      </c>
      <c r="AW99" s="140">
        <v>0</v>
      </c>
      <c r="AX99" s="140">
        <v>0</v>
      </c>
      <c r="AY99" s="140">
        <v>0</v>
      </c>
      <c r="AZ99" s="140">
        <v>0</v>
      </c>
      <c r="BA99" s="140">
        <v>0</v>
      </c>
      <c r="BB99" s="140">
        <v>0</v>
      </c>
      <c r="BC99" s="140">
        <v>0</v>
      </c>
      <c r="BD99" s="140">
        <v>0</v>
      </c>
      <c r="BE99" s="140">
        <v>0</v>
      </c>
      <c r="BF99" s="140">
        <v>0</v>
      </c>
      <c r="BG99" s="140">
        <v>0</v>
      </c>
      <c r="BH99" s="140">
        <v>0</v>
      </c>
      <c r="BI99" s="140">
        <v>0</v>
      </c>
      <c r="BJ99" s="140">
        <v>0</v>
      </c>
      <c r="BK99" s="140">
        <v>0</v>
      </c>
      <c r="BL99" s="140">
        <v>0</v>
      </c>
      <c r="BM99" s="140">
        <v>0</v>
      </c>
      <c r="BN99" s="140">
        <v>0</v>
      </c>
      <c r="BO99" s="140">
        <v>0</v>
      </c>
      <c r="BX99" s="43">
        <v>1</v>
      </c>
      <c r="BY99" s="90">
        <f t="shared" si="7"/>
        <v>0</v>
      </c>
      <c r="CT99" s="90">
        <f t="shared" si="5"/>
        <v>0</v>
      </c>
      <c r="CU99" s="90">
        <f t="shared" si="6"/>
        <v>0</v>
      </c>
    </row>
    <row r="100" spans="1:99" ht="12" customHeight="1">
      <c r="A100" s="43">
        <v>6303</v>
      </c>
      <c r="B100" s="89" t="s">
        <v>312</v>
      </c>
      <c r="C100" s="89" t="s">
        <v>580</v>
      </c>
      <c r="D100" s="89" t="s">
        <v>581</v>
      </c>
      <c r="F100" s="43">
        <v>527362</v>
      </c>
      <c r="G100" s="43">
        <v>176577</v>
      </c>
      <c r="H100" s="89" t="s">
        <v>177</v>
      </c>
      <c r="I100" s="125">
        <v>43556</v>
      </c>
      <c r="J100" s="117">
        <v>43636</v>
      </c>
      <c r="K100" s="140">
        <v>0</v>
      </c>
      <c r="L100" s="140">
        <v>1</v>
      </c>
      <c r="M100" s="140">
        <v>1</v>
      </c>
      <c r="N100" s="140">
        <v>1</v>
      </c>
      <c r="O100" s="140">
        <v>1</v>
      </c>
      <c r="Q100" s="89" t="s">
        <v>582</v>
      </c>
      <c r="R100" s="43" t="s">
        <v>443</v>
      </c>
      <c r="S100" s="125">
        <v>42562</v>
      </c>
      <c r="T100" s="117">
        <v>42618</v>
      </c>
      <c r="V100" s="43" t="s">
        <v>317</v>
      </c>
      <c r="X100" s="43" t="s">
        <v>318</v>
      </c>
      <c r="Y100" s="43" t="s">
        <v>336</v>
      </c>
      <c r="Z100" s="43" t="s">
        <v>320</v>
      </c>
      <c r="AA100" s="43" t="s">
        <v>33</v>
      </c>
      <c r="AB100" s="144">
        <v>6.0000000521540598E-3</v>
      </c>
      <c r="AC100" s="125">
        <v>43556</v>
      </c>
      <c r="AD100" s="43" t="s">
        <v>329</v>
      </c>
      <c r="AE100" s="117">
        <v>43636</v>
      </c>
      <c r="AF100" s="43" t="s">
        <v>75</v>
      </c>
      <c r="AG100" s="43" t="s">
        <v>322</v>
      </c>
      <c r="AJ100" s="140">
        <v>0</v>
      </c>
      <c r="AK100" s="140">
        <v>0</v>
      </c>
      <c r="AL100" s="140">
        <v>0</v>
      </c>
      <c r="AM100" s="140">
        <v>0</v>
      </c>
      <c r="AN100" s="140">
        <v>0</v>
      </c>
      <c r="AO100" s="140">
        <v>1</v>
      </c>
      <c r="AP100" s="140">
        <v>0</v>
      </c>
      <c r="AQ100" s="140">
        <v>0</v>
      </c>
      <c r="AR100" s="140">
        <v>0</v>
      </c>
      <c r="AS100" s="140">
        <v>0</v>
      </c>
      <c r="AT100" s="140">
        <v>0</v>
      </c>
      <c r="AU100" s="140">
        <v>0</v>
      </c>
      <c r="AV100" s="140">
        <v>0</v>
      </c>
      <c r="AW100" s="140">
        <v>0</v>
      </c>
      <c r="AX100" s="140">
        <v>0</v>
      </c>
      <c r="AY100" s="140">
        <v>0</v>
      </c>
      <c r="AZ100" s="140">
        <v>0</v>
      </c>
      <c r="BA100" s="140">
        <v>0</v>
      </c>
      <c r="BB100" s="140">
        <v>0</v>
      </c>
      <c r="BC100" s="140">
        <v>1</v>
      </c>
      <c r="BD100" s="140">
        <v>0</v>
      </c>
      <c r="BE100" s="140">
        <v>0</v>
      </c>
      <c r="BF100" s="140">
        <v>0</v>
      </c>
      <c r="BG100" s="140">
        <v>0</v>
      </c>
      <c r="BH100" s="140">
        <v>0</v>
      </c>
      <c r="BI100" s="140">
        <v>0</v>
      </c>
      <c r="BJ100" s="140">
        <v>0</v>
      </c>
      <c r="BK100" s="140">
        <v>0</v>
      </c>
      <c r="BL100" s="140">
        <v>0</v>
      </c>
      <c r="BM100" s="140">
        <v>0</v>
      </c>
      <c r="BN100" s="140">
        <v>0</v>
      </c>
      <c r="BO100" s="140">
        <v>0</v>
      </c>
      <c r="BX100" s="43">
        <v>12</v>
      </c>
      <c r="BY100" s="90">
        <f t="shared" si="7"/>
        <v>1</v>
      </c>
      <c r="CT100" s="90">
        <f t="shared" si="5"/>
        <v>0</v>
      </c>
      <c r="CU100" s="90">
        <f t="shared" si="6"/>
        <v>0</v>
      </c>
    </row>
    <row r="101" spans="1:99" ht="12" customHeight="1">
      <c r="A101" s="43">
        <v>6308</v>
      </c>
      <c r="B101" s="89" t="s">
        <v>312</v>
      </c>
      <c r="C101" s="89" t="s">
        <v>583</v>
      </c>
      <c r="D101" s="89" t="s">
        <v>584</v>
      </c>
      <c r="E101" s="89" t="s">
        <v>585</v>
      </c>
      <c r="F101" s="43">
        <v>528835</v>
      </c>
      <c r="G101" s="43">
        <v>173118</v>
      </c>
      <c r="H101" s="89" t="s">
        <v>138</v>
      </c>
      <c r="I101" s="125">
        <v>43019</v>
      </c>
      <c r="J101" s="117">
        <v>43759</v>
      </c>
      <c r="K101" s="140">
        <v>0</v>
      </c>
      <c r="L101" s="140">
        <v>1</v>
      </c>
      <c r="M101" s="140">
        <v>1</v>
      </c>
      <c r="N101" s="140">
        <v>6</v>
      </c>
      <c r="O101" s="140">
        <v>4</v>
      </c>
      <c r="Q101" s="89" t="s">
        <v>586</v>
      </c>
      <c r="R101" s="43" t="s">
        <v>316</v>
      </c>
      <c r="S101" s="125">
        <v>43319</v>
      </c>
      <c r="T101" s="117">
        <v>43419</v>
      </c>
      <c r="V101" s="43" t="s">
        <v>317</v>
      </c>
      <c r="X101" s="43" t="s">
        <v>318</v>
      </c>
      <c r="Y101" s="43" t="s">
        <v>319</v>
      </c>
      <c r="Z101" s="43" t="s">
        <v>320</v>
      </c>
      <c r="AA101" s="43" t="s">
        <v>321</v>
      </c>
      <c r="AB101" s="144">
        <v>4.9999998882412902E-3</v>
      </c>
      <c r="AC101" s="125">
        <v>43019</v>
      </c>
      <c r="AE101" s="117">
        <v>43759</v>
      </c>
      <c r="AF101" s="43" t="s">
        <v>75</v>
      </c>
      <c r="AG101" s="43" t="s">
        <v>322</v>
      </c>
      <c r="AJ101" s="140">
        <v>0</v>
      </c>
      <c r="AK101" s="140">
        <v>0</v>
      </c>
      <c r="AL101" s="140">
        <v>0</v>
      </c>
      <c r="AM101" s="140">
        <v>0</v>
      </c>
      <c r="AN101" s="140">
        <v>0</v>
      </c>
      <c r="AO101" s="140">
        <v>1</v>
      </c>
      <c r="AP101" s="140">
        <v>0</v>
      </c>
      <c r="AQ101" s="140">
        <v>0</v>
      </c>
      <c r="AR101" s="140">
        <v>0</v>
      </c>
      <c r="AS101" s="140">
        <v>0</v>
      </c>
      <c r="AT101" s="140">
        <v>0</v>
      </c>
      <c r="AU101" s="140">
        <v>0</v>
      </c>
      <c r="AV101" s="140">
        <v>1</v>
      </c>
      <c r="AW101" s="140">
        <v>0</v>
      </c>
      <c r="AX101" s="140">
        <v>0</v>
      </c>
      <c r="AY101" s="140">
        <v>0</v>
      </c>
      <c r="AZ101" s="140">
        <v>0</v>
      </c>
      <c r="BA101" s="140">
        <v>0</v>
      </c>
      <c r="BB101" s="140">
        <v>0</v>
      </c>
      <c r="BC101" s="140">
        <v>0</v>
      </c>
      <c r="BD101" s="140">
        <v>0</v>
      </c>
      <c r="BE101" s="140">
        <v>0</v>
      </c>
      <c r="BF101" s="140">
        <v>0</v>
      </c>
      <c r="BG101" s="140">
        <v>0</v>
      </c>
      <c r="BH101" s="140">
        <v>0</v>
      </c>
      <c r="BI101" s="140">
        <v>0</v>
      </c>
      <c r="BJ101" s="140">
        <v>0</v>
      </c>
      <c r="BK101" s="140">
        <v>0</v>
      </c>
      <c r="BL101" s="140">
        <v>0</v>
      </c>
      <c r="BM101" s="140">
        <v>0</v>
      </c>
      <c r="BN101" s="140">
        <v>0</v>
      </c>
      <c r="BO101" s="140">
        <v>0</v>
      </c>
      <c r="BX101" s="43">
        <v>12</v>
      </c>
      <c r="BY101" s="90">
        <f t="shared" si="7"/>
        <v>1</v>
      </c>
      <c r="CT101" s="90">
        <f t="shared" si="5"/>
        <v>0</v>
      </c>
      <c r="CU101" s="90">
        <f t="shared" si="6"/>
        <v>0</v>
      </c>
    </row>
    <row r="102" spans="1:99" ht="12" customHeight="1">
      <c r="A102" s="43">
        <v>6308</v>
      </c>
      <c r="B102" s="89" t="s">
        <v>312</v>
      </c>
      <c r="C102" s="89" t="s">
        <v>583</v>
      </c>
      <c r="D102" s="89" t="s">
        <v>584</v>
      </c>
      <c r="E102" s="89" t="s">
        <v>587</v>
      </c>
      <c r="F102" s="43">
        <v>528835</v>
      </c>
      <c r="G102" s="43">
        <v>173118</v>
      </c>
      <c r="H102" s="89" t="s">
        <v>138</v>
      </c>
      <c r="I102" s="125">
        <v>43019</v>
      </c>
      <c r="J102" s="117">
        <v>43759</v>
      </c>
      <c r="K102" s="140">
        <v>2</v>
      </c>
      <c r="L102" s="140">
        <v>1</v>
      </c>
      <c r="M102" s="140">
        <v>-1</v>
      </c>
      <c r="N102" s="140">
        <v>6</v>
      </c>
      <c r="O102" s="140">
        <v>4</v>
      </c>
      <c r="Q102" s="89" t="s">
        <v>586</v>
      </c>
      <c r="R102" s="43" t="s">
        <v>316</v>
      </c>
      <c r="S102" s="125">
        <v>43319</v>
      </c>
      <c r="T102" s="117">
        <v>43419</v>
      </c>
      <c r="V102" s="43" t="s">
        <v>317</v>
      </c>
      <c r="X102" s="43" t="s">
        <v>318</v>
      </c>
      <c r="Y102" s="43" t="s">
        <v>319</v>
      </c>
      <c r="Z102" s="43" t="s">
        <v>320</v>
      </c>
      <c r="AA102" s="43" t="s">
        <v>340</v>
      </c>
      <c r="AB102" s="144">
        <v>8.0000003799796104E-3</v>
      </c>
      <c r="AC102" s="125">
        <v>43555</v>
      </c>
      <c r="AE102" s="117">
        <v>43759</v>
      </c>
      <c r="AF102" s="43" t="s">
        <v>75</v>
      </c>
      <c r="AG102" s="43" t="s">
        <v>322</v>
      </c>
      <c r="AJ102" s="140">
        <v>0</v>
      </c>
      <c r="AK102" s="140">
        <v>0</v>
      </c>
      <c r="AL102" s="140">
        <v>0</v>
      </c>
      <c r="AM102" s="140">
        <v>0</v>
      </c>
      <c r="AN102" s="140">
        <v>0</v>
      </c>
      <c r="AO102" s="140">
        <v>0</v>
      </c>
      <c r="AP102" s="140">
        <v>-1</v>
      </c>
      <c r="AQ102" s="140">
        <v>0</v>
      </c>
      <c r="AR102" s="140">
        <v>0</v>
      </c>
      <c r="AS102" s="140">
        <v>0</v>
      </c>
      <c r="AT102" s="140">
        <v>0</v>
      </c>
      <c r="AU102" s="140">
        <v>0</v>
      </c>
      <c r="AV102" s="140">
        <v>0</v>
      </c>
      <c r="AW102" s="140">
        <v>-1</v>
      </c>
      <c r="AX102" s="140">
        <v>0</v>
      </c>
      <c r="AY102" s="140">
        <v>0</v>
      </c>
      <c r="AZ102" s="140">
        <v>0</v>
      </c>
      <c r="BA102" s="140">
        <v>0</v>
      </c>
      <c r="BB102" s="140">
        <v>0</v>
      </c>
      <c r="BC102" s="140">
        <v>0</v>
      </c>
      <c r="BD102" s="140">
        <v>0</v>
      </c>
      <c r="BE102" s="140">
        <v>0</v>
      </c>
      <c r="BF102" s="140">
        <v>0</v>
      </c>
      <c r="BG102" s="140">
        <v>0</v>
      </c>
      <c r="BH102" s="140">
        <v>0</v>
      </c>
      <c r="BI102" s="140">
        <v>0</v>
      </c>
      <c r="BJ102" s="140">
        <v>0</v>
      </c>
      <c r="BK102" s="140">
        <v>0</v>
      </c>
      <c r="BL102" s="140">
        <v>0</v>
      </c>
      <c r="BM102" s="140">
        <v>0</v>
      </c>
      <c r="BN102" s="140">
        <v>0</v>
      </c>
      <c r="BO102" s="140">
        <v>0</v>
      </c>
      <c r="BX102" s="43">
        <v>12</v>
      </c>
      <c r="BY102" s="90">
        <f t="shared" si="7"/>
        <v>-1</v>
      </c>
      <c r="CT102" s="90">
        <f t="shared" si="5"/>
        <v>0</v>
      </c>
      <c r="CU102" s="90">
        <f t="shared" si="6"/>
        <v>0</v>
      </c>
    </row>
    <row r="103" spans="1:99" ht="12" customHeight="1">
      <c r="A103" s="43">
        <v>6308</v>
      </c>
      <c r="B103" s="89" t="s">
        <v>312</v>
      </c>
      <c r="C103" s="89" t="s">
        <v>583</v>
      </c>
      <c r="D103" s="89" t="s">
        <v>584</v>
      </c>
      <c r="E103" s="89" t="s">
        <v>588</v>
      </c>
      <c r="F103" s="43">
        <v>528835</v>
      </c>
      <c r="G103" s="43">
        <v>173118</v>
      </c>
      <c r="H103" s="89" t="s">
        <v>138</v>
      </c>
      <c r="I103" s="125">
        <v>43019</v>
      </c>
      <c r="J103" s="117">
        <v>43759</v>
      </c>
      <c r="K103" s="140">
        <v>0</v>
      </c>
      <c r="L103" s="140">
        <v>1</v>
      </c>
      <c r="M103" s="140">
        <v>1</v>
      </c>
      <c r="N103" s="140">
        <v>6</v>
      </c>
      <c r="O103" s="140">
        <v>4</v>
      </c>
      <c r="Q103" s="89" t="s">
        <v>586</v>
      </c>
      <c r="R103" s="43" t="s">
        <v>316</v>
      </c>
      <c r="S103" s="125">
        <v>43319</v>
      </c>
      <c r="T103" s="117">
        <v>43419</v>
      </c>
      <c r="V103" s="43" t="s">
        <v>317</v>
      </c>
      <c r="X103" s="43" t="s">
        <v>318</v>
      </c>
      <c r="Y103" s="43" t="s">
        <v>319</v>
      </c>
      <c r="Z103" s="43" t="s">
        <v>320</v>
      </c>
      <c r="AA103" s="43" t="s">
        <v>340</v>
      </c>
      <c r="AB103" s="144">
        <v>4.0000001899898104E-3</v>
      </c>
      <c r="AC103" s="125">
        <v>43555</v>
      </c>
      <c r="AE103" s="117">
        <v>43759</v>
      </c>
      <c r="AF103" s="43" t="s">
        <v>75</v>
      </c>
      <c r="AG103" s="43" t="s">
        <v>322</v>
      </c>
      <c r="AJ103" s="140">
        <v>0</v>
      </c>
      <c r="AK103" s="140">
        <v>0</v>
      </c>
      <c r="AL103" s="140">
        <v>0</v>
      </c>
      <c r="AM103" s="140">
        <v>0</v>
      </c>
      <c r="AN103" s="140">
        <v>0</v>
      </c>
      <c r="AO103" s="140">
        <v>1</v>
      </c>
      <c r="AP103" s="140">
        <v>0</v>
      </c>
      <c r="AQ103" s="140">
        <v>0</v>
      </c>
      <c r="AR103" s="140">
        <v>0</v>
      </c>
      <c r="AS103" s="140">
        <v>0</v>
      </c>
      <c r="AT103" s="140">
        <v>0</v>
      </c>
      <c r="AU103" s="140">
        <v>0</v>
      </c>
      <c r="AV103" s="140">
        <v>1</v>
      </c>
      <c r="AW103" s="140">
        <v>0</v>
      </c>
      <c r="AX103" s="140">
        <v>0</v>
      </c>
      <c r="AY103" s="140">
        <v>0</v>
      </c>
      <c r="AZ103" s="140">
        <v>0</v>
      </c>
      <c r="BA103" s="140">
        <v>0</v>
      </c>
      <c r="BB103" s="140">
        <v>0</v>
      </c>
      <c r="BC103" s="140">
        <v>0</v>
      </c>
      <c r="BD103" s="140">
        <v>0</v>
      </c>
      <c r="BE103" s="140">
        <v>0</v>
      </c>
      <c r="BF103" s="140">
        <v>0</v>
      </c>
      <c r="BG103" s="140">
        <v>0</v>
      </c>
      <c r="BH103" s="140">
        <v>0</v>
      </c>
      <c r="BI103" s="140">
        <v>0</v>
      </c>
      <c r="BJ103" s="140">
        <v>0</v>
      </c>
      <c r="BK103" s="140">
        <v>0</v>
      </c>
      <c r="BL103" s="140">
        <v>0</v>
      </c>
      <c r="BM103" s="140">
        <v>0</v>
      </c>
      <c r="BN103" s="140">
        <v>0</v>
      </c>
      <c r="BO103" s="140">
        <v>0</v>
      </c>
      <c r="BX103" s="43">
        <v>12</v>
      </c>
      <c r="BY103" s="90">
        <f t="shared" si="7"/>
        <v>1</v>
      </c>
      <c r="CT103" s="90">
        <f t="shared" si="5"/>
        <v>0</v>
      </c>
      <c r="CU103" s="90">
        <f t="shared" si="6"/>
        <v>0</v>
      </c>
    </row>
    <row r="104" spans="1:99" ht="12" customHeight="1">
      <c r="A104" s="43">
        <v>6308</v>
      </c>
      <c r="B104" s="89" t="s">
        <v>312</v>
      </c>
      <c r="C104" s="89" t="s">
        <v>583</v>
      </c>
      <c r="D104" s="89" t="s">
        <v>584</v>
      </c>
      <c r="E104" s="89" t="s">
        <v>589</v>
      </c>
      <c r="F104" s="43">
        <v>528835</v>
      </c>
      <c r="G104" s="43">
        <v>173118</v>
      </c>
      <c r="H104" s="89" t="s">
        <v>138</v>
      </c>
      <c r="I104" s="125">
        <v>43019</v>
      </c>
      <c r="J104" s="117">
        <v>43759</v>
      </c>
      <c r="K104" s="140">
        <v>0</v>
      </c>
      <c r="L104" s="140">
        <v>1</v>
      </c>
      <c r="M104" s="140">
        <v>1</v>
      </c>
      <c r="N104" s="140">
        <v>6</v>
      </c>
      <c r="O104" s="140">
        <v>4</v>
      </c>
      <c r="Q104" s="89" t="s">
        <v>586</v>
      </c>
      <c r="R104" s="43" t="s">
        <v>316</v>
      </c>
      <c r="S104" s="125">
        <v>43319</v>
      </c>
      <c r="T104" s="117">
        <v>43419</v>
      </c>
      <c r="V104" s="43" t="s">
        <v>317</v>
      </c>
      <c r="X104" s="43" t="s">
        <v>318</v>
      </c>
      <c r="Y104" s="43" t="s">
        <v>319</v>
      </c>
      <c r="Z104" s="43" t="s">
        <v>320</v>
      </c>
      <c r="AA104" s="43" t="s">
        <v>340</v>
      </c>
      <c r="AB104" s="144">
        <v>4.9999998882412902E-3</v>
      </c>
      <c r="AC104" s="125">
        <v>43555</v>
      </c>
      <c r="AE104" s="117">
        <v>43759</v>
      </c>
      <c r="AF104" s="43" t="s">
        <v>75</v>
      </c>
      <c r="AG104" s="43" t="s">
        <v>322</v>
      </c>
      <c r="AJ104" s="140">
        <v>0</v>
      </c>
      <c r="AK104" s="140">
        <v>0</v>
      </c>
      <c r="AL104" s="140">
        <v>0</v>
      </c>
      <c r="AM104" s="140">
        <v>0</v>
      </c>
      <c r="AN104" s="140">
        <v>0</v>
      </c>
      <c r="AO104" s="140">
        <v>1</v>
      </c>
      <c r="AP104" s="140">
        <v>0</v>
      </c>
      <c r="AQ104" s="140">
        <v>0</v>
      </c>
      <c r="AR104" s="140">
        <v>0</v>
      </c>
      <c r="AS104" s="140">
        <v>0</v>
      </c>
      <c r="AT104" s="140">
        <v>0</v>
      </c>
      <c r="AU104" s="140">
        <v>0</v>
      </c>
      <c r="AV104" s="140">
        <v>1</v>
      </c>
      <c r="AW104" s="140">
        <v>0</v>
      </c>
      <c r="AX104" s="140">
        <v>0</v>
      </c>
      <c r="AY104" s="140">
        <v>0</v>
      </c>
      <c r="AZ104" s="140">
        <v>0</v>
      </c>
      <c r="BA104" s="140">
        <v>0</v>
      </c>
      <c r="BB104" s="140">
        <v>0</v>
      </c>
      <c r="BC104" s="140">
        <v>0</v>
      </c>
      <c r="BD104" s="140">
        <v>0</v>
      </c>
      <c r="BE104" s="140">
        <v>0</v>
      </c>
      <c r="BF104" s="140">
        <v>0</v>
      </c>
      <c r="BG104" s="140">
        <v>0</v>
      </c>
      <c r="BH104" s="140">
        <v>0</v>
      </c>
      <c r="BI104" s="140">
        <v>0</v>
      </c>
      <c r="BJ104" s="140">
        <v>0</v>
      </c>
      <c r="BK104" s="140">
        <v>0</v>
      </c>
      <c r="BL104" s="140">
        <v>0</v>
      </c>
      <c r="BM104" s="140">
        <v>0</v>
      </c>
      <c r="BN104" s="140">
        <v>0</v>
      </c>
      <c r="BO104" s="140">
        <v>0</v>
      </c>
      <c r="BX104" s="43">
        <v>12</v>
      </c>
      <c r="BY104" s="90">
        <f t="shared" si="7"/>
        <v>1</v>
      </c>
      <c r="CT104" s="90">
        <f t="shared" si="5"/>
        <v>0</v>
      </c>
      <c r="CU104" s="90">
        <f t="shared" si="6"/>
        <v>0</v>
      </c>
    </row>
    <row r="105" spans="1:99" ht="12" customHeight="1">
      <c r="A105" s="43">
        <v>6308</v>
      </c>
      <c r="B105" s="89" t="s">
        <v>312</v>
      </c>
      <c r="C105" s="89" t="s">
        <v>583</v>
      </c>
      <c r="D105" s="89" t="s">
        <v>584</v>
      </c>
      <c r="E105" s="89" t="s">
        <v>590</v>
      </c>
      <c r="F105" s="43">
        <v>528835</v>
      </c>
      <c r="G105" s="43">
        <v>173118</v>
      </c>
      <c r="H105" s="89" t="s">
        <v>138</v>
      </c>
      <c r="I105" s="125">
        <v>43019</v>
      </c>
      <c r="J105" s="117">
        <v>43759</v>
      </c>
      <c r="K105" s="140">
        <v>0</v>
      </c>
      <c r="L105" s="140">
        <v>1</v>
      </c>
      <c r="M105" s="140">
        <v>1</v>
      </c>
      <c r="N105" s="140">
        <v>6</v>
      </c>
      <c r="O105" s="140">
        <v>4</v>
      </c>
      <c r="Q105" s="89" t="s">
        <v>586</v>
      </c>
      <c r="R105" s="43" t="s">
        <v>316</v>
      </c>
      <c r="S105" s="125">
        <v>43319</v>
      </c>
      <c r="T105" s="117">
        <v>43419</v>
      </c>
      <c r="V105" s="43" t="s">
        <v>317</v>
      </c>
      <c r="X105" s="43" t="s">
        <v>318</v>
      </c>
      <c r="Y105" s="43" t="s">
        <v>319</v>
      </c>
      <c r="Z105" s="43" t="s">
        <v>320</v>
      </c>
      <c r="AA105" s="43" t="s">
        <v>27</v>
      </c>
      <c r="AB105" s="144">
        <v>4.0000001899898104E-3</v>
      </c>
      <c r="AC105" s="125">
        <v>43555</v>
      </c>
      <c r="AE105" s="117">
        <v>43759</v>
      </c>
      <c r="AF105" s="43" t="s">
        <v>75</v>
      </c>
      <c r="AG105" s="43" t="s">
        <v>322</v>
      </c>
      <c r="AJ105" s="140">
        <v>0</v>
      </c>
      <c r="AK105" s="140">
        <v>0</v>
      </c>
      <c r="AL105" s="140">
        <v>0</v>
      </c>
      <c r="AM105" s="140">
        <v>0</v>
      </c>
      <c r="AN105" s="140">
        <v>0</v>
      </c>
      <c r="AO105" s="140">
        <v>1</v>
      </c>
      <c r="AP105" s="140">
        <v>0</v>
      </c>
      <c r="AQ105" s="140">
        <v>0</v>
      </c>
      <c r="AR105" s="140">
        <v>0</v>
      </c>
      <c r="AS105" s="140">
        <v>0</v>
      </c>
      <c r="AT105" s="140">
        <v>0</v>
      </c>
      <c r="AU105" s="140">
        <v>0</v>
      </c>
      <c r="AV105" s="140">
        <v>1</v>
      </c>
      <c r="AW105" s="140">
        <v>0</v>
      </c>
      <c r="AX105" s="140">
        <v>0</v>
      </c>
      <c r="AY105" s="140">
        <v>0</v>
      </c>
      <c r="AZ105" s="140">
        <v>0</v>
      </c>
      <c r="BA105" s="140">
        <v>0</v>
      </c>
      <c r="BB105" s="140">
        <v>0</v>
      </c>
      <c r="BC105" s="140">
        <v>0</v>
      </c>
      <c r="BD105" s="140">
        <v>0</v>
      </c>
      <c r="BE105" s="140">
        <v>0</v>
      </c>
      <c r="BF105" s="140">
        <v>0</v>
      </c>
      <c r="BG105" s="140">
        <v>0</v>
      </c>
      <c r="BH105" s="140">
        <v>0</v>
      </c>
      <c r="BI105" s="140">
        <v>0</v>
      </c>
      <c r="BJ105" s="140">
        <v>0</v>
      </c>
      <c r="BK105" s="140">
        <v>0</v>
      </c>
      <c r="BL105" s="140">
        <v>0</v>
      </c>
      <c r="BM105" s="140">
        <v>0</v>
      </c>
      <c r="BN105" s="140">
        <v>0</v>
      </c>
      <c r="BO105" s="140">
        <v>0</v>
      </c>
      <c r="BX105" s="43">
        <v>12</v>
      </c>
      <c r="BY105" s="90">
        <f t="shared" si="7"/>
        <v>1</v>
      </c>
      <c r="CT105" s="90">
        <f t="shared" si="5"/>
        <v>0</v>
      </c>
      <c r="CU105" s="90">
        <f t="shared" si="6"/>
        <v>0</v>
      </c>
    </row>
    <row r="106" spans="1:99" ht="12" customHeight="1">
      <c r="A106" s="43">
        <v>6308</v>
      </c>
      <c r="B106" s="89" t="s">
        <v>312</v>
      </c>
      <c r="C106" s="89" t="s">
        <v>583</v>
      </c>
      <c r="D106" s="89" t="s">
        <v>584</v>
      </c>
      <c r="E106" s="89" t="s">
        <v>591</v>
      </c>
      <c r="F106" s="43">
        <v>528835</v>
      </c>
      <c r="G106" s="43">
        <v>173118</v>
      </c>
      <c r="H106" s="89" t="s">
        <v>138</v>
      </c>
      <c r="I106" s="125">
        <v>43019</v>
      </c>
      <c r="J106" s="117">
        <v>43759</v>
      </c>
      <c r="K106" s="140">
        <v>0</v>
      </c>
      <c r="L106" s="140">
        <v>1</v>
      </c>
      <c r="M106" s="140">
        <v>1</v>
      </c>
      <c r="N106" s="140">
        <v>6</v>
      </c>
      <c r="O106" s="140">
        <v>4</v>
      </c>
      <c r="Q106" s="89" t="s">
        <v>586</v>
      </c>
      <c r="R106" s="43" t="s">
        <v>316</v>
      </c>
      <c r="S106" s="125">
        <v>43319</v>
      </c>
      <c r="T106" s="117">
        <v>43419</v>
      </c>
      <c r="V106" s="43" t="s">
        <v>317</v>
      </c>
      <c r="X106" s="43" t="s">
        <v>318</v>
      </c>
      <c r="Y106" s="43" t="s">
        <v>319</v>
      </c>
      <c r="Z106" s="43" t="s">
        <v>320</v>
      </c>
      <c r="AA106" s="43" t="s">
        <v>340</v>
      </c>
      <c r="AB106" s="144">
        <v>8.0000003799796104E-3</v>
      </c>
      <c r="AC106" s="125">
        <v>43555</v>
      </c>
      <c r="AE106" s="117">
        <v>43759</v>
      </c>
      <c r="AF106" s="43" t="s">
        <v>75</v>
      </c>
      <c r="AG106" s="43" t="s">
        <v>322</v>
      </c>
      <c r="AJ106" s="140">
        <v>0</v>
      </c>
      <c r="AK106" s="140">
        <v>0</v>
      </c>
      <c r="AL106" s="140">
        <v>0</v>
      </c>
      <c r="AM106" s="140">
        <v>0</v>
      </c>
      <c r="AN106" s="140">
        <v>0</v>
      </c>
      <c r="AO106" s="140">
        <v>0</v>
      </c>
      <c r="AP106" s="140">
        <v>1</v>
      </c>
      <c r="AQ106" s="140">
        <v>0</v>
      </c>
      <c r="AR106" s="140">
        <v>0</v>
      </c>
      <c r="AS106" s="140">
        <v>0</v>
      </c>
      <c r="AT106" s="140">
        <v>0</v>
      </c>
      <c r="AU106" s="140">
        <v>0</v>
      </c>
      <c r="AV106" s="140">
        <v>0</v>
      </c>
      <c r="AW106" s="140">
        <v>1</v>
      </c>
      <c r="AX106" s="140">
        <v>0</v>
      </c>
      <c r="AY106" s="140">
        <v>0</v>
      </c>
      <c r="AZ106" s="140">
        <v>0</v>
      </c>
      <c r="BA106" s="140">
        <v>0</v>
      </c>
      <c r="BB106" s="140">
        <v>0</v>
      </c>
      <c r="BC106" s="140">
        <v>0</v>
      </c>
      <c r="BD106" s="140">
        <v>0</v>
      </c>
      <c r="BE106" s="140">
        <v>0</v>
      </c>
      <c r="BF106" s="140">
        <v>0</v>
      </c>
      <c r="BG106" s="140">
        <v>0</v>
      </c>
      <c r="BH106" s="140">
        <v>0</v>
      </c>
      <c r="BI106" s="140">
        <v>0</v>
      </c>
      <c r="BJ106" s="140">
        <v>0</v>
      </c>
      <c r="BK106" s="140">
        <v>0</v>
      </c>
      <c r="BL106" s="140">
        <v>0</v>
      </c>
      <c r="BM106" s="140">
        <v>0</v>
      </c>
      <c r="BN106" s="140">
        <v>0</v>
      </c>
      <c r="BO106" s="140">
        <v>0</v>
      </c>
      <c r="BX106" s="43">
        <v>12</v>
      </c>
      <c r="BY106" s="90">
        <f t="shared" si="7"/>
        <v>1</v>
      </c>
      <c r="CT106" s="90">
        <f t="shared" si="5"/>
        <v>0</v>
      </c>
      <c r="CU106" s="90">
        <f t="shared" si="6"/>
        <v>0</v>
      </c>
    </row>
    <row r="107" spans="1:99" ht="12" customHeight="1">
      <c r="A107" s="43">
        <v>6356</v>
      </c>
      <c r="B107" s="89" t="s">
        <v>312</v>
      </c>
      <c r="C107" s="89" t="s">
        <v>592</v>
      </c>
      <c r="D107" s="89" t="s">
        <v>593</v>
      </c>
      <c r="F107" s="43">
        <v>525993</v>
      </c>
      <c r="G107" s="43">
        <v>172744</v>
      </c>
      <c r="H107" s="89" t="s">
        <v>168</v>
      </c>
      <c r="I107" s="125">
        <v>42825</v>
      </c>
      <c r="J107" s="117">
        <v>43598</v>
      </c>
      <c r="K107" s="140">
        <v>0</v>
      </c>
      <c r="L107" s="140">
        <v>2</v>
      </c>
      <c r="M107" s="140">
        <v>2</v>
      </c>
      <c r="N107" s="140">
        <v>2</v>
      </c>
      <c r="O107" s="140">
        <v>2</v>
      </c>
      <c r="Q107" s="89" t="s">
        <v>594</v>
      </c>
      <c r="R107" s="43" t="s">
        <v>316</v>
      </c>
      <c r="S107" s="125">
        <v>42619</v>
      </c>
      <c r="T107" s="117">
        <v>42674</v>
      </c>
      <c r="V107" s="43" t="s">
        <v>317</v>
      </c>
      <c r="X107" s="43" t="s">
        <v>318</v>
      </c>
      <c r="Y107" s="43" t="s">
        <v>361</v>
      </c>
      <c r="Z107" s="43" t="s">
        <v>320</v>
      </c>
      <c r="AA107" s="43" t="s">
        <v>353</v>
      </c>
      <c r="AB107" s="144">
        <v>2.4000000208616298E-2</v>
      </c>
      <c r="AC107" s="125">
        <v>42825</v>
      </c>
      <c r="AE107" s="117">
        <v>43598</v>
      </c>
      <c r="AF107" s="43" t="s">
        <v>75</v>
      </c>
      <c r="AG107" s="43" t="s">
        <v>322</v>
      </c>
      <c r="AJ107" s="140">
        <v>0</v>
      </c>
      <c r="AK107" s="140">
        <v>0</v>
      </c>
      <c r="AL107" s="140">
        <v>0</v>
      </c>
      <c r="AM107" s="140">
        <v>0</v>
      </c>
      <c r="AN107" s="140">
        <v>0</v>
      </c>
      <c r="AO107" s="140">
        <v>0</v>
      </c>
      <c r="AP107" s="140">
        <v>0</v>
      </c>
      <c r="AQ107" s="140">
        <v>2</v>
      </c>
      <c r="AR107" s="140">
        <v>0</v>
      </c>
      <c r="AS107" s="140">
        <v>0</v>
      </c>
      <c r="AT107" s="140">
        <v>0</v>
      </c>
      <c r="AU107" s="140">
        <v>0</v>
      </c>
      <c r="AV107" s="140">
        <v>0</v>
      </c>
      <c r="AW107" s="140">
        <v>0</v>
      </c>
      <c r="AX107" s="140">
        <v>0</v>
      </c>
      <c r="AY107" s="140">
        <v>0</v>
      </c>
      <c r="AZ107" s="140">
        <v>0</v>
      </c>
      <c r="BA107" s="140">
        <v>0</v>
      </c>
      <c r="BB107" s="140">
        <v>0</v>
      </c>
      <c r="BC107" s="140">
        <v>0</v>
      </c>
      <c r="BD107" s="140">
        <v>0</v>
      </c>
      <c r="BE107" s="140">
        <v>2</v>
      </c>
      <c r="BF107" s="140">
        <v>0</v>
      </c>
      <c r="BG107" s="140">
        <v>0</v>
      </c>
      <c r="BH107" s="140">
        <v>0</v>
      </c>
      <c r="BI107" s="140">
        <v>0</v>
      </c>
      <c r="BJ107" s="140">
        <v>0</v>
      </c>
      <c r="BK107" s="140">
        <v>0</v>
      </c>
      <c r="BL107" s="140">
        <v>0</v>
      </c>
      <c r="BM107" s="140">
        <v>0</v>
      </c>
      <c r="BN107" s="140">
        <v>0</v>
      </c>
      <c r="BO107" s="140">
        <v>0</v>
      </c>
      <c r="BX107" s="43">
        <v>1</v>
      </c>
      <c r="BY107" s="90">
        <f t="shared" si="7"/>
        <v>2</v>
      </c>
      <c r="CT107" s="90">
        <f t="shared" si="5"/>
        <v>0</v>
      </c>
      <c r="CU107" s="90">
        <f t="shared" si="6"/>
        <v>0</v>
      </c>
    </row>
    <row r="108" spans="1:99" ht="12" customHeight="1">
      <c r="A108" s="43">
        <v>6362</v>
      </c>
      <c r="B108" s="89" t="s">
        <v>312</v>
      </c>
      <c r="C108" s="89" t="s">
        <v>595</v>
      </c>
      <c r="D108" s="89" t="s">
        <v>596</v>
      </c>
      <c r="F108" s="43">
        <v>527854</v>
      </c>
      <c r="G108" s="43">
        <v>175303</v>
      </c>
      <c r="H108" s="89" t="s">
        <v>175</v>
      </c>
      <c r="I108" s="125">
        <v>42825</v>
      </c>
      <c r="J108" s="117">
        <v>43588</v>
      </c>
      <c r="K108" s="140">
        <v>1</v>
      </c>
      <c r="L108" s="140">
        <v>3</v>
      </c>
      <c r="M108" s="140">
        <v>2</v>
      </c>
      <c r="N108" s="140">
        <v>3</v>
      </c>
      <c r="O108" s="140">
        <v>2</v>
      </c>
      <c r="Q108" s="89" t="s">
        <v>597</v>
      </c>
      <c r="R108" s="43" t="s">
        <v>316</v>
      </c>
      <c r="S108" s="125">
        <v>42612</v>
      </c>
      <c r="T108" s="117">
        <v>42702</v>
      </c>
      <c r="V108" s="43" t="s">
        <v>317</v>
      </c>
      <c r="X108" s="43" t="s">
        <v>318</v>
      </c>
      <c r="Y108" s="43" t="s">
        <v>319</v>
      </c>
      <c r="Z108" s="43" t="s">
        <v>320</v>
      </c>
      <c r="AA108" s="43" t="s">
        <v>20</v>
      </c>
      <c r="AB108" s="144">
        <v>1.09999999403954E-2</v>
      </c>
      <c r="AC108" s="125">
        <v>42825</v>
      </c>
      <c r="AE108" s="117">
        <v>43588</v>
      </c>
      <c r="AF108" s="43" t="s">
        <v>75</v>
      </c>
      <c r="AG108" s="43" t="s">
        <v>322</v>
      </c>
      <c r="AJ108" s="140">
        <v>0</v>
      </c>
      <c r="AK108" s="140">
        <v>0</v>
      </c>
      <c r="AL108" s="140">
        <v>0</v>
      </c>
      <c r="AM108" s="140">
        <v>0</v>
      </c>
      <c r="AN108" s="140">
        <v>0</v>
      </c>
      <c r="AO108" s="140">
        <v>2</v>
      </c>
      <c r="AP108" s="140">
        <v>0</v>
      </c>
      <c r="AQ108" s="140">
        <v>1</v>
      </c>
      <c r="AR108" s="140">
        <v>-1</v>
      </c>
      <c r="AS108" s="140">
        <v>0</v>
      </c>
      <c r="AT108" s="140">
        <v>0</v>
      </c>
      <c r="AU108" s="140">
        <v>0</v>
      </c>
      <c r="AV108" s="140">
        <v>2</v>
      </c>
      <c r="AW108" s="140">
        <v>0</v>
      </c>
      <c r="AX108" s="140">
        <v>1</v>
      </c>
      <c r="AY108" s="140">
        <v>0</v>
      </c>
      <c r="AZ108" s="140">
        <v>0</v>
      </c>
      <c r="BA108" s="140">
        <v>0</v>
      </c>
      <c r="BB108" s="140">
        <v>0</v>
      </c>
      <c r="BC108" s="140">
        <v>0</v>
      </c>
      <c r="BD108" s="140">
        <v>0</v>
      </c>
      <c r="BE108" s="140">
        <v>0</v>
      </c>
      <c r="BF108" s="140">
        <v>-1</v>
      </c>
      <c r="BG108" s="140">
        <v>0</v>
      </c>
      <c r="BH108" s="140">
        <v>0</v>
      </c>
      <c r="BI108" s="140">
        <v>0</v>
      </c>
      <c r="BJ108" s="140">
        <v>0</v>
      </c>
      <c r="BK108" s="140">
        <v>0</v>
      </c>
      <c r="BL108" s="140">
        <v>0</v>
      </c>
      <c r="BM108" s="140">
        <v>0</v>
      </c>
      <c r="BN108" s="140">
        <v>0</v>
      </c>
      <c r="BO108" s="140">
        <v>0</v>
      </c>
      <c r="BX108" s="43">
        <v>12</v>
      </c>
      <c r="BY108" s="90">
        <f t="shared" si="7"/>
        <v>2</v>
      </c>
      <c r="CT108" s="90">
        <f t="shared" si="5"/>
        <v>0</v>
      </c>
      <c r="CU108" s="90">
        <f t="shared" si="6"/>
        <v>0</v>
      </c>
    </row>
    <row r="109" spans="1:99" ht="12" customHeight="1">
      <c r="A109" s="43">
        <v>6363</v>
      </c>
      <c r="B109" s="89" t="s">
        <v>312</v>
      </c>
      <c r="C109" s="89" t="s">
        <v>598</v>
      </c>
      <c r="D109" s="89" t="s">
        <v>599</v>
      </c>
      <c r="F109" s="43">
        <v>526647</v>
      </c>
      <c r="G109" s="43">
        <v>173996</v>
      </c>
      <c r="H109" s="89" t="s">
        <v>179</v>
      </c>
      <c r="I109" s="125">
        <v>42979</v>
      </c>
      <c r="J109" s="117">
        <v>43585</v>
      </c>
      <c r="K109" s="140">
        <v>0</v>
      </c>
      <c r="L109" s="140">
        <v>14</v>
      </c>
      <c r="M109" s="140">
        <v>14</v>
      </c>
      <c r="N109" s="140">
        <v>18</v>
      </c>
      <c r="O109" s="140">
        <v>18</v>
      </c>
      <c r="P109" s="43" t="s">
        <v>329</v>
      </c>
      <c r="Q109" s="89" t="s">
        <v>600</v>
      </c>
      <c r="R109" s="43" t="s">
        <v>392</v>
      </c>
      <c r="S109" s="125">
        <v>42614</v>
      </c>
      <c r="T109" s="117">
        <v>42899</v>
      </c>
      <c r="V109" s="43" t="s">
        <v>317</v>
      </c>
      <c r="X109" s="43" t="s">
        <v>318</v>
      </c>
      <c r="Y109" s="43" t="s">
        <v>361</v>
      </c>
      <c r="Z109" s="43" t="s">
        <v>361</v>
      </c>
      <c r="AA109" s="43" t="s">
        <v>320</v>
      </c>
      <c r="AB109" s="144">
        <v>0.29100000858306901</v>
      </c>
      <c r="AC109" s="125">
        <v>42979</v>
      </c>
      <c r="AE109" s="117">
        <v>43585</v>
      </c>
      <c r="AF109" s="43" t="s">
        <v>75</v>
      </c>
      <c r="AG109" s="43" t="s">
        <v>322</v>
      </c>
      <c r="AH109" s="43" t="s">
        <v>601</v>
      </c>
      <c r="AJ109" s="140">
        <v>0</v>
      </c>
      <c r="AK109" s="140">
        <v>14</v>
      </c>
      <c r="AL109" s="140">
        <v>0</v>
      </c>
      <c r="AM109" s="140">
        <v>0</v>
      </c>
      <c r="AN109" s="140">
        <v>0</v>
      </c>
      <c r="AO109" s="140">
        <v>2</v>
      </c>
      <c r="AP109" s="140">
        <v>3</v>
      </c>
      <c r="AQ109" s="140">
        <v>3</v>
      </c>
      <c r="AR109" s="140">
        <v>6</v>
      </c>
      <c r="AS109" s="140">
        <v>0</v>
      </c>
      <c r="AT109" s="140">
        <v>0</v>
      </c>
      <c r="AU109" s="140">
        <v>0</v>
      </c>
      <c r="AV109" s="140">
        <v>2</v>
      </c>
      <c r="AW109" s="140">
        <v>3</v>
      </c>
      <c r="AX109" s="140">
        <v>3</v>
      </c>
      <c r="AY109" s="140">
        <v>0</v>
      </c>
      <c r="AZ109" s="140">
        <v>0</v>
      </c>
      <c r="BA109" s="140">
        <v>0</v>
      </c>
      <c r="BB109" s="140">
        <v>0</v>
      </c>
      <c r="BC109" s="140">
        <v>0</v>
      </c>
      <c r="BD109" s="140">
        <v>0</v>
      </c>
      <c r="BE109" s="140">
        <v>0</v>
      </c>
      <c r="BF109" s="140">
        <v>6</v>
      </c>
      <c r="BG109" s="140">
        <v>0</v>
      </c>
      <c r="BH109" s="140">
        <v>0</v>
      </c>
      <c r="BI109" s="140">
        <v>0</v>
      </c>
      <c r="BJ109" s="140">
        <v>0</v>
      </c>
      <c r="BK109" s="140">
        <v>0</v>
      </c>
      <c r="BL109" s="140">
        <v>0</v>
      </c>
      <c r="BM109" s="140">
        <v>0</v>
      </c>
      <c r="BN109" s="140">
        <v>0</v>
      </c>
      <c r="BO109" s="140">
        <v>0</v>
      </c>
      <c r="BX109" s="43">
        <v>1</v>
      </c>
      <c r="BY109" s="90">
        <f t="shared" si="7"/>
        <v>14</v>
      </c>
      <c r="CT109" s="90">
        <f t="shared" si="5"/>
        <v>0</v>
      </c>
      <c r="CU109" s="90">
        <f t="shared" si="6"/>
        <v>0</v>
      </c>
    </row>
    <row r="110" spans="1:99" ht="12" customHeight="1">
      <c r="A110" s="43">
        <v>6363</v>
      </c>
      <c r="B110" s="89" t="s">
        <v>312</v>
      </c>
      <c r="C110" s="89" t="s">
        <v>598</v>
      </c>
      <c r="D110" s="89" t="s">
        <v>599</v>
      </c>
      <c r="F110" s="43">
        <v>526647</v>
      </c>
      <c r="G110" s="43">
        <v>173996</v>
      </c>
      <c r="H110" s="89" t="s">
        <v>179</v>
      </c>
      <c r="I110" s="125">
        <v>42979</v>
      </c>
      <c r="J110" s="117">
        <v>43585</v>
      </c>
      <c r="K110" s="140">
        <v>0</v>
      </c>
      <c r="L110" s="140">
        <v>4</v>
      </c>
      <c r="M110" s="140">
        <v>4</v>
      </c>
      <c r="N110" s="140">
        <v>18</v>
      </c>
      <c r="O110" s="140">
        <v>18</v>
      </c>
      <c r="P110" s="43" t="s">
        <v>329</v>
      </c>
      <c r="Q110" s="89" t="s">
        <v>600</v>
      </c>
      <c r="R110" s="43" t="s">
        <v>392</v>
      </c>
      <c r="S110" s="125">
        <v>42614</v>
      </c>
      <c r="T110" s="117">
        <v>42899</v>
      </c>
      <c r="V110" s="43" t="s">
        <v>317</v>
      </c>
      <c r="X110" s="43" t="s">
        <v>318</v>
      </c>
      <c r="Y110" s="43" t="s">
        <v>361</v>
      </c>
      <c r="Z110" s="43" t="s">
        <v>361</v>
      </c>
      <c r="AA110" s="43" t="s">
        <v>320</v>
      </c>
      <c r="AB110" s="144">
        <v>8.2999996840953799E-2</v>
      </c>
      <c r="AC110" s="125">
        <v>42979</v>
      </c>
      <c r="AE110" s="117">
        <v>43585</v>
      </c>
      <c r="AF110" s="43" t="s">
        <v>54</v>
      </c>
      <c r="AG110" s="43" t="s">
        <v>399</v>
      </c>
      <c r="AH110" s="43" t="s">
        <v>601</v>
      </c>
      <c r="AJ110" s="140">
        <v>0</v>
      </c>
      <c r="AK110" s="140">
        <v>4</v>
      </c>
      <c r="AL110" s="140">
        <v>0</v>
      </c>
      <c r="AM110" s="140">
        <v>0</v>
      </c>
      <c r="AN110" s="140">
        <v>0</v>
      </c>
      <c r="AO110" s="140">
        <v>1</v>
      </c>
      <c r="AP110" s="140">
        <v>2</v>
      </c>
      <c r="AQ110" s="140">
        <v>1</v>
      </c>
      <c r="AR110" s="140">
        <v>0</v>
      </c>
      <c r="AS110" s="140">
        <v>0</v>
      </c>
      <c r="AT110" s="140">
        <v>0</v>
      </c>
      <c r="AU110" s="140">
        <v>0</v>
      </c>
      <c r="AV110" s="140">
        <v>1</v>
      </c>
      <c r="AW110" s="140">
        <v>2</v>
      </c>
      <c r="AX110" s="140">
        <v>1</v>
      </c>
      <c r="AY110" s="140">
        <v>0</v>
      </c>
      <c r="AZ110" s="140">
        <v>0</v>
      </c>
      <c r="BA110" s="140">
        <v>0</v>
      </c>
      <c r="BB110" s="140">
        <v>0</v>
      </c>
      <c r="BC110" s="140">
        <v>0</v>
      </c>
      <c r="BD110" s="140">
        <v>0</v>
      </c>
      <c r="BE110" s="140">
        <v>0</v>
      </c>
      <c r="BF110" s="140">
        <v>0</v>
      </c>
      <c r="BG110" s="140">
        <v>0</v>
      </c>
      <c r="BH110" s="140">
        <v>0</v>
      </c>
      <c r="BI110" s="140">
        <v>0</v>
      </c>
      <c r="BJ110" s="140">
        <v>0</v>
      </c>
      <c r="BK110" s="140">
        <v>0</v>
      </c>
      <c r="BL110" s="140">
        <v>0</v>
      </c>
      <c r="BM110" s="140">
        <v>0</v>
      </c>
      <c r="BN110" s="140">
        <v>0</v>
      </c>
      <c r="BO110" s="140">
        <v>0</v>
      </c>
      <c r="BX110" s="43">
        <v>1</v>
      </c>
      <c r="BY110" s="90">
        <f t="shared" si="7"/>
        <v>4</v>
      </c>
      <c r="CT110" s="90">
        <f t="shared" si="5"/>
        <v>0</v>
      </c>
      <c r="CU110" s="90">
        <f t="shared" si="6"/>
        <v>0</v>
      </c>
    </row>
    <row r="111" spans="1:99" ht="12" customHeight="1">
      <c r="A111" s="43">
        <v>6371</v>
      </c>
      <c r="B111" s="89" t="s">
        <v>312</v>
      </c>
      <c r="C111" s="89" t="s">
        <v>602</v>
      </c>
      <c r="D111" s="89" t="s">
        <v>603</v>
      </c>
      <c r="F111" s="43">
        <v>525949</v>
      </c>
      <c r="G111" s="43">
        <v>174999</v>
      </c>
      <c r="H111" s="89" t="s">
        <v>170</v>
      </c>
      <c r="I111" s="125">
        <v>42983</v>
      </c>
      <c r="J111" s="117">
        <v>43735</v>
      </c>
      <c r="K111" s="140">
        <v>0</v>
      </c>
      <c r="L111" s="140">
        <v>3</v>
      </c>
      <c r="M111" s="140">
        <v>3</v>
      </c>
      <c r="N111" s="140">
        <v>3</v>
      </c>
      <c r="O111" s="140">
        <v>3</v>
      </c>
      <c r="Q111" s="89" t="s">
        <v>604</v>
      </c>
      <c r="R111" s="43" t="s">
        <v>316</v>
      </c>
      <c r="S111" s="125">
        <v>42683</v>
      </c>
      <c r="T111" s="117">
        <v>42823</v>
      </c>
      <c r="V111" s="43" t="s">
        <v>317</v>
      </c>
      <c r="X111" s="43" t="s">
        <v>318</v>
      </c>
      <c r="Y111" s="43" t="s">
        <v>319</v>
      </c>
      <c r="Z111" s="43" t="s">
        <v>320</v>
      </c>
      <c r="AA111" s="43" t="s">
        <v>33</v>
      </c>
      <c r="AB111" s="144">
        <v>7.0000002160668399E-3</v>
      </c>
      <c r="AC111" s="125">
        <v>42983</v>
      </c>
      <c r="AE111" s="117">
        <v>43735</v>
      </c>
      <c r="AF111" s="43" t="s">
        <v>75</v>
      </c>
      <c r="AG111" s="43" t="s">
        <v>322</v>
      </c>
      <c r="AJ111" s="140">
        <v>0</v>
      </c>
      <c r="AK111" s="140">
        <v>0</v>
      </c>
      <c r="AL111" s="140">
        <v>0</v>
      </c>
      <c r="AM111" s="140">
        <v>0</v>
      </c>
      <c r="AN111" s="140">
        <v>0</v>
      </c>
      <c r="AO111" s="140">
        <v>1</v>
      </c>
      <c r="AP111" s="140">
        <v>1</v>
      </c>
      <c r="AQ111" s="140">
        <v>1</v>
      </c>
      <c r="AR111" s="140">
        <v>0</v>
      </c>
      <c r="AS111" s="140">
        <v>0</v>
      </c>
      <c r="AT111" s="140">
        <v>0</v>
      </c>
      <c r="AU111" s="140">
        <v>0</v>
      </c>
      <c r="AV111" s="140">
        <v>1</v>
      </c>
      <c r="AW111" s="140">
        <v>1</v>
      </c>
      <c r="AX111" s="140">
        <v>1</v>
      </c>
      <c r="AY111" s="140">
        <v>0</v>
      </c>
      <c r="AZ111" s="140">
        <v>0</v>
      </c>
      <c r="BA111" s="140">
        <v>0</v>
      </c>
      <c r="BB111" s="140">
        <v>0</v>
      </c>
      <c r="BC111" s="140">
        <v>0</v>
      </c>
      <c r="BD111" s="140">
        <v>0</v>
      </c>
      <c r="BE111" s="140">
        <v>0</v>
      </c>
      <c r="BF111" s="140">
        <v>0</v>
      </c>
      <c r="BG111" s="140">
        <v>0</v>
      </c>
      <c r="BH111" s="140">
        <v>0</v>
      </c>
      <c r="BI111" s="140">
        <v>0</v>
      </c>
      <c r="BJ111" s="140">
        <v>0</v>
      </c>
      <c r="BK111" s="140">
        <v>0</v>
      </c>
      <c r="BL111" s="140">
        <v>0</v>
      </c>
      <c r="BM111" s="140">
        <v>0</v>
      </c>
      <c r="BN111" s="140">
        <v>0</v>
      </c>
      <c r="BO111" s="140">
        <v>0</v>
      </c>
      <c r="BX111" s="43">
        <v>12</v>
      </c>
      <c r="BY111" s="90">
        <f t="shared" si="7"/>
        <v>3</v>
      </c>
      <c r="CT111" s="90">
        <f t="shared" si="5"/>
        <v>0</v>
      </c>
      <c r="CU111" s="90">
        <f t="shared" si="6"/>
        <v>0</v>
      </c>
    </row>
    <row r="112" spans="1:99" ht="12" customHeight="1">
      <c r="A112" s="43">
        <v>6376</v>
      </c>
      <c r="B112" s="89" t="s">
        <v>312</v>
      </c>
      <c r="C112" s="89" t="s">
        <v>605</v>
      </c>
      <c r="D112" s="89" t="s">
        <v>606</v>
      </c>
      <c r="F112" s="43">
        <v>527524</v>
      </c>
      <c r="G112" s="43">
        <v>173106</v>
      </c>
      <c r="H112" s="89" t="s">
        <v>173</v>
      </c>
      <c r="I112" s="125">
        <v>43581</v>
      </c>
      <c r="J112" s="117">
        <v>43649</v>
      </c>
      <c r="K112" s="140">
        <v>1</v>
      </c>
      <c r="L112" s="140">
        <v>2</v>
      </c>
      <c r="M112" s="140">
        <v>1</v>
      </c>
      <c r="N112" s="140">
        <v>2</v>
      </c>
      <c r="O112" s="140">
        <v>1</v>
      </c>
      <c r="Q112" s="89" t="s">
        <v>607</v>
      </c>
      <c r="R112" s="43" t="s">
        <v>316</v>
      </c>
      <c r="S112" s="125">
        <v>42716</v>
      </c>
      <c r="T112" s="117">
        <v>42793</v>
      </c>
      <c r="V112" s="43" t="s">
        <v>317</v>
      </c>
      <c r="X112" s="43" t="s">
        <v>318</v>
      </c>
      <c r="Y112" s="43" t="s">
        <v>348</v>
      </c>
      <c r="Z112" s="43" t="s">
        <v>320</v>
      </c>
      <c r="AA112" s="43" t="s">
        <v>321</v>
      </c>
      <c r="AB112" s="144">
        <v>8.0000003799796104E-3</v>
      </c>
      <c r="AC112" s="125">
        <v>43581</v>
      </c>
      <c r="AD112" s="43" t="s">
        <v>329</v>
      </c>
      <c r="AE112" s="117">
        <v>43649</v>
      </c>
      <c r="AF112" s="43" t="s">
        <v>75</v>
      </c>
      <c r="AG112" s="43" t="s">
        <v>322</v>
      </c>
      <c r="AJ112" s="140">
        <v>0</v>
      </c>
      <c r="AK112" s="140">
        <v>0</v>
      </c>
      <c r="AL112" s="140">
        <v>0</v>
      </c>
      <c r="AM112" s="140">
        <v>0</v>
      </c>
      <c r="AN112" s="140">
        <v>0</v>
      </c>
      <c r="AO112" s="140">
        <v>1</v>
      </c>
      <c r="AP112" s="140">
        <v>0</v>
      </c>
      <c r="AQ112" s="140">
        <v>0</v>
      </c>
      <c r="AR112" s="140">
        <v>0</v>
      </c>
      <c r="AS112" s="140">
        <v>0</v>
      </c>
      <c r="AT112" s="140">
        <v>0</v>
      </c>
      <c r="AU112" s="140">
        <v>0</v>
      </c>
      <c r="AV112" s="140">
        <v>1</v>
      </c>
      <c r="AW112" s="140">
        <v>0</v>
      </c>
      <c r="AX112" s="140">
        <v>0</v>
      </c>
      <c r="AY112" s="140">
        <v>0</v>
      </c>
      <c r="AZ112" s="140">
        <v>0</v>
      </c>
      <c r="BA112" s="140">
        <v>0</v>
      </c>
      <c r="BB112" s="140">
        <v>0</v>
      </c>
      <c r="BC112" s="140">
        <v>0</v>
      </c>
      <c r="BD112" s="140">
        <v>0</v>
      </c>
      <c r="BE112" s="140">
        <v>0</v>
      </c>
      <c r="BF112" s="140">
        <v>0</v>
      </c>
      <c r="BG112" s="140">
        <v>0</v>
      </c>
      <c r="BH112" s="140">
        <v>0</v>
      </c>
      <c r="BI112" s="140">
        <v>0</v>
      </c>
      <c r="BJ112" s="140">
        <v>0</v>
      </c>
      <c r="BK112" s="140">
        <v>0</v>
      </c>
      <c r="BL112" s="140">
        <v>0</v>
      </c>
      <c r="BM112" s="140">
        <v>0</v>
      </c>
      <c r="BN112" s="140">
        <v>0</v>
      </c>
      <c r="BO112" s="140">
        <v>0</v>
      </c>
      <c r="BX112" s="43">
        <v>12</v>
      </c>
      <c r="BY112" s="90">
        <f t="shared" si="7"/>
        <v>1</v>
      </c>
      <c r="CT112" s="90">
        <f t="shared" si="5"/>
        <v>0</v>
      </c>
      <c r="CU112" s="90">
        <f t="shared" si="6"/>
        <v>0</v>
      </c>
    </row>
    <row r="113" spans="1:99" ht="12" customHeight="1">
      <c r="A113" s="43">
        <v>6388</v>
      </c>
      <c r="B113" s="89" t="s">
        <v>312</v>
      </c>
      <c r="C113" s="89" t="s">
        <v>608</v>
      </c>
      <c r="D113" s="89" t="s">
        <v>609</v>
      </c>
      <c r="F113" s="43">
        <v>527765</v>
      </c>
      <c r="G113" s="43">
        <v>175737</v>
      </c>
      <c r="H113" s="89" t="s">
        <v>175</v>
      </c>
      <c r="I113" s="125">
        <v>43346</v>
      </c>
      <c r="J113" s="117">
        <v>43685</v>
      </c>
      <c r="K113" s="140">
        <v>1</v>
      </c>
      <c r="L113" s="140">
        <v>1</v>
      </c>
      <c r="M113" s="140">
        <v>0</v>
      </c>
      <c r="N113" s="140">
        <v>2</v>
      </c>
      <c r="O113" s="140">
        <v>1</v>
      </c>
      <c r="Q113" s="89" t="s">
        <v>610</v>
      </c>
      <c r="R113" s="43" t="s">
        <v>316</v>
      </c>
      <c r="S113" s="125">
        <v>42668</v>
      </c>
      <c r="T113" s="117">
        <v>42724</v>
      </c>
      <c r="V113" s="43" t="s">
        <v>317</v>
      </c>
      <c r="X113" s="43" t="s">
        <v>318</v>
      </c>
      <c r="Y113" s="43" t="s">
        <v>319</v>
      </c>
      <c r="Z113" s="43" t="s">
        <v>320</v>
      </c>
      <c r="AA113" s="43" t="s">
        <v>321</v>
      </c>
      <c r="AB113" s="144">
        <v>7.0000002160668399E-3</v>
      </c>
      <c r="AC113" s="125">
        <v>43364</v>
      </c>
      <c r="AE113" s="117">
        <v>43685</v>
      </c>
      <c r="AF113" s="43" t="s">
        <v>75</v>
      </c>
      <c r="AG113" s="43" t="s">
        <v>322</v>
      </c>
      <c r="AJ113" s="140">
        <v>0</v>
      </c>
      <c r="AK113" s="140">
        <v>0</v>
      </c>
      <c r="AL113" s="140">
        <v>0</v>
      </c>
      <c r="AM113" s="140">
        <v>0</v>
      </c>
      <c r="AN113" s="140">
        <v>0</v>
      </c>
      <c r="AO113" s="140">
        <v>0</v>
      </c>
      <c r="AP113" s="140">
        <v>-1</v>
      </c>
      <c r="AQ113" s="140">
        <v>1</v>
      </c>
      <c r="AR113" s="140">
        <v>0</v>
      </c>
      <c r="AS113" s="140">
        <v>0</v>
      </c>
      <c r="AT113" s="140">
        <v>0</v>
      </c>
      <c r="AU113" s="140">
        <v>0</v>
      </c>
      <c r="AV113" s="140">
        <v>0</v>
      </c>
      <c r="AW113" s="140">
        <v>-1</v>
      </c>
      <c r="AX113" s="140">
        <v>1</v>
      </c>
      <c r="AY113" s="140">
        <v>0</v>
      </c>
      <c r="AZ113" s="140">
        <v>0</v>
      </c>
      <c r="BA113" s="140">
        <v>0</v>
      </c>
      <c r="BB113" s="140">
        <v>0</v>
      </c>
      <c r="BC113" s="140">
        <v>0</v>
      </c>
      <c r="BD113" s="140">
        <v>0</v>
      </c>
      <c r="BE113" s="140">
        <v>0</v>
      </c>
      <c r="BF113" s="140">
        <v>0</v>
      </c>
      <c r="BG113" s="140">
        <v>0</v>
      </c>
      <c r="BH113" s="140">
        <v>0</v>
      </c>
      <c r="BI113" s="140">
        <v>0</v>
      </c>
      <c r="BJ113" s="140">
        <v>0</v>
      </c>
      <c r="BK113" s="140">
        <v>0</v>
      </c>
      <c r="BL113" s="140">
        <v>0</v>
      </c>
      <c r="BM113" s="140">
        <v>0</v>
      </c>
      <c r="BN113" s="140">
        <v>0</v>
      </c>
      <c r="BO113" s="140">
        <v>0</v>
      </c>
      <c r="BX113" s="43">
        <v>12</v>
      </c>
      <c r="BY113" s="90">
        <f t="shared" si="7"/>
        <v>0</v>
      </c>
      <c r="CT113" s="90">
        <f t="shared" si="5"/>
        <v>0</v>
      </c>
      <c r="CU113" s="90">
        <f t="shared" si="6"/>
        <v>0</v>
      </c>
    </row>
    <row r="114" spans="1:99" ht="12" customHeight="1">
      <c r="A114" s="43">
        <v>6392</v>
      </c>
      <c r="B114" s="89" t="s">
        <v>312</v>
      </c>
      <c r="C114" s="89" t="s">
        <v>611</v>
      </c>
      <c r="D114" s="89" t="s">
        <v>612</v>
      </c>
      <c r="F114" s="43">
        <v>528007</v>
      </c>
      <c r="G114" s="43">
        <v>175012</v>
      </c>
      <c r="H114" s="89" t="s">
        <v>174</v>
      </c>
      <c r="I114" s="125">
        <v>43556</v>
      </c>
      <c r="J114" s="117">
        <v>43921</v>
      </c>
      <c r="K114" s="140">
        <v>2</v>
      </c>
      <c r="L114" s="140">
        <v>2</v>
      </c>
      <c r="M114" s="140">
        <v>0</v>
      </c>
      <c r="N114" s="140">
        <v>2</v>
      </c>
      <c r="O114" s="140">
        <v>0</v>
      </c>
      <c r="Q114" s="89" t="s">
        <v>613</v>
      </c>
      <c r="R114" s="43" t="s">
        <v>316</v>
      </c>
      <c r="S114" s="125">
        <v>42674</v>
      </c>
      <c r="T114" s="117">
        <v>42726</v>
      </c>
      <c r="V114" s="43" t="s">
        <v>317</v>
      </c>
      <c r="X114" s="43" t="s">
        <v>318</v>
      </c>
      <c r="Y114" s="43" t="s">
        <v>319</v>
      </c>
      <c r="Z114" s="43" t="s">
        <v>320</v>
      </c>
      <c r="AA114" s="43" t="s">
        <v>20</v>
      </c>
      <c r="AB114" s="144">
        <v>1.9999999552965199E-2</v>
      </c>
      <c r="AC114" s="125">
        <v>43556</v>
      </c>
      <c r="AD114" s="43" t="s">
        <v>329</v>
      </c>
      <c r="AE114" s="117">
        <v>43921</v>
      </c>
      <c r="AF114" s="43" t="s">
        <v>75</v>
      </c>
      <c r="AG114" s="43" t="s">
        <v>322</v>
      </c>
      <c r="AJ114" s="140">
        <v>0</v>
      </c>
      <c r="AK114" s="140">
        <v>0</v>
      </c>
      <c r="AL114" s="140">
        <v>0</v>
      </c>
      <c r="AM114" s="140">
        <v>0</v>
      </c>
      <c r="AN114" s="140">
        <v>-1</v>
      </c>
      <c r="AO114" s="140">
        <v>0</v>
      </c>
      <c r="AP114" s="140">
        <v>0</v>
      </c>
      <c r="AQ114" s="140">
        <v>2</v>
      </c>
      <c r="AR114" s="140">
        <v>-1</v>
      </c>
      <c r="AS114" s="140">
        <v>0</v>
      </c>
      <c r="AT114" s="140">
        <v>0</v>
      </c>
      <c r="AU114" s="140">
        <v>-1</v>
      </c>
      <c r="AV114" s="140">
        <v>0</v>
      </c>
      <c r="AW114" s="140">
        <v>0</v>
      </c>
      <c r="AX114" s="140">
        <v>2</v>
      </c>
      <c r="AY114" s="140">
        <v>0</v>
      </c>
      <c r="AZ114" s="140">
        <v>0</v>
      </c>
      <c r="BA114" s="140">
        <v>0</v>
      </c>
      <c r="BB114" s="140">
        <v>0</v>
      </c>
      <c r="BC114" s="140">
        <v>0</v>
      </c>
      <c r="BD114" s="140">
        <v>0</v>
      </c>
      <c r="BE114" s="140">
        <v>0</v>
      </c>
      <c r="BF114" s="140">
        <v>-1</v>
      </c>
      <c r="BG114" s="140">
        <v>0</v>
      </c>
      <c r="BH114" s="140">
        <v>0</v>
      </c>
      <c r="BI114" s="140">
        <v>0</v>
      </c>
      <c r="BJ114" s="140">
        <v>0</v>
      </c>
      <c r="BK114" s="140">
        <v>0</v>
      </c>
      <c r="BL114" s="140">
        <v>0</v>
      </c>
      <c r="BM114" s="140">
        <v>0</v>
      </c>
      <c r="BN114" s="140">
        <v>0</v>
      </c>
      <c r="BO114" s="140">
        <v>0</v>
      </c>
      <c r="BX114" s="43">
        <v>12</v>
      </c>
      <c r="BY114" s="90">
        <f t="shared" si="7"/>
        <v>0</v>
      </c>
      <c r="CT114" s="90">
        <f t="shared" si="5"/>
        <v>0</v>
      </c>
      <c r="CU114" s="90">
        <f t="shared" si="6"/>
        <v>0</v>
      </c>
    </row>
    <row r="115" spans="1:99" ht="12" customHeight="1">
      <c r="A115" s="43">
        <v>6401</v>
      </c>
      <c r="B115" s="89" t="s">
        <v>312</v>
      </c>
      <c r="C115" s="89" t="s">
        <v>614</v>
      </c>
      <c r="D115" s="89" t="s">
        <v>615</v>
      </c>
      <c r="F115" s="43">
        <v>527976</v>
      </c>
      <c r="G115" s="43">
        <v>170842</v>
      </c>
      <c r="H115" s="89" t="s">
        <v>172</v>
      </c>
      <c r="I115" s="125">
        <v>43405</v>
      </c>
      <c r="J115" s="117">
        <v>43840</v>
      </c>
      <c r="K115" s="140">
        <v>1</v>
      </c>
      <c r="L115" s="140">
        <v>5</v>
      </c>
      <c r="M115" s="140">
        <v>4</v>
      </c>
      <c r="N115" s="140">
        <v>5</v>
      </c>
      <c r="O115" s="140">
        <v>4</v>
      </c>
      <c r="Q115" s="89" t="s">
        <v>616</v>
      </c>
      <c r="R115" s="43" t="s">
        <v>316</v>
      </c>
      <c r="S115" s="125">
        <v>42877</v>
      </c>
      <c r="T115" s="117">
        <v>43003</v>
      </c>
      <c r="V115" s="43" t="s">
        <v>317</v>
      </c>
      <c r="X115" s="43" t="s">
        <v>318</v>
      </c>
      <c r="Y115" s="43" t="s">
        <v>319</v>
      </c>
      <c r="Z115" s="43" t="s">
        <v>320</v>
      </c>
      <c r="AA115" s="43" t="s">
        <v>20</v>
      </c>
      <c r="AB115" s="144">
        <v>3.29999998211861E-2</v>
      </c>
      <c r="AC115" s="125">
        <v>43405</v>
      </c>
      <c r="AE115" s="117">
        <v>43840</v>
      </c>
      <c r="AF115" s="43" t="s">
        <v>75</v>
      </c>
      <c r="AG115" s="43" t="s">
        <v>322</v>
      </c>
      <c r="AJ115" s="140">
        <v>0</v>
      </c>
      <c r="AK115" s="140">
        <v>0</v>
      </c>
      <c r="AL115" s="140">
        <v>0</v>
      </c>
      <c r="AM115" s="140">
        <v>0</v>
      </c>
      <c r="AN115" s="140">
        <v>0</v>
      </c>
      <c r="AO115" s="140">
        <v>0</v>
      </c>
      <c r="AP115" s="140">
        <v>2</v>
      </c>
      <c r="AQ115" s="140">
        <v>3</v>
      </c>
      <c r="AR115" s="140">
        <v>0</v>
      </c>
      <c r="AS115" s="140">
        <v>-1</v>
      </c>
      <c r="AT115" s="140">
        <v>0</v>
      </c>
      <c r="AU115" s="140">
        <v>0</v>
      </c>
      <c r="AV115" s="140">
        <v>0</v>
      </c>
      <c r="AW115" s="140">
        <v>2</v>
      </c>
      <c r="AX115" s="140">
        <v>3</v>
      </c>
      <c r="AY115" s="140">
        <v>0</v>
      </c>
      <c r="AZ115" s="140">
        <v>0</v>
      </c>
      <c r="BA115" s="140">
        <v>0</v>
      </c>
      <c r="BB115" s="140">
        <v>0</v>
      </c>
      <c r="BC115" s="140">
        <v>0</v>
      </c>
      <c r="BD115" s="140">
        <v>0</v>
      </c>
      <c r="BE115" s="140">
        <v>0</v>
      </c>
      <c r="BF115" s="140">
        <v>0</v>
      </c>
      <c r="BG115" s="140">
        <v>-1</v>
      </c>
      <c r="BH115" s="140">
        <v>0</v>
      </c>
      <c r="BI115" s="140">
        <v>0</v>
      </c>
      <c r="BJ115" s="140">
        <v>0</v>
      </c>
      <c r="BK115" s="140">
        <v>0</v>
      </c>
      <c r="BL115" s="140">
        <v>0</v>
      </c>
      <c r="BM115" s="140">
        <v>0</v>
      </c>
      <c r="BN115" s="140">
        <v>0</v>
      </c>
      <c r="BO115" s="140">
        <v>0</v>
      </c>
      <c r="BX115" s="43">
        <v>12</v>
      </c>
      <c r="BY115" s="90">
        <f t="shared" si="7"/>
        <v>4</v>
      </c>
      <c r="CT115" s="90">
        <f t="shared" si="5"/>
        <v>0</v>
      </c>
      <c r="CU115" s="90">
        <f t="shared" si="6"/>
        <v>0</v>
      </c>
    </row>
    <row r="116" spans="1:99" ht="12" customHeight="1">
      <c r="A116" s="43">
        <v>6406</v>
      </c>
      <c r="B116" s="89" t="s">
        <v>312</v>
      </c>
      <c r="C116" s="89" t="s">
        <v>617</v>
      </c>
      <c r="D116" s="89" t="s">
        <v>618</v>
      </c>
      <c r="F116" s="43">
        <v>524844</v>
      </c>
      <c r="G116" s="43">
        <v>174634</v>
      </c>
      <c r="H116" s="89" t="s">
        <v>169</v>
      </c>
      <c r="I116" s="125">
        <v>43921</v>
      </c>
      <c r="J116" s="117">
        <v>43921</v>
      </c>
      <c r="K116" s="140">
        <v>0</v>
      </c>
      <c r="L116" s="140">
        <v>1</v>
      </c>
      <c r="M116" s="140">
        <v>1</v>
      </c>
      <c r="N116" s="140">
        <v>1</v>
      </c>
      <c r="O116" s="140">
        <v>1</v>
      </c>
      <c r="Q116" s="89" t="s">
        <v>619</v>
      </c>
      <c r="R116" s="43" t="s">
        <v>620</v>
      </c>
      <c r="S116" s="125">
        <v>42706</v>
      </c>
      <c r="T116" s="117">
        <v>42761</v>
      </c>
      <c r="V116" s="43" t="s">
        <v>317</v>
      </c>
      <c r="X116" s="43" t="s">
        <v>318</v>
      </c>
      <c r="Y116" s="43" t="s">
        <v>336</v>
      </c>
      <c r="Z116" s="43" t="s">
        <v>320</v>
      </c>
      <c r="AA116" s="43" t="s">
        <v>30</v>
      </c>
      <c r="AB116" s="144">
        <v>4.0000001899898104E-3</v>
      </c>
      <c r="AC116" s="125">
        <v>43921</v>
      </c>
      <c r="AD116" s="43" t="s">
        <v>329</v>
      </c>
      <c r="AE116" s="117">
        <v>43921</v>
      </c>
      <c r="AF116" s="43" t="s">
        <v>75</v>
      </c>
      <c r="AG116" s="43" t="s">
        <v>322</v>
      </c>
      <c r="AJ116" s="140">
        <v>0</v>
      </c>
      <c r="AK116" s="140">
        <v>0</v>
      </c>
      <c r="AL116" s="140">
        <v>0</v>
      </c>
      <c r="AM116" s="140">
        <v>0</v>
      </c>
      <c r="AN116" s="140">
        <v>0</v>
      </c>
      <c r="AO116" s="140">
        <v>1</v>
      </c>
      <c r="AP116" s="140">
        <v>0</v>
      </c>
      <c r="AQ116" s="140">
        <v>0</v>
      </c>
      <c r="AR116" s="140">
        <v>0</v>
      </c>
      <c r="AS116" s="140">
        <v>0</v>
      </c>
      <c r="AT116" s="140">
        <v>0</v>
      </c>
      <c r="AU116" s="140">
        <v>0</v>
      </c>
      <c r="AV116" s="140">
        <v>1</v>
      </c>
      <c r="AW116" s="140">
        <v>0</v>
      </c>
      <c r="AX116" s="140">
        <v>0</v>
      </c>
      <c r="AY116" s="140">
        <v>0</v>
      </c>
      <c r="AZ116" s="140">
        <v>0</v>
      </c>
      <c r="BA116" s="140">
        <v>0</v>
      </c>
      <c r="BB116" s="140">
        <v>0</v>
      </c>
      <c r="BC116" s="140">
        <v>0</v>
      </c>
      <c r="BD116" s="140">
        <v>0</v>
      </c>
      <c r="BE116" s="140">
        <v>0</v>
      </c>
      <c r="BF116" s="140">
        <v>0</v>
      </c>
      <c r="BG116" s="140">
        <v>0</v>
      </c>
      <c r="BH116" s="140">
        <v>0</v>
      </c>
      <c r="BI116" s="140">
        <v>0</v>
      </c>
      <c r="BJ116" s="140">
        <v>0</v>
      </c>
      <c r="BK116" s="140">
        <v>0</v>
      </c>
      <c r="BL116" s="140">
        <v>0</v>
      </c>
      <c r="BM116" s="140">
        <v>0</v>
      </c>
      <c r="BN116" s="140">
        <v>0</v>
      </c>
      <c r="BO116" s="140">
        <v>0</v>
      </c>
      <c r="BX116" s="43">
        <v>12</v>
      </c>
      <c r="BY116" s="90">
        <f t="shared" si="7"/>
        <v>1</v>
      </c>
      <c r="CT116" s="90">
        <f t="shared" si="5"/>
        <v>0</v>
      </c>
      <c r="CU116" s="90">
        <f t="shared" si="6"/>
        <v>0</v>
      </c>
    </row>
    <row r="117" spans="1:99" ht="12" customHeight="1">
      <c r="A117" s="43">
        <v>6417</v>
      </c>
      <c r="B117" s="89" t="s">
        <v>312</v>
      </c>
      <c r="C117" s="89" t="s">
        <v>621</v>
      </c>
      <c r="D117" s="89" t="s">
        <v>622</v>
      </c>
      <c r="F117" s="43">
        <v>527317</v>
      </c>
      <c r="G117" s="43">
        <v>176327</v>
      </c>
      <c r="H117" s="89" t="s">
        <v>177</v>
      </c>
      <c r="I117" s="125">
        <v>43555</v>
      </c>
      <c r="J117" s="117">
        <v>43921</v>
      </c>
      <c r="K117" s="140">
        <v>0</v>
      </c>
      <c r="L117" s="140">
        <v>1</v>
      </c>
      <c r="M117" s="140">
        <v>1</v>
      </c>
      <c r="N117" s="140">
        <v>1</v>
      </c>
      <c r="O117" s="140">
        <v>1</v>
      </c>
      <c r="Q117" s="89" t="s">
        <v>623</v>
      </c>
      <c r="R117" s="43" t="s">
        <v>316</v>
      </c>
      <c r="S117" s="125">
        <v>42634</v>
      </c>
      <c r="T117" s="117">
        <v>42793</v>
      </c>
      <c r="V117" s="43" t="s">
        <v>317</v>
      </c>
      <c r="X117" s="43" t="s">
        <v>318</v>
      </c>
      <c r="Y117" s="43" t="s">
        <v>379</v>
      </c>
      <c r="Z117" s="43" t="s">
        <v>320</v>
      </c>
      <c r="AA117" s="43" t="s">
        <v>340</v>
      </c>
      <c r="AB117" s="144">
        <v>3.0000000260770299E-3</v>
      </c>
      <c r="AC117" s="125">
        <v>43555</v>
      </c>
      <c r="AE117" s="117">
        <v>43921</v>
      </c>
      <c r="AF117" s="43" t="s">
        <v>75</v>
      </c>
      <c r="AG117" s="43" t="s">
        <v>322</v>
      </c>
      <c r="AJ117" s="140">
        <v>0</v>
      </c>
      <c r="AK117" s="140">
        <v>0</v>
      </c>
      <c r="AL117" s="140">
        <v>0</v>
      </c>
      <c r="AM117" s="140">
        <v>0</v>
      </c>
      <c r="AN117" s="140">
        <v>0</v>
      </c>
      <c r="AO117" s="140">
        <v>1</v>
      </c>
      <c r="AP117" s="140">
        <v>0</v>
      </c>
      <c r="AQ117" s="140">
        <v>0</v>
      </c>
      <c r="AR117" s="140">
        <v>0</v>
      </c>
      <c r="AS117" s="140">
        <v>0</v>
      </c>
      <c r="AT117" s="140">
        <v>0</v>
      </c>
      <c r="AU117" s="140">
        <v>0</v>
      </c>
      <c r="AV117" s="140">
        <v>1</v>
      </c>
      <c r="AW117" s="140">
        <v>0</v>
      </c>
      <c r="AX117" s="140">
        <v>0</v>
      </c>
      <c r="AY117" s="140">
        <v>0</v>
      </c>
      <c r="AZ117" s="140">
        <v>0</v>
      </c>
      <c r="BA117" s="140">
        <v>0</v>
      </c>
      <c r="BB117" s="140">
        <v>0</v>
      </c>
      <c r="BC117" s="140">
        <v>0</v>
      </c>
      <c r="BD117" s="140">
        <v>0</v>
      </c>
      <c r="BE117" s="140">
        <v>0</v>
      </c>
      <c r="BF117" s="140">
        <v>0</v>
      </c>
      <c r="BG117" s="140">
        <v>0</v>
      </c>
      <c r="BH117" s="140">
        <v>0</v>
      </c>
      <c r="BI117" s="140">
        <v>0</v>
      </c>
      <c r="BJ117" s="140">
        <v>0</v>
      </c>
      <c r="BK117" s="140">
        <v>0</v>
      </c>
      <c r="BL117" s="140">
        <v>0</v>
      </c>
      <c r="BM117" s="140">
        <v>0</v>
      </c>
      <c r="BN117" s="140">
        <v>0</v>
      </c>
      <c r="BO117" s="140">
        <v>0</v>
      </c>
      <c r="BX117" s="43">
        <v>12</v>
      </c>
      <c r="BY117" s="90">
        <f t="shared" si="7"/>
        <v>1</v>
      </c>
      <c r="CT117" s="90">
        <f t="shared" si="5"/>
        <v>0</v>
      </c>
      <c r="CU117" s="90">
        <f t="shared" si="6"/>
        <v>0</v>
      </c>
    </row>
    <row r="118" spans="1:99" ht="12" customHeight="1">
      <c r="A118" s="43">
        <v>6431</v>
      </c>
      <c r="B118" s="89" t="s">
        <v>312</v>
      </c>
      <c r="C118" s="89" t="s">
        <v>624</v>
      </c>
      <c r="D118" s="89" t="s">
        <v>625</v>
      </c>
      <c r="F118" s="43">
        <v>524445</v>
      </c>
      <c r="G118" s="43">
        <v>174363</v>
      </c>
      <c r="H118" s="89" t="s">
        <v>169</v>
      </c>
      <c r="I118" s="125">
        <v>42825</v>
      </c>
      <c r="J118" s="117">
        <v>43810</v>
      </c>
      <c r="K118" s="140">
        <v>1</v>
      </c>
      <c r="L118" s="140">
        <v>9</v>
      </c>
      <c r="M118" s="140">
        <v>8</v>
      </c>
      <c r="N118" s="140">
        <v>9</v>
      </c>
      <c r="O118" s="140">
        <v>8</v>
      </c>
      <c r="Q118" s="89" t="s">
        <v>626</v>
      </c>
      <c r="R118" s="43" t="s">
        <v>316</v>
      </c>
      <c r="S118" s="125">
        <v>42663</v>
      </c>
      <c r="T118" s="117">
        <v>42818</v>
      </c>
      <c r="V118" s="43" t="s">
        <v>317</v>
      </c>
      <c r="X118" s="43" t="s">
        <v>318</v>
      </c>
      <c r="Y118" s="43" t="s">
        <v>361</v>
      </c>
      <c r="Z118" s="43" t="s">
        <v>320</v>
      </c>
      <c r="AA118" s="43" t="s">
        <v>353</v>
      </c>
      <c r="AB118" s="144">
        <v>7.8000001609325395E-2</v>
      </c>
      <c r="AC118" s="125">
        <v>42825</v>
      </c>
      <c r="AE118" s="117">
        <v>43810</v>
      </c>
      <c r="AF118" s="43" t="s">
        <v>75</v>
      </c>
      <c r="AG118" s="43" t="s">
        <v>322</v>
      </c>
      <c r="AJ118" s="140">
        <v>0</v>
      </c>
      <c r="AK118" s="140">
        <v>0</v>
      </c>
      <c r="AL118" s="140">
        <v>0</v>
      </c>
      <c r="AM118" s="140">
        <v>0</v>
      </c>
      <c r="AN118" s="140">
        <v>0</v>
      </c>
      <c r="AO118" s="140">
        <v>1</v>
      </c>
      <c r="AP118" s="140">
        <v>4</v>
      </c>
      <c r="AQ118" s="140">
        <v>4</v>
      </c>
      <c r="AR118" s="140">
        <v>-1</v>
      </c>
      <c r="AS118" s="140">
        <v>0</v>
      </c>
      <c r="AT118" s="140">
        <v>0</v>
      </c>
      <c r="AU118" s="140">
        <v>0</v>
      </c>
      <c r="AV118" s="140">
        <v>1</v>
      </c>
      <c r="AW118" s="140">
        <v>4</v>
      </c>
      <c r="AX118" s="140">
        <v>4</v>
      </c>
      <c r="AY118" s="140">
        <v>0</v>
      </c>
      <c r="AZ118" s="140">
        <v>0</v>
      </c>
      <c r="BA118" s="140">
        <v>0</v>
      </c>
      <c r="BB118" s="140">
        <v>0</v>
      </c>
      <c r="BC118" s="140">
        <v>0</v>
      </c>
      <c r="BD118" s="140">
        <v>0</v>
      </c>
      <c r="BE118" s="140">
        <v>0</v>
      </c>
      <c r="BF118" s="140">
        <v>-1</v>
      </c>
      <c r="BG118" s="140">
        <v>0</v>
      </c>
      <c r="BH118" s="140">
        <v>0</v>
      </c>
      <c r="BI118" s="140">
        <v>0</v>
      </c>
      <c r="BJ118" s="140">
        <v>0</v>
      </c>
      <c r="BK118" s="140">
        <v>0</v>
      </c>
      <c r="BL118" s="140">
        <v>0</v>
      </c>
      <c r="BM118" s="140">
        <v>0</v>
      </c>
      <c r="BN118" s="140">
        <v>0</v>
      </c>
      <c r="BO118" s="140">
        <v>0</v>
      </c>
      <c r="BX118" s="43">
        <v>1</v>
      </c>
      <c r="BY118" s="90">
        <f t="shared" si="7"/>
        <v>8</v>
      </c>
      <c r="CT118" s="90">
        <f t="shared" si="5"/>
        <v>0</v>
      </c>
      <c r="CU118" s="90">
        <f t="shared" si="6"/>
        <v>0</v>
      </c>
    </row>
    <row r="119" spans="1:99" ht="12" customHeight="1">
      <c r="A119" s="43">
        <v>6433</v>
      </c>
      <c r="B119" s="89" t="s">
        <v>312</v>
      </c>
      <c r="C119" s="89" t="s">
        <v>627</v>
      </c>
      <c r="D119" s="89" t="s">
        <v>628</v>
      </c>
      <c r="F119" s="43">
        <v>522309</v>
      </c>
      <c r="G119" s="43">
        <v>173207</v>
      </c>
      <c r="H119" s="89" t="s">
        <v>149</v>
      </c>
      <c r="I119" s="125">
        <v>43190</v>
      </c>
      <c r="J119" s="117">
        <v>43575</v>
      </c>
      <c r="K119" s="140">
        <v>0</v>
      </c>
      <c r="L119" s="140">
        <v>6</v>
      </c>
      <c r="M119" s="140">
        <v>6</v>
      </c>
      <c r="N119" s="140">
        <v>6</v>
      </c>
      <c r="O119" s="140">
        <v>6</v>
      </c>
      <c r="Q119" s="89" t="s">
        <v>629</v>
      </c>
      <c r="R119" s="43" t="s">
        <v>360</v>
      </c>
      <c r="S119" s="125">
        <v>43619</v>
      </c>
      <c r="T119" s="117">
        <v>43767</v>
      </c>
      <c r="U119" s="43" t="s">
        <v>329</v>
      </c>
      <c r="V119" s="43" t="s">
        <v>317</v>
      </c>
      <c r="X119" s="43" t="s">
        <v>318</v>
      </c>
      <c r="Y119" s="43" t="s">
        <v>361</v>
      </c>
      <c r="Z119" s="43" t="s">
        <v>320</v>
      </c>
      <c r="AA119" s="43" t="s">
        <v>353</v>
      </c>
      <c r="AB119" s="144">
        <v>3.20000015199184E-2</v>
      </c>
      <c r="AC119" s="125">
        <v>43190</v>
      </c>
      <c r="AE119" s="117">
        <v>43575</v>
      </c>
      <c r="AF119" s="43" t="s">
        <v>75</v>
      </c>
      <c r="AG119" s="43" t="s">
        <v>322</v>
      </c>
      <c r="AJ119" s="140">
        <v>0</v>
      </c>
      <c r="AK119" s="140">
        <v>0</v>
      </c>
      <c r="AL119" s="140">
        <v>0</v>
      </c>
      <c r="AM119" s="140">
        <v>0</v>
      </c>
      <c r="AN119" s="140">
        <v>0</v>
      </c>
      <c r="AO119" s="140">
        <v>0</v>
      </c>
      <c r="AP119" s="140">
        <v>6</v>
      </c>
      <c r="AQ119" s="140">
        <v>0</v>
      </c>
      <c r="AR119" s="140">
        <v>0</v>
      </c>
      <c r="AS119" s="140">
        <v>0</v>
      </c>
      <c r="AT119" s="140">
        <v>0</v>
      </c>
      <c r="AU119" s="140">
        <v>0</v>
      </c>
      <c r="AV119" s="140">
        <v>0</v>
      </c>
      <c r="AW119" s="140">
        <v>6</v>
      </c>
      <c r="AX119" s="140">
        <v>0</v>
      </c>
      <c r="AY119" s="140">
        <v>0</v>
      </c>
      <c r="AZ119" s="140">
        <v>0</v>
      </c>
      <c r="BA119" s="140">
        <v>0</v>
      </c>
      <c r="BB119" s="140">
        <v>0</v>
      </c>
      <c r="BC119" s="140">
        <v>0</v>
      </c>
      <c r="BD119" s="140">
        <v>0</v>
      </c>
      <c r="BE119" s="140">
        <v>0</v>
      </c>
      <c r="BF119" s="140">
        <v>0</v>
      </c>
      <c r="BG119" s="140">
        <v>0</v>
      </c>
      <c r="BH119" s="140">
        <v>0</v>
      </c>
      <c r="BI119" s="140">
        <v>0</v>
      </c>
      <c r="BJ119" s="140">
        <v>0</v>
      </c>
      <c r="BK119" s="140">
        <v>0</v>
      </c>
      <c r="BL119" s="140">
        <v>0</v>
      </c>
      <c r="BM119" s="140">
        <v>0</v>
      </c>
      <c r="BN119" s="140">
        <v>0</v>
      </c>
      <c r="BO119" s="140">
        <v>0</v>
      </c>
      <c r="BX119" s="43">
        <v>1</v>
      </c>
      <c r="BY119" s="90">
        <f t="shared" si="7"/>
        <v>6</v>
      </c>
      <c r="CT119" s="90">
        <f t="shared" si="5"/>
        <v>0</v>
      </c>
      <c r="CU119" s="90">
        <f t="shared" si="6"/>
        <v>0</v>
      </c>
    </row>
    <row r="120" spans="1:99" ht="12" customHeight="1">
      <c r="A120" s="43">
        <v>6452</v>
      </c>
      <c r="B120" s="89" t="s">
        <v>312</v>
      </c>
      <c r="C120" s="89" t="s">
        <v>630</v>
      </c>
      <c r="D120" s="89" t="s">
        <v>631</v>
      </c>
      <c r="F120" s="43">
        <v>526112</v>
      </c>
      <c r="G120" s="43">
        <v>172454</v>
      </c>
      <c r="H120" s="89" t="s">
        <v>168</v>
      </c>
      <c r="I120" s="125">
        <v>43210</v>
      </c>
      <c r="J120" s="117">
        <v>43769</v>
      </c>
      <c r="K120" s="140">
        <v>0</v>
      </c>
      <c r="L120" s="140">
        <v>8</v>
      </c>
      <c r="M120" s="140">
        <v>8</v>
      </c>
      <c r="N120" s="140">
        <v>8</v>
      </c>
      <c r="O120" s="140">
        <v>8</v>
      </c>
      <c r="Q120" s="89" t="s">
        <v>632</v>
      </c>
      <c r="R120" s="43" t="s">
        <v>316</v>
      </c>
      <c r="S120" s="125">
        <v>42877</v>
      </c>
      <c r="T120" s="117">
        <v>43063</v>
      </c>
      <c r="V120" s="43" t="s">
        <v>317</v>
      </c>
      <c r="X120" s="43" t="s">
        <v>318</v>
      </c>
      <c r="Y120" s="43" t="s">
        <v>361</v>
      </c>
      <c r="Z120" s="43" t="s">
        <v>320</v>
      </c>
      <c r="AA120" s="43" t="s">
        <v>353</v>
      </c>
      <c r="AB120" s="144">
        <v>2.5000000372528999E-2</v>
      </c>
      <c r="AC120" s="125">
        <v>43210</v>
      </c>
      <c r="AE120" s="117">
        <v>43769</v>
      </c>
      <c r="AF120" s="43" t="s">
        <v>75</v>
      </c>
      <c r="AG120" s="43" t="s">
        <v>322</v>
      </c>
      <c r="AJ120" s="140">
        <v>0</v>
      </c>
      <c r="AK120" s="140">
        <v>0</v>
      </c>
      <c r="AL120" s="140">
        <v>0</v>
      </c>
      <c r="AM120" s="140">
        <v>0</v>
      </c>
      <c r="AN120" s="140">
        <v>0</v>
      </c>
      <c r="AO120" s="140">
        <v>2</v>
      </c>
      <c r="AP120" s="140">
        <v>6</v>
      </c>
      <c r="AQ120" s="140">
        <v>0</v>
      </c>
      <c r="AR120" s="140">
        <v>0</v>
      </c>
      <c r="AS120" s="140">
        <v>0</v>
      </c>
      <c r="AT120" s="140">
        <v>0</v>
      </c>
      <c r="AU120" s="140">
        <v>0</v>
      </c>
      <c r="AV120" s="140">
        <v>2</v>
      </c>
      <c r="AW120" s="140">
        <v>6</v>
      </c>
      <c r="AX120" s="140">
        <v>0</v>
      </c>
      <c r="AY120" s="140">
        <v>0</v>
      </c>
      <c r="AZ120" s="140">
        <v>0</v>
      </c>
      <c r="BA120" s="140">
        <v>0</v>
      </c>
      <c r="BB120" s="140">
        <v>0</v>
      </c>
      <c r="BC120" s="140">
        <v>0</v>
      </c>
      <c r="BD120" s="140">
        <v>0</v>
      </c>
      <c r="BE120" s="140">
        <v>0</v>
      </c>
      <c r="BF120" s="140">
        <v>0</v>
      </c>
      <c r="BG120" s="140">
        <v>0</v>
      </c>
      <c r="BH120" s="140">
        <v>0</v>
      </c>
      <c r="BI120" s="140">
        <v>0</v>
      </c>
      <c r="BJ120" s="140">
        <v>0</v>
      </c>
      <c r="BK120" s="140">
        <v>0</v>
      </c>
      <c r="BL120" s="140">
        <v>0</v>
      </c>
      <c r="BM120" s="140">
        <v>0</v>
      </c>
      <c r="BN120" s="140">
        <v>0</v>
      </c>
      <c r="BO120" s="140">
        <v>0</v>
      </c>
      <c r="BW120" s="43" t="s">
        <v>329</v>
      </c>
      <c r="BX120" s="43">
        <v>1</v>
      </c>
      <c r="BY120" s="90">
        <f t="shared" si="7"/>
        <v>8</v>
      </c>
      <c r="CT120" s="90">
        <f t="shared" si="5"/>
        <v>0</v>
      </c>
      <c r="CU120" s="90">
        <f t="shared" si="6"/>
        <v>0</v>
      </c>
    </row>
    <row r="121" spans="1:99" ht="12" customHeight="1">
      <c r="A121" s="43">
        <v>6483</v>
      </c>
      <c r="B121" s="89" t="s">
        <v>312</v>
      </c>
      <c r="C121" s="89" t="s">
        <v>633</v>
      </c>
      <c r="D121" s="89" t="s">
        <v>634</v>
      </c>
      <c r="F121" s="43">
        <v>528690</v>
      </c>
      <c r="G121" s="43">
        <v>177176</v>
      </c>
      <c r="H121" s="89" t="s">
        <v>148</v>
      </c>
      <c r="I121" s="125">
        <v>43191</v>
      </c>
      <c r="J121" s="117">
        <v>43578</v>
      </c>
      <c r="K121" s="140">
        <v>2</v>
      </c>
      <c r="L121" s="140">
        <v>1</v>
      </c>
      <c r="M121" s="140">
        <v>-1</v>
      </c>
      <c r="N121" s="140">
        <v>1</v>
      </c>
      <c r="O121" s="140">
        <v>-1</v>
      </c>
      <c r="Q121" s="89" t="s">
        <v>635</v>
      </c>
      <c r="R121" s="43" t="s">
        <v>316</v>
      </c>
      <c r="S121" s="125">
        <v>42815</v>
      </c>
      <c r="T121" s="117">
        <v>42866</v>
      </c>
      <c r="V121" s="43" t="s">
        <v>317</v>
      </c>
      <c r="X121" s="43" t="s">
        <v>318</v>
      </c>
      <c r="Y121" s="43" t="s">
        <v>348</v>
      </c>
      <c r="Z121" s="43" t="s">
        <v>320</v>
      </c>
      <c r="AA121" s="43" t="s">
        <v>636</v>
      </c>
      <c r="AB121" s="144">
        <v>3.5000000149011598E-2</v>
      </c>
      <c r="AC121" s="125">
        <v>43191</v>
      </c>
      <c r="AE121" s="117">
        <v>43578</v>
      </c>
      <c r="AF121" s="43" t="s">
        <v>75</v>
      </c>
      <c r="AG121" s="43" t="s">
        <v>322</v>
      </c>
      <c r="AJ121" s="140">
        <v>0</v>
      </c>
      <c r="AK121" s="140">
        <v>0</v>
      </c>
      <c r="AL121" s="140">
        <v>0</v>
      </c>
      <c r="AM121" s="140">
        <v>0</v>
      </c>
      <c r="AN121" s="140">
        <v>0</v>
      </c>
      <c r="AO121" s="140">
        <v>0</v>
      </c>
      <c r="AP121" s="140">
        <v>-2</v>
      </c>
      <c r="AQ121" s="140">
        <v>0</v>
      </c>
      <c r="AR121" s="140">
        <v>1</v>
      </c>
      <c r="AS121" s="140">
        <v>0</v>
      </c>
      <c r="AT121" s="140">
        <v>0</v>
      </c>
      <c r="AU121" s="140">
        <v>0</v>
      </c>
      <c r="AV121" s="140">
        <v>0</v>
      </c>
      <c r="AW121" s="140">
        <v>-2</v>
      </c>
      <c r="AX121" s="140">
        <v>0</v>
      </c>
      <c r="AY121" s="140">
        <v>1</v>
      </c>
      <c r="AZ121" s="140">
        <v>0</v>
      </c>
      <c r="BA121" s="140">
        <v>0</v>
      </c>
      <c r="BB121" s="140">
        <v>0</v>
      </c>
      <c r="BC121" s="140">
        <v>0</v>
      </c>
      <c r="BD121" s="140">
        <v>0</v>
      </c>
      <c r="BE121" s="140">
        <v>0</v>
      </c>
      <c r="BF121" s="140">
        <v>0</v>
      </c>
      <c r="BG121" s="140">
        <v>0</v>
      </c>
      <c r="BH121" s="140">
        <v>0</v>
      </c>
      <c r="BI121" s="140">
        <v>0</v>
      </c>
      <c r="BJ121" s="140">
        <v>0</v>
      </c>
      <c r="BK121" s="140">
        <v>0</v>
      </c>
      <c r="BL121" s="140">
        <v>0</v>
      </c>
      <c r="BM121" s="140">
        <v>0</v>
      </c>
      <c r="BN121" s="140">
        <v>0</v>
      </c>
      <c r="BO121" s="140">
        <v>0</v>
      </c>
      <c r="BQ121" s="43" t="s">
        <v>329</v>
      </c>
      <c r="BX121" s="43">
        <v>12</v>
      </c>
      <c r="BY121" s="90">
        <f t="shared" si="7"/>
        <v>-1</v>
      </c>
      <c r="CT121" s="90">
        <f t="shared" si="5"/>
        <v>0</v>
      </c>
      <c r="CU121" s="90">
        <f t="shared" si="6"/>
        <v>0</v>
      </c>
    </row>
    <row r="122" spans="1:99" ht="12" customHeight="1">
      <c r="A122" s="43">
        <v>6511</v>
      </c>
      <c r="B122" s="89" t="s">
        <v>312</v>
      </c>
      <c r="C122" s="89" t="s">
        <v>637</v>
      </c>
      <c r="D122" s="89" t="s">
        <v>638</v>
      </c>
      <c r="F122" s="43">
        <v>525953</v>
      </c>
      <c r="G122" s="43">
        <v>175002</v>
      </c>
      <c r="H122" s="89" t="s">
        <v>170</v>
      </c>
      <c r="I122" s="125">
        <v>43122</v>
      </c>
      <c r="J122" s="117">
        <v>43750</v>
      </c>
      <c r="K122" s="140">
        <v>2</v>
      </c>
      <c r="L122" s="140">
        <v>4</v>
      </c>
      <c r="M122" s="140">
        <v>2</v>
      </c>
      <c r="N122" s="140">
        <v>4</v>
      </c>
      <c r="O122" s="140">
        <v>2</v>
      </c>
      <c r="Q122" s="89" t="s">
        <v>639</v>
      </c>
      <c r="R122" s="43" t="s">
        <v>316</v>
      </c>
      <c r="S122" s="125">
        <v>42683</v>
      </c>
      <c r="T122" s="117">
        <v>42888</v>
      </c>
      <c r="V122" s="43" t="s">
        <v>317</v>
      </c>
      <c r="X122" s="43" t="s">
        <v>318</v>
      </c>
      <c r="Y122" s="43" t="s">
        <v>319</v>
      </c>
      <c r="Z122" s="43" t="s">
        <v>320</v>
      </c>
      <c r="AA122" s="43" t="s">
        <v>33</v>
      </c>
      <c r="AB122" s="144">
        <v>9.9999997764825804E-3</v>
      </c>
      <c r="AC122" s="125">
        <v>43122</v>
      </c>
      <c r="AE122" s="117">
        <v>43750</v>
      </c>
      <c r="AF122" s="43" t="s">
        <v>75</v>
      </c>
      <c r="AG122" s="43" t="s">
        <v>322</v>
      </c>
      <c r="AJ122" s="140">
        <v>0</v>
      </c>
      <c r="AK122" s="140">
        <v>0</v>
      </c>
      <c r="AL122" s="140">
        <v>0</v>
      </c>
      <c r="AM122" s="140">
        <v>0</v>
      </c>
      <c r="AN122" s="140">
        <v>0</v>
      </c>
      <c r="AO122" s="140">
        <v>1</v>
      </c>
      <c r="AP122" s="140">
        <v>3</v>
      </c>
      <c r="AQ122" s="140">
        <v>0</v>
      </c>
      <c r="AR122" s="140">
        <v>0</v>
      </c>
      <c r="AS122" s="140">
        <v>0</v>
      </c>
      <c r="AT122" s="140">
        <v>-2</v>
      </c>
      <c r="AU122" s="140">
        <v>0</v>
      </c>
      <c r="AV122" s="140">
        <v>1</v>
      </c>
      <c r="AW122" s="140">
        <v>3</v>
      </c>
      <c r="AX122" s="140">
        <v>0</v>
      </c>
      <c r="AY122" s="140">
        <v>0</v>
      </c>
      <c r="AZ122" s="140">
        <v>0</v>
      </c>
      <c r="BA122" s="140">
        <v>-2</v>
      </c>
      <c r="BB122" s="140">
        <v>0</v>
      </c>
      <c r="BC122" s="140">
        <v>0</v>
      </c>
      <c r="BD122" s="140">
        <v>0</v>
      </c>
      <c r="BE122" s="140">
        <v>0</v>
      </c>
      <c r="BF122" s="140">
        <v>0</v>
      </c>
      <c r="BG122" s="140">
        <v>0</v>
      </c>
      <c r="BH122" s="140">
        <v>0</v>
      </c>
      <c r="BI122" s="140">
        <v>0</v>
      </c>
      <c r="BJ122" s="140">
        <v>0</v>
      </c>
      <c r="BK122" s="140">
        <v>0</v>
      </c>
      <c r="BL122" s="140">
        <v>0</v>
      </c>
      <c r="BM122" s="140">
        <v>0</v>
      </c>
      <c r="BN122" s="140">
        <v>0</v>
      </c>
      <c r="BO122" s="140">
        <v>0</v>
      </c>
      <c r="BX122" s="43">
        <v>12</v>
      </c>
      <c r="BY122" s="90">
        <f t="shared" si="7"/>
        <v>2</v>
      </c>
      <c r="CT122" s="90">
        <f t="shared" si="5"/>
        <v>0</v>
      </c>
      <c r="CU122" s="90">
        <f t="shared" si="6"/>
        <v>0</v>
      </c>
    </row>
    <row r="123" spans="1:99" ht="12" customHeight="1">
      <c r="A123" s="43">
        <v>6517</v>
      </c>
      <c r="B123" s="89" t="s">
        <v>312</v>
      </c>
      <c r="C123" s="89" t="s">
        <v>640</v>
      </c>
      <c r="D123" s="89" t="s">
        <v>641</v>
      </c>
      <c r="F123" s="43">
        <v>525437</v>
      </c>
      <c r="G123" s="43">
        <v>175256</v>
      </c>
      <c r="H123" s="89" t="s">
        <v>178</v>
      </c>
      <c r="I123" s="125">
        <v>43110</v>
      </c>
      <c r="K123" s="140">
        <v>0</v>
      </c>
      <c r="L123" s="140">
        <v>93</v>
      </c>
      <c r="M123" s="140">
        <v>93</v>
      </c>
      <c r="N123" s="140">
        <v>172</v>
      </c>
      <c r="O123" s="140">
        <v>172</v>
      </c>
      <c r="P123" s="43" t="s">
        <v>329</v>
      </c>
      <c r="Q123" s="89" t="s">
        <v>642</v>
      </c>
      <c r="R123" s="43" t="s">
        <v>392</v>
      </c>
      <c r="S123" s="125">
        <v>42744</v>
      </c>
      <c r="T123" s="117">
        <v>43090</v>
      </c>
      <c r="V123" s="43" t="s">
        <v>317</v>
      </c>
      <c r="X123" s="43" t="s">
        <v>318</v>
      </c>
      <c r="Y123" s="43" t="s">
        <v>361</v>
      </c>
      <c r="Z123" s="43" t="s">
        <v>361</v>
      </c>
      <c r="AA123" s="43" t="s">
        <v>320</v>
      </c>
      <c r="AB123" s="144">
        <v>2.1600000560283699E-2</v>
      </c>
      <c r="AC123" s="125">
        <v>43110</v>
      </c>
      <c r="AE123" s="117">
        <v>43862</v>
      </c>
      <c r="AF123" s="43" t="s">
        <v>54</v>
      </c>
      <c r="AG123" s="43" t="s">
        <v>399</v>
      </c>
      <c r="AH123" s="43" t="s">
        <v>643</v>
      </c>
      <c r="AJ123" s="140">
        <v>0</v>
      </c>
      <c r="AK123" s="140">
        <v>84</v>
      </c>
      <c r="AL123" s="140">
        <v>0</v>
      </c>
      <c r="AM123" s="140">
        <v>9</v>
      </c>
      <c r="AN123" s="140">
        <v>1</v>
      </c>
      <c r="AO123" s="140">
        <v>21</v>
      </c>
      <c r="AP123" s="140">
        <v>71</v>
      </c>
      <c r="AQ123" s="140">
        <v>0</v>
      </c>
      <c r="AR123" s="140">
        <v>0</v>
      </c>
      <c r="AS123" s="140">
        <v>0</v>
      </c>
      <c r="AT123" s="140">
        <v>0</v>
      </c>
      <c r="AU123" s="140">
        <v>1</v>
      </c>
      <c r="AV123" s="140">
        <v>21</v>
      </c>
      <c r="AW123" s="140">
        <v>71</v>
      </c>
      <c r="AX123" s="140">
        <v>0</v>
      </c>
      <c r="AY123" s="140">
        <v>0</v>
      </c>
      <c r="AZ123" s="140">
        <v>0</v>
      </c>
      <c r="BA123" s="140">
        <v>0</v>
      </c>
      <c r="BB123" s="140">
        <v>0</v>
      </c>
      <c r="BC123" s="140">
        <v>0</v>
      </c>
      <c r="BD123" s="140">
        <v>0</v>
      </c>
      <c r="BE123" s="140">
        <v>0</v>
      </c>
      <c r="BF123" s="140">
        <v>0</v>
      </c>
      <c r="BG123" s="140">
        <v>0</v>
      </c>
      <c r="BH123" s="140">
        <v>0</v>
      </c>
      <c r="BI123" s="140">
        <v>0</v>
      </c>
      <c r="BJ123" s="140">
        <v>0</v>
      </c>
      <c r="BK123" s="140">
        <v>0</v>
      </c>
      <c r="BL123" s="140">
        <v>0</v>
      </c>
      <c r="BM123" s="140">
        <v>0</v>
      </c>
      <c r="BN123" s="140">
        <v>0</v>
      </c>
      <c r="BO123" s="140">
        <v>0</v>
      </c>
      <c r="BR123" s="43" t="s">
        <v>329</v>
      </c>
      <c r="BX123" s="43">
        <v>1</v>
      </c>
      <c r="BY123" s="90">
        <f t="shared" si="7"/>
        <v>93</v>
      </c>
      <c r="CT123" s="90">
        <f t="shared" si="5"/>
        <v>0</v>
      </c>
      <c r="CU123" s="90">
        <f t="shared" si="6"/>
        <v>0</v>
      </c>
    </row>
    <row r="124" spans="1:99" ht="12" customHeight="1">
      <c r="A124" s="43">
        <v>6517</v>
      </c>
      <c r="B124" s="89" t="s">
        <v>312</v>
      </c>
      <c r="C124" s="89" t="s">
        <v>640</v>
      </c>
      <c r="D124" s="89" t="s">
        <v>641</v>
      </c>
      <c r="F124" s="43">
        <v>525437</v>
      </c>
      <c r="G124" s="43">
        <v>175256</v>
      </c>
      <c r="H124" s="89" t="s">
        <v>178</v>
      </c>
      <c r="I124" s="125">
        <v>43110</v>
      </c>
      <c r="K124" s="140">
        <v>0</v>
      </c>
      <c r="L124" s="140">
        <v>79</v>
      </c>
      <c r="M124" s="140">
        <v>79</v>
      </c>
      <c r="N124" s="140">
        <v>172</v>
      </c>
      <c r="O124" s="140">
        <v>172</v>
      </c>
      <c r="P124" s="43" t="s">
        <v>329</v>
      </c>
      <c r="Q124" s="89" t="s">
        <v>642</v>
      </c>
      <c r="R124" s="43" t="s">
        <v>392</v>
      </c>
      <c r="S124" s="125">
        <v>42744</v>
      </c>
      <c r="T124" s="117">
        <v>43090</v>
      </c>
      <c r="V124" s="43" t="s">
        <v>317</v>
      </c>
      <c r="X124" s="43" t="s">
        <v>318</v>
      </c>
      <c r="Y124" s="43" t="s">
        <v>361</v>
      </c>
      <c r="Z124" s="43" t="s">
        <v>361</v>
      </c>
      <c r="AA124" s="43" t="s">
        <v>320</v>
      </c>
      <c r="AB124" s="144">
        <v>0.222000002861023</v>
      </c>
      <c r="AC124" s="125">
        <v>43110</v>
      </c>
      <c r="AE124" s="117">
        <v>43862</v>
      </c>
      <c r="AF124" s="43" t="s">
        <v>75</v>
      </c>
      <c r="AG124" s="43" t="s">
        <v>322</v>
      </c>
      <c r="AH124" s="43" t="s">
        <v>643</v>
      </c>
      <c r="AJ124" s="140">
        <v>0</v>
      </c>
      <c r="AK124" s="140">
        <v>71</v>
      </c>
      <c r="AL124" s="140">
        <v>0</v>
      </c>
      <c r="AM124" s="140">
        <v>8</v>
      </c>
      <c r="AN124" s="140">
        <v>0</v>
      </c>
      <c r="AO124" s="140">
        <v>6</v>
      </c>
      <c r="AP124" s="140">
        <v>73</v>
      </c>
      <c r="AQ124" s="140">
        <v>0</v>
      </c>
      <c r="AR124" s="140">
        <v>0</v>
      </c>
      <c r="AS124" s="140">
        <v>0</v>
      </c>
      <c r="AT124" s="140">
        <v>0</v>
      </c>
      <c r="AU124" s="140">
        <v>0</v>
      </c>
      <c r="AV124" s="140">
        <v>6</v>
      </c>
      <c r="AW124" s="140">
        <v>73</v>
      </c>
      <c r="AX124" s="140">
        <v>0</v>
      </c>
      <c r="AY124" s="140">
        <v>0</v>
      </c>
      <c r="AZ124" s="140">
        <v>0</v>
      </c>
      <c r="BA124" s="140">
        <v>0</v>
      </c>
      <c r="BB124" s="140">
        <v>0</v>
      </c>
      <c r="BC124" s="140">
        <v>0</v>
      </c>
      <c r="BD124" s="140">
        <v>0</v>
      </c>
      <c r="BE124" s="140">
        <v>0</v>
      </c>
      <c r="BF124" s="140">
        <v>0</v>
      </c>
      <c r="BG124" s="140">
        <v>0</v>
      </c>
      <c r="BH124" s="140">
        <v>0</v>
      </c>
      <c r="BI124" s="140">
        <v>0</v>
      </c>
      <c r="BJ124" s="140">
        <v>0</v>
      </c>
      <c r="BK124" s="140">
        <v>0</v>
      </c>
      <c r="BL124" s="140">
        <v>0</v>
      </c>
      <c r="BM124" s="140">
        <v>0</v>
      </c>
      <c r="BN124" s="140">
        <v>0</v>
      </c>
      <c r="BO124" s="140">
        <v>0</v>
      </c>
      <c r="BR124" s="43" t="s">
        <v>329</v>
      </c>
      <c r="BX124" s="43">
        <v>1</v>
      </c>
      <c r="BY124" s="90">
        <f t="shared" si="7"/>
        <v>79</v>
      </c>
      <c r="CT124" s="90">
        <f t="shared" si="5"/>
        <v>0</v>
      </c>
      <c r="CU124" s="90">
        <f t="shared" si="6"/>
        <v>0</v>
      </c>
    </row>
    <row r="125" spans="1:99" ht="12" customHeight="1">
      <c r="A125" s="43">
        <v>6518</v>
      </c>
      <c r="B125" s="89" t="s">
        <v>312</v>
      </c>
      <c r="C125" s="89" t="s">
        <v>644</v>
      </c>
      <c r="D125" s="89" t="s">
        <v>645</v>
      </c>
      <c r="F125" s="43">
        <v>528325</v>
      </c>
      <c r="G125" s="43">
        <v>173875</v>
      </c>
      <c r="H125" s="89" t="s">
        <v>138</v>
      </c>
      <c r="I125" s="125">
        <v>43348</v>
      </c>
      <c r="J125" s="117">
        <v>43763</v>
      </c>
      <c r="K125" s="140">
        <v>0</v>
      </c>
      <c r="L125" s="140">
        <v>2</v>
      </c>
      <c r="M125" s="140">
        <v>2</v>
      </c>
      <c r="N125" s="140">
        <v>3</v>
      </c>
      <c r="O125" s="140">
        <v>2</v>
      </c>
      <c r="Q125" s="89" t="s">
        <v>646</v>
      </c>
      <c r="R125" s="43" t="s">
        <v>316</v>
      </c>
      <c r="S125" s="125">
        <v>42779</v>
      </c>
      <c r="T125" s="117">
        <v>42919</v>
      </c>
      <c r="V125" s="43" t="s">
        <v>317</v>
      </c>
      <c r="X125" s="43" t="s">
        <v>318</v>
      </c>
      <c r="Y125" s="43" t="s">
        <v>379</v>
      </c>
      <c r="Z125" s="43" t="s">
        <v>320</v>
      </c>
      <c r="AA125" s="43" t="s">
        <v>340</v>
      </c>
      <c r="AB125" s="144">
        <v>2.60000005364418E-2</v>
      </c>
      <c r="AC125" s="125">
        <v>43348</v>
      </c>
      <c r="AE125" s="117">
        <v>43763</v>
      </c>
      <c r="AF125" s="43" t="s">
        <v>75</v>
      </c>
      <c r="AG125" s="43" t="s">
        <v>322</v>
      </c>
      <c r="AJ125" s="140">
        <v>0</v>
      </c>
      <c r="AK125" s="140">
        <v>0</v>
      </c>
      <c r="AL125" s="140">
        <v>0</v>
      </c>
      <c r="AM125" s="140">
        <v>0</v>
      </c>
      <c r="AN125" s="140">
        <v>0</v>
      </c>
      <c r="AO125" s="140">
        <v>1</v>
      </c>
      <c r="AP125" s="140">
        <v>1</v>
      </c>
      <c r="AQ125" s="140">
        <v>0</v>
      </c>
      <c r="AR125" s="140">
        <v>0</v>
      </c>
      <c r="AS125" s="140">
        <v>0</v>
      </c>
      <c r="AT125" s="140">
        <v>0</v>
      </c>
      <c r="AU125" s="140">
        <v>0</v>
      </c>
      <c r="AV125" s="140">
        <v>1</v>
      </c>
      <c r="AW125" s="140">
        <v>1</v>
      </c>
      <c r="AX125" s="140">
        <v>0</v>
      </c>
      <c r="AY125" s="140">
        <v>0</v>
      </c>
      <c r="AZ125" s="140">
        <v>0</v>
      </c>
      <c r="BA125" s="140">
        <v>0</v>
      </c>
      <c r="BB125" s="140">
        <v>0</v>
      </c>
      <c r="BC125" s="140">
        <v>0</v>
      </c>
      <c r="BD125" s="140">
        <v>0</v>
      </c>
      <c r="BE125" s="140">
        <v>0</v>
      </c>
      <c r="BF125" s="140">
        <v>0</v>
      </c>
      <c r="BG125" s="140">
        <v>0</v>
      </c>
      <c r="BH125" s="140">
        <v>0</v>
      </c>
      <c r="BI125" s="140">
        <v>0</v>
      </c>
      <c r="BJ125" s="140">
        <v>0</v>
      </c>
      <c r="BK125" s="140">
        <v>0</v>
      </c>
      <c r="BL125" s="140">
        <v>0</v>
      </c>
      <c r="BM125" s="140">
        <v>0</v>
      </c>
      <c r="BN125" s="140">
        <v>0</v>
      </c>
      <c r="BO125" s="140">
        <v>0</v>
      </c>
      <c r="BX125" s="43">
        <v>12</v>
      </c>
      <c r="BY125" s="90">
        <f t="shared" si="7"/>
        <v>2</v>
      </c>
      <c r="CT125" s="90">
        <f t="shared" si="5"/>
        <v>0</v>
      </c>
      <c r="CU125" s="90">
        <f t="shared" si="6"/>
        <v>0</v>
      </c>
    </row>
    <row r="126" spans="1:99" ht="12" customHeight="1">
      <c r="A126" s="43">
        <v>6518</v>
      </c>
      <c r="B126" s="89" t="s">
        <v>312</v>
      </c>
      <c r="C126" s="89" t="s">
        <v>644</v>
      </c>
      <c r="D126" s="89" t="s">
        <v>645</v>
      </c>
      <c r="F126" s="43">
        <v>528325</v>
      </c>
      <c r="G126" s="43">
        <v>173875</v>
      </c>
      <c r="H126" s="89" t="s">
        <v>138</v>
      </c>
      <c r="I126" s="125">
        <v>43348</v>
      </c>
      <c r="J126" s="117">
        <v>43763</v>
      </c>
      <c r="K126" s="140">
        <v>1</v>
      </c>
      <c r="L126" s="140">
        <v>1</v>
      </c>
      <c r="M126" s="140">
        <v>0</v>
      </c>
      <c r="N126" s="140">
        <v>3</v>
      </c>
      <c r="O126" s="140">
        <v>2</v>
      </c>
      <c r="Q126" s="89" t="s">
        <v>646</v>
      </c>
      <c r="R126" s="43" t="s">
        <v>316</v>
      </c>
      <c r="S126" s="125">
        <v>42779</v>
      </c>
      <c r="T126" s="117">
        <v>42919</v>
      </c>
      <c r="V126" s="43" t="s">
        <v>317</v>
      </c>
      <c r="X126" s="43" t="s">
        <v>318</v>
      </c>
      <c r="Y126" s="43" t="s">
        <v>379</v>
      </c>
      <c r="Z126" s="43" t="s">
        <v>320</v>
      </c>
      <c r="AA126" s="43" t="s">
        <v>636</v>
      </c>
      <c r="AB126" s="144">
        <v>1.30000002682209E-2</v>
      </c>
      <c r="AC126" s="125">
        <v>43348</v>
      </c>
      <c r="AE126" s="117">
        <v>43763</v>
      </c>
      <c r="AF126" s="43" t="s">
        <v>75</v>
      </c>
      <c r="AG126" s="43" t="s">
        <v>322</v>
      </c>
      <c r="AJ126" s="140">
        <v>0</v>
      </c>
      <c r="AK126" s="140">
        <v>0</v>
      </c>
      <c r="AL126" s="140">
        <v>0</v>
      </c>
      <c r="AM126" s="140">
        <v>0</v>
      </c>
      <c r="AN126" s="140">
        <v>0</v>
      </c>
      <c r="AO126" s="140">
        <v>1</v>
      </c>
      <c r="AP126" s="140">
        <v>-1</v>
      </c>
      <c r="AQ126" s="140">
        <v>0</v>
      </c>
      <c r="AR126" s="140">
        <v>0</v>
      </c>
      <c r="AS126" s="140">
        <v>0</v>
      </c>
      <c r="AT126" s="140">
        <v>0</v>
      </c>
      <c r="AU126" s="140">
        <v>0</v>
      </c>
      <c r="AV126" s="140">
        <v>1</v>
      </c>
      <c r="AW126" s="140">
        <v>-1</v>
      </c>
      <c r="AX126" s="140">
        <v>0</v>
      </c>
      <c r="AY126" s="140">
        <v>0</v>
      </c>
      <c r="AZ126" s="140">
        <v>0</v>
      </c>
      <c r="BA126" s="140">
        <v>0</v>
      </c>
      <c r="BB126" s="140">
        <v>0</v>
      </c>
      <c r="BC126" s="140">
        <v>0</v>
      </c>
      <c r="BD126" s="140">
        <v>0</v>
      </c>
      <c r="BE126" s="140">
        <v>0</v>
      </c>
      <c r="BF126" s="140">
        <v>0</v>
      </c>
      <c r="BG126" s="140">
        <v>0</v>
      </c>
      <c r="BH126" s="140">
        <v>0</v>
      </c>
      <c r="BI126" s="140">
        <v>0</v>
      </c>
      <c r="BJ126" s="140">
        <v>0</v>
      </c>
      <c r="BK126" s="140">
        <v>0</v>
      </c>
      <c r="BL126" s="140">
        <v>0</v>
      </c>
      <c r="BM126" s="140">
        <v>0</v>
      </c>
      <c r="BN126" s="140">
        <v>0</v>
      </c>
      <c r="BO126" s="140">
        <v>0</v>
      </c>
      <c r="BX126" s="43">
        <v>12</v>
      </c>
      <c r="BY126" s="90">
        <f t="shared" si="7"/>
        <v>0</v>
      </c>
      <c r="CT126" s="90">
        <f t="shared" si="5"/>
        <v>0</v>
      </c>
      <c r="CU126" s="90">
        <f t="shared" si="6"/>
        <v>0</v>
      </c>
    </row>
    <row r="127" spans="1:99" ht="12" customHeight="1">
      <c r="A127" s="43">
        <v>6522</v>
      </c>
      <c r="B127" s="89" t="s">
        <v>312</v>
      </c>
      <c r="C127" s="89" t="s">
        <v>647</v>
      </c>
      <c r="D127" s="89" t="s">
        <v>648</v>
      </c>
      <c r="F127" s="43">
        <v>523995</v>
      </c>
      <c r="G127" s="43">
        <v>175261</v>
      </c>
      <c r="H127" s="89" t="s">
        <v>178</v>
      </c>
      <c r="I127" s="125">
        <v>43241</v>
      </c>
      <c r="J127" s="117">
        <v>43921</v>
      </c>
      <c r="K127" s="140">
        <v>2</v>
      </c>
      <c r="L127" s="140">
        <v>2</v>
      </c>
      <c r="M127" s="140">
        <v>0</v>
      </c>
      <c r="N127" s="140">
        <v>3</v>
      </c>
      <c r="O127" s="140">
        <v>1</v>
      </c>
      <c r="Q127" s="89" t="s">
        <v>649</v>
      </c>
      <c r="R127" s="43" t="s">
        <v>316</v>
      </c>
      <c r="S127" s="125">
        <v>42755</v>
      </c>
      <c r="T127" s="117">
        <v>42951</v>
      </c>
      <c r="V127" s="43" t="s">
        <v>317</v>
      </c>
      <c r="X127" s="43" t="s">
        <v>318</v>
      </c>
      <c r="Y127" s="43" t="s">
        <v>319</v>
      </c>
      <c r="Z127" s="43" t="s">
        <v>320</v>
      </c>
      <c r="AA127" s="43" t="s">
        <v>321</v>
      </c>
      <c r="AB127" s="144">
        <v>4.0000001899898104E-3</v>
      </c>
      <c r="AC127" s="125">
        <v>43241</v>
      </c>
      <c r="AE127" s="117">
        <v>43921</v>
      </c>
      <c r="AF127" s="43" t="s">
        <v>75</v>
      </c>
      <c r="AG127" s="43" t="s">
        <v>322</v>
      </c>
      <c r="AJ127" s="140">
        <v>0</v>
      </c>
      <c r="AK127" s="140">
        <v>0</v>
      </c>
      <c r="AL127" s="140">
        <v>0</v>
      </c>
      <c r="AM127" s="140">
        <v>0</v>
      </c>
      <c r="AN127" s="140">
        <v>0</v>
      </c>
      <c r="AO127" s="140">
        <v>-2</v>
      </c>
      <c r="AP127" s="140">
        <v>2</v>
      </c>
      <c r="AQ127" s="140">
        <v>0</v>
      </c>
      <c r="AR127" s="140">
        <v>0</v>
      </c>
      <c r="AS127" s="140">
        <v>0</v>
      </c>
      <c r="AT127" s="140">
        <v>0</v>
      </c>
      <c r="AU127" s="140">
        <v>0</v>
      </c>
      <c r="AV127" s="140">
        <v>-2</v>
      </c>
      <c r="AW127" s="140">
        <v>2</v>
      </c>
      <c r="AX127" s="140">
        <v>0</v>
      </c>
      <c r="AY127" s="140">
        <v>0</v>
      </c>
      <c r="AZ127" s="140">
        <v>0</v>
      </c>
      <c r="BA127" s="140">
        <v>0</v>
      </c>
      <c r="BB127" s="140">
        <v>0</v>
      </c>
      <c r="BC127" s="140">
        <v>0</v>
      </c>
      <c r="BD127" s="140">
        <v>0</v>
      </c>
      <c r="BE127" s="140">
        <v>0</v>
      </c>
      <c r="BF127" s="140">
        <v>0</v>
      </c>
      <c r="BG127" s="140">
        <v>0</v>
      </c>
      <c r="BH127" s="140">
        <v>0</v>
      </c>
      <c r="BI127" s="140">
        <v>0</v>
      </c>
      <c r="BJ127" s="140">
        <v>0</v>
      </c>
      <c r="BK127" s="140">
        <v>0</v>
      </c>
      <c r="BL127" s="140">
        <v>0</v>
      </c>
      <c r="BM127" s="140">
        <v>0</v>
      </c>
      <c r="BN127" s="140">
        <v>0</v>
      </c>
      <c r="BO127" s="140">
        <v>0</v>
      </c>
      <c r="BP127" s="43" t="s">
        <v>140</v>
      </c>
      <c r="BX127" s="43">
        <v>12</v>
      </c>
      <c r="BY127" s="90">
        <f t="shared" si="7"/>
        <v>0</v>
      </c>
      <c r="CT127" s="90">
        <f t="shared" si="5"/>
        <v>0</v>
      </c>
      <c r="CU127" s="90">
        <f t="shared" si="6"/>
        <v>0</v>
      </c>
    </row>
    <row r="128" spans="1:99" ht="12" customHeight="1">
      <c r="A128" s="43">
        <v>6522</v>
      </c>
      <c r="B128" s="89" t="s">
        <v>312</v>
      </c>
      <c r="C128" s="89" t="s">
        <v>647</v>
      </c>
      <c r="D128" s="89" t="s">
        <v>648</v>
      </c>
      <c r="F128" s="43">
        <v>523995</v>
      </c>
      <c r="G128" s="43">
        <v>175261</v>
      </c>
      <c r="H128" s="89" t="s">
        <v>178</v>
      </c>
      <c r="I128" s="125">
        <v>43241</v>
      </c>
      <c r="J128" s="117">
        <v>43921</v>
      </c>
      <c r="K128" s="140">
        <v>0</v>
      </c>
      <c r="L128" s="140">
        <v>1</v>
      </c>
      <c r="M128" s="140">
        <v>1</v>
      </c>
      <c r="N128" s="140">
        <v>3</v>
      </c>
      <c r="O128" s="140">
        <v>1</v>
      </c>
      <c r="Q128" s="89" t="s">
        <v>649</v>
      </c>
      <c r="R128" s="43" t="s">
        <v>316</v>
      </c>
      <c r="S128" s="125">
        <v>42755</v>
      </c>
      <c r="T128" s="117">
        <v>42951</v>
      </c>
      <c r="V128" s="43" t="s">
        <v>317</v>
      </c>
      <c r="X128" s="43" t="s">
        <v>318</v>
      </c>
      <c r="Y128" s="43" t="s">
        <v>319</v>
      </c>
      <c r="Z128" s="43" t="s">
        <v>320</v>
      </c>
      <c r="AA128" s="43" t="s">
        <v>353</v>
      </c>
      <c r="AB128" s="144">
        <v>4.0000001899898104E-3</v>
      </c>
      <c r="AC128" s="125">
        <v>43241</v>
      </c>
      <c r="AE128" s="117">
        <v>43921</v>
      </c>
      <c r="AF128" s="43" t="s">
        <v>75</v>
      </c>
      <c r="AG128" s="43" t="s">
        <v>322</v>
      </c>
      <c r="AJ128" s="140">
        <v>0</v>
      </c>
      <c r="AK128" s="140">
        <v>0</v>
      </c>
      <c r="AL128" s="140">
        <v>0</v>
      </c>
      <c r="AM128" s="140">
        <v>0</v>
      </c>
      <c r="AN128" s="140">
        <v>0</v>
      </c>
      <c r="AO128" s="140">
        <v>1</v>
      </c>
      <c r="AP128" s="140">
        <v>0</v>
      </c>
      <c r="AQ128" s="140">
        <v>0</v>
      </c>
      <c r="AR128" s="140">
        <v>0</v>
      </c>
      <c r="AS128" s="140">
        <v>0</v>
      </c>
      <c r="AT128" s="140">
        <v>0</v>
      </c>
      <c r="AU128" s="140">
        <v>0</v>
      </c>
      <c r="AV128" s="140">
        <v>1</v>
      </c>
      <c r="AW128" s="140">
        <v>0</v>
      </c>
      <c r="AX128" s="140">
        <v>0</v>
      </c>
      <c r="AY128" s="140">
        <v>0</v>
      </c>
      <c r="AZ128" s="140">
        <v>0</v>
      </c>
      <c r="BA128" s="140">
        <v>0</v>
      </c>
      <c r="BB128" s="140">
        <v>0</v>
      </c>
      <c r="BC128" s="140">
        <v>0</v>
      </c>
      <c r="BD128" s="140">
        <v>0</v>
      </c>
      <c r="BE128" s="140">
        <v>0</v>
      </c>
      <c r="BF128" s="140">
        <v>0</v>
      </c>
      <c r="BG128" s="140">
        <v>0</v>
      </c>
      <c r="BH128" s="140">
        <v>0</v>
      </c>
      <c r="BI128" s="140">
        <v>0</v>
      </c>
      <c r="BJ128" s="140">
        <v>0</v>
      </c>
      <c r="BK128" s="140">
        <v>0</v>
      </c>
      <c r="BL128" s="140">
        <v>0</v>
      </c>
      <c r="BM128" s="140">
        <v>0</v>
      </c>
      <c r="BN128" s="140">
        <v>0</v>
      </c>
      <c r="BO128" s="140">
        <v>0</v>
      </c>
      <c r="BP128" s="43" t="s">
        <v>140</v>
      </c>
      <c r="BX128" s="43">
        <v>12</v>
      </c>
      <c r="BY128" s="90">
        <f t="shared" si="7"/>
        <v>1</v>
      </c>
      <c r="CT128" s="90">
        <f t="shared" si="5"/>
        <v>0</v>
      </c>
      <c r="CU128" s="90">
        <f t="shared" si="6"/>
        <v>0</v>
      </c>
    </row>
    <row r="129" spans="1:99" ht="12" customHeight="1">
      <c r="A129" s="43">
        <v>6524</v>
      </c>
      <c r="B129" s="89" t="s">
        <v>312</v>
      </c>
      <c r="C129" s="89" t="s">
        <v>650</v>
      </c>
      <c r="D129" s="89" t="s">
        <v>651</v>
      </c>
      <c r="F129" s="43">
        <v>527505</v>
      </c>
      <c r="G129" s="43">
        <v>174791</v>
      </c>
      <c r="H129" s="89" t="s">
        <v>174</v>
      </c>
      <c r="I129" s="125">
        <v>43556</v>
      </c>
      <c r="J129" s="117">
        <v>43921</v>
      </c>
      <c r="K129" s="140">
        <v>1</v>
      </c>
      <c r="L129" s="140">
        <v>2</v>
      </c>
      <c r="M129" s="140">
        <v>1</v>
      </c>
      <c r="N129" s="140">
        <v>2</v>
      </c>
      <c r="O129" s="140">
        <v>1</v>
      </c>
      <c r="Q129" s="89" t="s">
        <v>652</v>
      </c>
      <c r="R129" s="43" t="s">
        <v>316</v>
      </c>
      <c r="S129" s="125">
        <v>43063</v>
      </c>
      <c r="T129" s="117">
        <v>43119</v>
      </c>
      <c r="V129" s="43" t="s">
        <v>317</v>
      </c>
      <c r="X129" s="43" t="s">
        <v>318</v>
      </c>
      <c r="Y129" s="43" t="s">
        <v>319</v>
      </c>
      <c r="Z129" s="43" t="s">
        <v>320</v>
      </c>
      <c r="AA129" s="43" t="s">
        <v>321</v>
      </c>
      <c r="AB129" s="144">
        <v>8.0000003799796104E-3</v>
      </c>
      <c r="AC129" s="125">
        <v>43556</v>
      </c>
      <c r="AD129" s="43" t="s">
        <v>329</v>
      </c>
      <c r="AE129" s="117">
        <v>43921</v>
      </c>
      <c r="AF129" s="43" t="s">
        <v>75</v>
      </c>
      <c r="AG129" s="43" t="s">
        <v>322</v>
      </c>
      <c r="AJ129" s="140">
        <v>0</v>
      </c>
      <c r="AK129" s="140">
        <v>0</v>
      </c>
      <c r="AL129" s="140">
        <v>0</v>
      </c>
      <c r="AM129" s="140">
        <v>0</v>
      </c>
      <c r="AN129" s="140">
        <v>0</v>
      </c>
      <c r="AO129" s="140">
        <v>1</v>
      </c>
      <c r="AP129" s="140">
        <v>0</v>
      </c>
      <c r="AQ129" s="140">
        <v>0</v>
      </c>
      <c r="AR129" s="140">
        <v>0</v>
      </c>
      <c r="AS129" s="140">
        <v>0</v>
      </c>
      <c r="AT129" s="140">
        <v>0</v>
      </c>
      <c r="AU129" s="140">
        <v>0</v>
      </c>
      <c r="AV129" s="140">
        <v>1</v>
      </c>
      <c r="AW129" s="140">
        <v>0</v>
      </c>
      <c r="AX129" s="140">
        <v>0</v>
      </c>
      <c r="AY129" s="140">
        <v>0</v>
      </c>
      <c r="AZ129" s="140">
        <v>0</v>
      </c>
      <c r="BA129" s="140">
        <v>0</v>
      </c>
      <c r="BB129" s="140">
        <v>0</v>
      </c>
      <c r="BC129" s="140">
        <v>0</v>
      </c>
      <c r="BD129" s="140">
        <v>0</v>
      </c>
      <c r="BE129" s="140">
        <v>0</v>
      </c>
      <c r="BF129" s="140">
        <v>0</v>
      </c>
      <c r="BG129" s="140">
        <v>0</v>
      </c>
      <c r="BH129" s="140">
        <v>0</v>
      </c>
      <c r="BI129" s="140">
        <v>0</v>
      </c>
      <c r="BJ129" s="140">
        <v>0</v>
      </c>
      <c r="BK129" s="140">
        <v>0</v>
      </c>
      <c r="BL129" s="140">
        <v>0</v>
      </c>
      <c r="BM129" s="140">
        <v>0</v>
      </c>
      <c r="BN129" s="140">
        <v>0</v>
      </c>
      <c r="BO129" s="140">
        <v>0</v>
      </c>
      <c r="BP129" s="43" t="s">
        <v>139</v>
      </c>
      <c r="BX129" s="43">
        <v>12</v>
      </c>
      <c r="BY129" s="90">
        <f t="shared" si="7"/>
        <v>1</v>
      </c>
      <c r="CT129" s="90">
        <f t="shared" si="5"/>
        <v>0</v>
      </c>
      <c r="CU129" s="90">
        <f t="shared" si="6"/>
        <v>0</v>
      </c>
    </row>
    <row r="130" spans="1:99" ht="12" customHeight="1">
      <c r="A130" s="43">
        <v>6548</v>
      </c>
      <c r="B130" s="89" t="s">
        <v>312</v>
      </c>
      <c r="C130" s="89" t="s">
        <v>653</v>
      </c>
      <c r="D130" s="89" t="s">
        <v>654</v>
      </c>
      <c r="F130" s="43">
        <v>526176</v>
      </c>
      <c r="G130" s="43">
        <v>172864</v>
      </c>
      <c r="H130" s="89" t="s">
        <v>168</v>
      </c>
      <c r="I130" s="125">
        <v>43190</v>
      </c>
      <c r="J130" s="117">
        <v>43760</v>
      </c>
      <c r="K130" s="140">
        <v>3</v>
      </c>
      <c r="L130" s="140">
        <v>9</v>
      </c>
      <c r="M130" s="140">
        <v>6</v>
      </c>
      <c r="N130" s="140">
        <v>9</v>
      </c>
      <c r="O130" s="140">
        <v>6</v>
      </c>
      <c r="Q130" s="89" t="s">
        <v>655</v>
      </c>
      <c r="R130" s="43" t="s">
        <v>316</v>
      </c>
      <c r="S130" s="125">
        <v>42810</v>
      </c>
      <c r="T130" s="117">
        <v>42942</v>
      </c>
      <c r="V130" s="43" t="s">
        <v>317</v>
      </c>
      <c r="X130" s="43" t="s">
        <v>318</v>
      </c>
      <c r="Y130" s="43" t="s">
        <v>361</v>
      </c>
      <c r="Z130" s="43" t="s">
        <v>320</v>
      </c>
      <c r="AA130" s="43" t="s">
        <v>353</v>
      </c>
      <c r="AB130" s="144">
        <v>4.39999997615814E-2</v>
      </c>
      <c r="AC130" s="125">
        <v>43190</v>
      </c>
      <c r="AE130" s="117">
        <v>43760</v>
      </c>
      <c r="AF130" s="43" t="s">
        <v>75</v>
      </c>
      <c r="AG130" s="43" t="s">
        <v>322</v>
      </c>
      <c r="AJ130" s="140">
        <v>0</v>
      </c>
      <c r="AK130" s="140">
        <v>0</v>
      </c>
      <c r="AL130" s="140">
        <v>0</v>
      </c>
      <c r="AM130" s="140">
        <v>0</v>
      </c>
      <c r="AN130" s="140">
        <v>1</v>
      </c>
      <c r="AO130" s="140">
        <v>2</v>
      </c>
      <c r="AP130" s="140">
        <v>5</v>
      </c>
      <c r="AQ130" s="140">
        <v>1</v>
      </c>
      <c r="AR130" s="140">
        <v>-3</v>
      </c>
      <c r="AS130" s="140">
        <v>0</v>
      </c>
      <c r="AT130" s="140">
        <v>0</v>
      </c>
      <c r="AU130" s="140">
        <v>1</v>
      </c>
      <c r="AV130" s="140">
        <v>2</v>
      </c>
      <c r="AW130" s="140">
        <v>5</v>
      </c>
      <c r="AX130" s="140">
        <v>1</v>
      </c>
      <c r="AY130" s="140">
        <v>-3</v>
      </c>
      <c r="AZ130" s="140">
        <v>0</v>
      </c>
      <c r="BA130" s="140">
        <v>0</v>
      </c>
      <c r="BB130" s="140">
        <v>0</v>
      </c>
      <c r="BC130" s="140">
        <v>0</v>
      </c>
      <c r="BD130" s="140">
        <v>0</v>
      </c>
      <c r="BE130" s="140">
        <v>0</v>
      </c>
      <c r="BF130" s="140">
        <v>0</v>
      </c>
      <c r="BG130" s="140">
        <v>0</v>
      </c>
      <c r="BH130" s="140">
        <v>0</v>
      </c>
      <c r="BI130" s="140">
        <v>0</v>
      </c>
      <c r="BJ130" s="140">
        <v>0</v>
      </c>
      <c r="BK130" s="140">
        <v>0</v>
      </c>
      <c r="BL130" s="140">
        <v>0</v>
      </c>
      <c r="BM130" s="140">
        <v>0</v>
      </c>
      <c r="BN130" s="140">
        <v>0</v>
      </c>
      <c r="BO130" s="140">
        <v>0</v>
      </c>
      <c r="BX130" s="43">
        <v>1</v>
      </c>
      <c r="BY130" s="90">
        <f t="shared" ref="BY130:BY161" si="8">M130</f>
        <v>6</v>
      </c>
      <c r="CT130" s="90">
        <f t="shared" ref="CT130:CT193" si="9">SUM(BZ130:CD130)</f>
        <v>0</v>
      </c>
      <c r="CU130" s="90">
        <f t="shared" ref="CU130:CU193" si="10">SUM(BZ130:CI130)</f>
        <v>0</v>
      </c>
    </row>
    <row r="131" spans="1:99" ht="12" customHeight="1">
      <c r="A131" s="43">
        <v>6564</v>
      </c>
      <c r="B131" s="89" t="s">
        <v>312</v>
      </c>
      <c r="C131" s="89" t="s">
        <v>656</v>
      </c>
      <c r="D131" s="89" t="s">
        <v>657</v>
      </c>
      <c r="F131" s="43">
        <v>524601</v>
      </c>
      <c r="G131" s="43">
        <v>175314</v>
      </c>
      <c r="H131" s="89" t="s">
        <v>178</v>
      </c>
      <c r="I131" s="125">
        <v>43467</v>
      </c>
      <c r="J131" s="117">
        <v>43903</v>
      </c>
      <c r="K131" s="140">
        <v>0</v>
      </c>
      <c r="L131" s="140">
        <v>15</v>
      </c>
      <c r="M131" s="140">
        <v>15</v>
      </c>
      <c r="N131" s="140">
        <v>15</v>
      </c>
      <c r="O131" s="140">
        <v>15</v>
      </c>
      <c r="P131" s="43" t="s">
        <v>329</v>
      </c>
      <c r="Q131" s="89" t="s">
        <v>658</v>
      </c>
      <c r="R131" s="43" t="s">
        <v>620</v>
      </c>
      <c r="S131" s="125">
        <v>42950</v>
      </c>
      <c r="T131" s="117">
        <v>43005</v>
      </c>
      <c r="V131" s="43" t="s">
        <v>317</v>
      </c>
      <c r="X131" s="43" t="s">
        <v>318</v>
      </c>
      <c r="Y131" s="43" t="s">
        <v>336</v>
      </c>
      <c r="Z131" s="43" t="s">
        <v>444</v>
      </c>
      <c r="AA131" s="43" t="s">
        <v>320</v>
      </c>
      <c r="AB131" s="144">
        <v>3.0999999493360499E-2</v>
      </c>
      <c r="AC131" s="125">
        <v>43467</v>
      </c>
      <c r="AE131" s="117">
        <v>43903</v>
      </c>
      <c r="AF131" s="43" t="s">
        <v>75</v>
      </c>
      <c r="AG131" s="43" t="s">
        <v>322</v>
      </c>
      <c r="AJ131" s="140">
        <v>0</v>
      </c>
      <c r="AK131" s="140">
        <v>0</v>
      </c>
      <c r="AL131" s="140">
        <v>0</v>
      </c>
      <c r="AM131" s="140">
        <v>0</v>
      </c>
      <c r="AN131" s="140">
        <v>0</v>
      </c>
      <c r="AO131" s="140">
        <v>12</v>
      </c>
      <c r="AP131" s="140">
        <v>3</v>
      </c>
      <c r="AQ131" s="140">
        <v>0</v>
      </c>
      <c r="AR131" s="140">
        <v>0</v>
      </c>
      <c r="AS131" s="140">
        <v>0</v>
      </c>
      <c r="AT131" s="140">
        <v>0</v>
      </c>
      <c r="AU131" s="140">
        <v>0</v>
      </c>
      <c r="AV131" s="140">
        <v>12</v>
      </c>
      <c r="AW131" s="140">
        <v>3</v>
      </c>
      <c r="AX131" s="140">
        <v>0</v>
      </c>
      <c r="AY131" s="140">
        <v>0</v>
      </c>
      <c r="AZ131" s="140">
        <v>0</v>
      </c>
      <c r="BA131" s="140">
        <v>0</v>
      </c>
      <c r="BB131" s="140">
        <v>0</v>
      </c>
      <c r="BC131" s="140">
        <v>0</v>
      </c>
      <c r="BD131" s="140">
        <v>0</v>
      </c>
      <c r="BE131" s="140">
        <v>0</v>
      </c>
      <c r="BF131" s="140">
        <v>0</v>
      </c>
      <c r="BG131" s="140">
        <v>0</v>
      </c>
      <c r="BH131" s="140">
        <v>0</v>
      </c>
      <c r="BI131" s="140">
        <v>0</v>
      </c>
      <c r="BJ131" s="140">
        <v>0</v>
      </c>
      <c r="BK131" s="140">
        <v>0</v>
      </c>
      <c r="BL131" s="140">
        <v>0</v>
      </c>
      <c r="BM131" s="140">
        <v>0</v>
      </c>
      <c r="BN131" s="140">
        <v>0</v>
      </c>
      <c r="BO131" s="140">
        <v>0</v>
      </c>
      <c r="BV131" s="43" t="s">
        <v>329</v>
      </c>
      <c r="BX131" s="43">
        <v>12</v>
      </c>
      <c r="BY131" s="90">
        <f t="shared" si="8"/>
        <v>15</v>
      </c>
      <c r="CT131" s="90">
        <f t="shared" si="9"/>
        <v>0</v>
      </c>
      <c r="CU131" s="90">
        <f t="shared" si="10"/>
        <v>0</v>
      </c>
    </row>
    <row r="132" spans="1:99" ht="12" customHeight="1">
      <c r="A132" s="43">
        <v>6566</v>
      </c>
      <c r="B132" s="89" t="s">
        <v>312</v>
      </c>
      <c r="C132" s="89" t="s">
        <v>659</v>
      </c>
      <c r="D132" s="89" t="s">
        <v>660</v>
      </c>
      <c r="E132" s="89" t="s">
        <v>661</v>
      </c>
      <c r="F132" s="43">
        <v>527021</v>
      </c>
      <c r="G132" s="43">
        <v>175153</v>
      </c>
      <c r="H132" s="89" t="s">
        <v>170</v>
      </c>
      <c r="I132" s="125">
        <v>43200</v>
      </c>
      <c r="J132" s="117">
        <v>43739</v>
      </c>
      <c r="K132" s="140">
        <v>0</v>
      </c>
      <c r="L132" s="140">
        <v>1</v>
      </c>
      <c r="M132" s="140">
        <v>1</v>
      </c>
      <c r="N132" s="140">
        <v>3</v>
      </c>
      <c r="O132" s="140">
        <v>1</v>
      </c>
      <c r="Q132" s="89" t="s">
        <v>662</v>
      </c>
      <c r="R132" s="43" t="s">
        <v>316</v>
      </c>
      <c r="S132" s="125">
        <v>43054</v>
      </c>
      <c r="T132" s="117">
        <v>43164</v>
      </c>
      <c r="V132" s="43" t="s">
        <v>317</v>
      </c>
      <c r="X132" s="43" t="s">
        <v>318</v>
      </c>
      <c r="Y132" s="43" t="s">
        <v>319</v>
      </c>
      <c r="Z132" s="43" t="s">
        <v>320</v>
      </c>
      <c r="AA132" s="43" t="s">
        <v>353</v>
      </c>
      <c r="AB132" s="144">
        <v>2.0000000949949E-3</v>
      </c>
      <c r="AC132" s="125">
        <v>43200</v>
      </c>
      <c r="AE132" s="117">
        <v>43739</v>
      </c>
      <c r="AF132" s="43" t="s">
        <v>75</v>
      </c>
      <c r="AG132" s="43" t="s">
        <v>322</v>
      </c>
      <c r="AJ132" s="140">
        <v>0</v>
      </c>
      <c r="AK132" s="140">
        <v>0</v>
      </c>
      <c r="AL132" s="140">
        <v>0</v>
      </c>
      <c r="AM132" s="140">
        <v>0</v>
      </c>
      <c r="AN132" s="140">
        <v>0</v>
      </c>
      <c r="AO132" s="140">
        <v>1</v>
      </c>
      <c r="AP132" s="140">
        <v>0</v>
      </c>
      <c r="AQ132" s="140">
        <v>0</v>
      </c>
      <c r="AR132" s="140">
        <v>0</v>
      </c>
      <c r="AS132" s="140">
        <v>0</v>
      </c>
      <c r="AT132" s="140">
        <v>0</v>
      </c>
      <c r="AU132" s="140">
        <v>0</v>
      </c>
      <c r="AV132" s="140">
        <v>1</v>
      </c>
      <c r="AW132" s="140">
        <v>0</v>
      </c>
      <c r="AX132" s="140">
        <v>0</v>
      </c>
      <c r="AY132" s="140">
        <v>0</v>
      </c>
      <c r="AZ132" s="140">
        <v>0</v>
      </c>
      <c r="BA132" s="140">
        <v>0</v>
      </c>
      <c r="BB132" s="140">
        <v>0</v>
      </c>
      <c r="BC132" s="140">
        <v>0</v>
      </c>
      <c r="BD132" s="140">
        <v>0</v>
      </c>
      <c r="BE132" s="140">
        <v>0</v>
      </c>
      <c r="BF132" s="140">
        <v>0</v>
      </c>
      <c r="BG132" s="140">
        <v>0</v>
      </c>
      <c r="BH132" s="140">
        <v>0</v>
      </c>
      <c r="BI132" s="140">
        <v>0</v>
      </c>
      <c r="BJ132" s="140">
        <v>0</v>
      </c>
      <c r="BK132" s="140">
        <v>0</v>
      </c>
      <c r="BL132" s="140">
        <v>0</v>
      </c>
      <c r="BM132" s="140">
        <v>0</v>
      </c>
      <c r="BN132" s="140">
        <v>0</v>
      </c>
      <c r="BO132" s="140">
        <v>0</v>
      </c>
      <c r="BX132" s="43">
        <v>12</v>
      </c>
      <c r="BY132" s="90">
        <f t="shared" si="8"/>
        <v>1</v>
      </c>
      <c r="CT132" s="90">
        <f t="shared" si="9"/>
        <v>0</v>
      </c>
      <c r="CU132" s="90">
        <f t="shared" si="10"/>
        <v>0</v>
      </c>
    </row>
    <row r="133" spans="1:99" ht="12" customHeight="1">
      <c r="A133" s="43">
        <v>6566</v>
      </c>
      <c r="B133" s="89" t="s">
        <v>312</v>
      </c>
      <c r="C133" s="89" t="s">
        <v>659</v>
      </c>
      <c r="D133" s="89" t="s">
        <v>660</v>
      </c>
      <c r="F133" s="43">
        <v>527021</v>
      </c>
      <c r="G133" s="43">
        <v>175153</v>
      </c>
      <c r="H133" s="89" t="s">
        <v>170</v>
      </c>
      <c r="I133" s="125">
        <v>43200</v>
      </c>
      <c r="J133" s="117">
        <v>43739</v>
      </c>
      <c r="K133" s="140">
        <v>2</v>
      </c>
      <c r="L133" s="140">
        <v>2</v>
      </c>
      <c r="M133" s="140">
        <v>0</v>
      </c>
      <c r="N133" s="140">
        <v>3</v>
      </c>
      <c r="O133" s="140">
        <v>1</v>
      </c>
      <c r="Q133" s="89" t="s">
        <v>662</v>
      </c>
      <c r="R133" s="43" t="s">
        <v>316</v>
      </c>
      <c r="S133" s="125">
        <v>43054</v>
      </c>
      <c r="T133" s="117">
        <v>43164</v>
      </c>
      <c r="V133" s="43" t="s">
        <v>317</v>
      </c>
      <c r="X133" s="43" t="s">
        <v>318</v>
      </c>
      <c r="Y133" s="43" t="s">
        <v>319</v>
      </c>
      <c r="Z133" s="43" t="s">
        <v>320</v>
      </c>
      <c r="AA133" s="43" t="s">
        <v>321</v>
      </c>
      <c r="AB133" s="144">
        <v>8.9999996125698107E-3</v>
      </c>
      <c r="AC133" s="125">
        <v>43200</v>
      </c>
      <c r="AE133" s="117">
        <v>43739</v>
      </c>
      <c r="AF133" s="43" t="s">
        <v>75</v>
      </c>
      <c r="AG133" s="43" t="s">
        <v>322</v>
      </c>
      <c r="AJ133" s="140">
        <v>0</v>
      </c>
      <c r="AK133" s="140">
        <v>0</v>
      </c>
      <c r="AL133" s="140">
        <v>0</v>
      </c>
      <c r="AM133" s="140">
        <v>0</v>
      </c>
      <c r="AN133" s="140">
        <v>0</v>
      </c>
      <c r="AO133" s="140">
        <v>0</v>
      </c>
      <c r="AP133" s="140">
        <v>0</v>
      </c>
      <c r="AQ133" s="140">
        <v>1</v>
      </c>
      <c r="AR133" s="140">
        <v>-1</v>
      </c>
      <c r="AS133" s="140">
        <v>0</v>
      </c>
      <c r="AT133" s="140">
        <v>0</v>
      </c>
      <c r="AU133" s="140">
        <v>0</v>
      </c>
      <c r="AV133" s="140">
        <v>0</v>
      </c>
      <c r="AW133" s="140">
        <v>0</v>
      </c>
      <c r="AX133" s="140">
        <v>1</v>
      </c>
      <c r="AY133" s="140">
        <v>-1</v>
      </c>
      <c r="AZ133" s="140">
        <v>0</v>
      </c>
      <c r="BA133" s="140">
        <v>0</v>
      </c>
      <c r="BB133" s="140">
        <v>0</v>
      </c>
      <c r="BC133" s="140">
        <v>0</v>
      </c>
      <c r="BD133" s="140">
        <v>0</v>
      </c>
      <c r="BE133" s="140">
        <v>0</v>
      </c>
      <c r="BF133" s="140">
        <v>0</v>
      </c>
      <c r="BG133" s="140">
        <v>0</v>
      </c>
      <c r="BH133" s="140">
        <v>0</v>
      </c>
      <c r="BI133" s="140">
        <v>0</v>
      </c>
      <c r="BJ133" s="140">
        <v>0</v>
      </c>
      <c r="BK133" s="140">
        <v>0</v>
      </c>
      <c r="BL133" s="140">
        <v>0</v>
      </c>
      <c r="BM133" s="140">
        <v>0</v>
      </c>
      <c r="BN133" s="140">
        <v>0</v>
      </c>
      <c r="BO133" s="140">
        <v>0</v>
      </c>
      <c r="BX133" s="43">
        <v>12</v>
      </c>
      <c r="BY133" s="90">
        <f t="shared" si="8"/>
        <v>0</v>
      </c>
      <c r="CT133" s="90">
        <f t="shared" si="9"/>
        <v>0</v>
      </c>
      <c r="CU133" s="90">
        <f t="shared" si="10"/>
        <v>0</v>
      </c>
    </row>
    <row r="134" spans="1:99" ht="12" customHeight="1">
      <c r="A134" s="43">
        <v>6585</v>
      </c>
      <c r="B134" s="89" t="s">
        <v>312</v>
      </c>
      <c r="C134" s="89" t="s">
        <v>663</v>
      </c>
      <c r="D134" s="89" t="s">
        <v>664</v>
      </c>
      <c r="F134" s="43">
        <v>527915</v>
      </c>
      <c r="G134" s="43">
        <v>175487</v>
      </c>
      <c r="H134" s="89" t="s">
        <v>175</v>
      </c>
      <c r="I134" s="125">
        <v>43360</v>
      </c>
      <c r="J134" s="117">
        <v>43920</v>
      </c>
      <c r="K134" s="140">
        <v>2</v>
      </c>
      <c r="L134" s="140">
        <v>3</v>
      </c>
      <c r="M134" s="140">
        <v>1</v>
      </c>
      <c r="N134" s="140">
        <v>5</v>
      </c>
      <c r="O134" s="140">
        <v>2</v>
      </c>
      <c r="Q134" s="89" t="s">
        <v>665</v>
      </c>
      <c r="R134" s="43" t="s">
        <v>316</v>
      </c>
      <c r="S134" s="125">
        <v>43108</v>
      </c>
      <c r="T134" s="117">
        <v>43213</v>
      </c>
      <c r="V134" s="43" t="s">
        <v>317</v>
      </c>
      <c r="X134" s="43" t="s">
        <v>318</v>
      </c>
      <c r="Y134" s="43" t="s">
        <v>319</v>
      </c>
      <c r="Z134" s="43" t="s">
        <v>320</v>
      </c>
      <c r="AA134" s="43" t="s">
        <v>353</v>
      </c>
      <c r="AB134" s="144">
        <v>1.2000000104308101E-2</v>
      </c>
      <c r="AC134" s="125">
        <v>43360</v>
      </c>
      <c r="AE134" s="117">
        <v>43920</v>
      </c>
      <c r="AF134" s="43" t="s">
        <v>75</v>
      </c>
      <c r="AG134" s="43" t="s">
        <v>322</v>
      </c>
      <c r="AJ134" s="140">
        <v>0</v>
      </c>
      <c r="AK134" s="140">
        <v>0</v>
      </c>
      <c r="AL134" s="140">
        <v>0</v>
      </c>
      <c r="AM134" s="140">
        <v>0</v>
      </c>
      <c r="AN134" s="140">
        <v>1</v>
      </c>
      <c r="AO134" s="140">
        <v>-2</v>
      </c>
      <c r="AP134" s="140">
        <v>0</v>
      </c>
      <c r="AQ134" s="140">
        <v>2</v>
      </c>
      <c r="AR134" s="140">
        <v>0</v>
      </c>
      <c r="AS134" s="140">
        <v>0</v>
      </c>
      <c r="AT134" s="140">
        <v>0</v>
      </c>
      <c r="AU134" s="140">
        <v>1</v>
      </c>
      <c r="AV134" s="140">
        <v>-2</v>
      </c>
      <c r="AW134" s="140">
        <v>0</v>
      </c>
      <c r="AX134" s="140">
        <v>2</v>
      </c>
      <c r="AY134" s="140">
        <v>0</v>
      </c>
      <c r="AZ134" s="140">
        <v>0</v>
      </c>
      <c r="BA134" s="140">
        <v>0</v>
      </c>
      <c r="BB134" s="140">
        <v>0</v>
      </c>
      <c r="BC134" s="140">
        <v>0</v>
      </c>
      <c r="BD134" s="140">
        <v>0</v>
      </c>
      <c r="BE134" s="140">
        <v>0</v>
      </c>
      <c r="BF134" s="140">
        <v>0</v>
      </c>
      <c r="BG134" s="140">
        <v>0</v>
      </c>
      <c r="BH134" s="140">
        <v>0</v>
      </c>
      <c r="BI134" s="140">
        <v>0</v>
      </c>
      <c r="BJ134" s="140">
        <v>0</v>
      </c>
      <c r="BK134" s="140">
        <v>0</v>
      </c>
      <c r="BL134" s="140">
        <v>0</v>
      </c>
      <c r="BM134" s="140">
        <v>0</v>
      </c>
      <c r="BN134" s="140">
        <v>0</v>
      </c>
      <c r="BO134" s="140">
        <v>0</v>
      </c>
      <c r="BX134" s="43">
        <v>12</v>
      </c>
      <c r="BY134" s="90">
        <f t="shared" si="8"/>
        <v>1</v>
      </c>
      <c r="CT134" s="90">
        <f t="shared" si="9"/>
        <v>0</v>
      </c>
      <c r="CU134" s="90">
        <f t="shared" si="10"/>
        <v>0</v>
      </c>
    </row>
    <row r="135" spans="1:99" ht="12" customHeight="1">
      <c r="A135" s="43">
        <v>6585</v>
      </c>
      <c r="B135" s="89" t="s">
        <v>312</v>
      </c>
      <c r="C135" s="89" t="s">
        <v>663</v>
      </c>
      <c r="D135" s="89" t="s">
        <v>664</v>
      </c>
      <c r="F135" s="43">
        <v>527915</v>
      </c>
      <c r="G135" s="43">
        <v>175487</v>
      </c>
      <c r="H135" s="89" t="s">
        <v>175</v>
      </c>
      <c r="I135" s="125">
        <v>43360</v>
      </c>
      <c r="J135" s="117">
        <v>43920</v>
      </c>
      <c r="K135" s="140">
        <v>1</v>
      </c>
      <c r="L135" s="140">
        <v>2</v>
      </c>
      <c r="M135" s="140">
        <v>1</v>
      </c>
      <c r="N135" s="140">
        <v>5</v>
      </c>
      <c r="O135" s="140">
        <v>2</v>
      </c>
      <c r="Q135" s="89" t="s">
        <v>665</v>
      </c>
      <c r="R135" s="43" t="s">
        <v>316</v>
      </c>
      <c r="S135" s="125">
        <v>43108</v>
      </c>
      <c r="T135" s="117">
        <v>43213</v>
      </c>
      <c r="V135" s="43" t="s">
        <v>317</v>
      </c>
      <c r="X135" s="43" t="s">
        <v>318</v>
      </c>
      <c r="Y135" s="43" t="s">
        <v>319</v>
      </c>
      <c r="Z135" s="43" t="s">
        <v>320</v>
      </c>
      <c r="AA135" s="43" t="s">
        <v>321</v>
      </c>
      <c r="AB135" s="144">
        <v>8.9999996125698107E-3</v>
      </c>
      <c r="AC135" s="125">
        <v>43360</v>
      </c>
      <c r="AE135" s="117">
        <v>43920</v>
      </c>
      <c r="AF135" s="43" t="s">
        <v>75</v>
      </c>
      <c r="AG135" s="43" t="s">
        <v>322</v>
      </c>
      <c r="AJ135" s="140">
        <v>0</v>
      </c>
      <c r="AK135" s="140">
        <v>0</v>
      </c>
      <c r="AL135" s="140">
        <v>0</v>
      </c>
      <c r="AM135" s="140">
        <v>0</v>
      </c>
      <c r="AN135" s="140">
        <v>0</v>
      </c>
      <c r="AO135" s="140">
        <v>1</v>
      </c>
      <c r="AP135" s="140">
        <v>1</v>
      </c>
      <c r="AQ135" s="140">
        <v>0</v>
      </c>
      <c r="AR135" s="140">
        <v>-1</v>
      </c>
      <c r="AS135" s="140">
        <v>0</v>
      </c>
      <c r="AT135" s="140">
        <v>0</v>
      </c>
      <c r="AU135" s="140">
        <v>0</v>
      </c>
      <c r="AV135" s="140">
        <v>1</v>
      </c>
      <c r="AW135" s="140">
        <v>1</v>
      </c>
      <c r="AX135" s="140">
        <v>0</v>
      </c>
      <c r="AY135" s="140">
        <v>-1</v>
      </c>
      <c r="AZ135" s="140">
        <v>0</v>
      </c>
      <c r="BA135" s="140">
        <v>0</v>
      </c>
      <c r="BB135" s="140">
        <v>0</v>
      </c>
      <c r="BC135" s="140">
        <v>0</v>
      </c>
      <c r="BD135" s="140">
        <v>0</v>
      </c>
      <c r="BE135" s="140">
        <v>0</v>
      </c>
      <c r="BF135" s="140">
        <v>0</v>
      </c>
      <c r="BG135" s="140">
        <v>0</v>
      </c>
      <c r="BH135" s="140">
        <v>0</v>
      </c>
      <c r="BI135" s="140">
        <v>0</v>
      </c>
      <c r="BJ135" s="140">
        <v>0</v>
      </c>
      <c r="BK135" s="140">
        <v>0</v>
      </c>
      <c r="BL135" s="140">
        <v>0</v>
      </c>
      <c r="BM135" s="140">
        <v>0</v>
      </c>
      <c r="BN135" s="140">
        <v>0</v>
      </c>
      <c r="BO135" s="140">
        <v>0</v>
      </c>
      <c r="BX135" s="43">
        <v>12</v>
      </c>
      <c r="BY135" s="90">
        <f t="shared" si="8"/>
        <v>1</v>
      </c>
      <c r="CT135" s="90">
        <f t="shared" si="9"/>
        <v>0</v>
      </c>
      <c r="CU135" s="90">
        <f t="shared" si="10"/>
        <v>0</v>
      </c>
    </row>
    <row r="136" spans="1:99" ht="12" customHeight="1">
      <c r="A136" s="43">
        <v>6603</v>
      </c>
      <c r="B136" s="89" t="s">
        <v>312</v>
      </c>
      <c r="C136" s="89" t="s">
        <v>666</v>
      </c>
      <c r="D136" s="89" t="s">
        <v>667</v>
      </c>
      <c r="F136" s="43">
        <v>527511</v>
      </c>
      <c r="G136" s="43">
        <v>170980</v>
      </c>
      <c r="H136" s="89" t="s">
        <v>172</v>
      </c>
      <c r="I136" s="125">
        <v>43549</v>
      </c>
      <c r="J136" s="117">
        <v>43759</v>
      </c>
      <c r="K136" s="140">
        <v>0</v>
      </c>
      <c r="L136" s="140">
        <v>1</v>
      </c>
      <c r="M136" s="140">
        <v>1</v>
      </c>
      <c r="N136" s="140">
        <v>1</v>
      </c>
      <c r="O136" s="140">
        <v>1</v>
      </c>
      <c r="Q136" s="89" t="s">
        <v>668</v>
      </c>
      <c r="R136" s="43" t="s">
        <v>316</v>
      </c>
      <c r="S136" s="125">
        <v>42860</v>
      </c>
      <c r="T136" s="117">
        <v>42978</v>
      </c>
      <c r="V136" s="43" t="s">
        <v>317</v>
      </c>
      <c r="X136" s="43" t="s">
        <v>318</v>
      </c>
      <c r="Y136" s="43" t="s">
        <v>319</v>
      </c>
      <c r="Z136" s="43" t="s">
        <v>320</v>
      </c>
      <c r="AA136" s="43" t="s">
        <v>353</v>
      </c>
      <c r="AB136" s="144">
        <v>4.9999998882412902E-3</v>
      </c>
      <c r="AC136" s="125">
        <v>43549</v>
      </c>
      <c r="AE136" s="117">
        <v>43759</v>
      </c>
      <c r="AF136" s="43" t="s">
        <v>75</v>
      </c>
      <c r="AG136" s="43" t="s">
        <v>322</v>
      </c>
      <c r="AJ136" s="140">
        <v>0</v>
      </c>
      <c r="AK136" s="140">
        <v>0</v>
      </c>
      <c r="AL136" s="140">
        <v>0</v>
      </c>
      <c r="AM136" s="140">
        <v>0</v>
      </c>
      <c r="AN136" s="140">
        <v>0</v>
      </c>
      <c r="AO136" s="140">
        <v>1</v>
      </c>
      <c r="AP136" s="140">
        <v>0</v>
      </c>
      <c r="AQ136" s="140">
        <v>0</v>
      </c>
      <c r="AR136" s="140">
        <v>0</v>
      </c>
      <c r="AS136" s="140">
        <v>0</v>
      </c>
      <c r="AT136" s="140">
        <v>0</v>
      </c>
      <c r="AU136" s="140">
        <v>0</v>
      </c>
      <c r="AV136" s="140">
        <v>1</v>
      </c>
      <c r="AW136" s="140">
        <v>0</v>
      </c>
      <c r="AX136" s="140">
        <v>0</v>
      </c>
      <c r="AY136" s="140">
        <v>0</v>
      </c>
      <c r="AZ136" s="140">
        <v>0</v>
      </c>
      <c r="BA136" s="140">
        <v>0</v>
      </c>
      <c r="BB136" s="140">
        <v>0</v>
      </c>
      <c r="BC136" s="140">
        <v>0</v>
      </c>
      <c r="BD136" s="140">
        <v>0</v>
      </c>
      <c r="BE136" s="140">
        <v>0</v>
      </c>
      <c r="BF136" s="140">
        <v>0</v>
      </c>
      <c r="BG136" s="140">
        <v>0</v>
      </c>
      <c r="BH136" s="140">
        <v>0</v>
      </c>
      <c r="BI136" s="140">
        <v>0</v>
      </c>
      <c r="BJ136" s="140">
        <v>0</v>
      </c>
      <c r="BK136" s="140">
        <v>0</v>
      </c>
      <c r="BL136" s="140">
        <v>0</v>
      </c>
      <c r="BM136" s="140">
        <v>0</v>
      </c>
      <c r="BN136" s="140">
        <v>0</v>
      </c>
      <c r="BO136" s="140">
        <v>0</v>
      </c>
      <c r="BX136" s="43">
        <v>12</v>
      </c>
      <c r="BY136" s="90">
        <f t="shared" si="8"/>
        <v>1</v>
      </c>
      <c r="CT136" s="90">
        <f t="shared" si="9"/>
        <v>0</v>
      </c>
      <c r="CU136" s="90">
        <f t="shared" si="10"/>
        <v>0</v>
      </c>
    </row>
    <row r="137" spans="1:99" ht="12" customHeight="1">
      <c r="A137" s="43">
        <v>6617</v>
      </c>
      <c r="B137" s="89" t="s">
        <v>312</v>
      </c>
      <c r="C137" s="89" t="s">
        <v>669</v>
      </c>
      <c r="D137" s="89" t="s">
        <v>670</v>
      </c>
      <c r="F137" s="43">
        <v>528284</v>
      </c>
      <c r="G137" s="43">
        <v>172328</v>
      </c>
      <c r="H137" s="89" t="s">
        <v>167</v>
      </c>
      <c r="I137" s="125">
        <v>43409</v>
      </c>
      <c r="J137" s="117">
        <v>43894</v>
      </c>
      <c r="K137" s="140">
        <v>0</v>
      </c>
      <c r="L137" s="140">
        <v>3</v>
      </c>
      <c r="M137" s="140">
        <v>3</v>
      </c>
      <c r="N137" s="140">
        <v>3</v>
      </c>
      <c r="O137" s="140">
        <v>3</v>
      </c>
      <c r="Q137" s="89" t="s">
        <v>671</v>
      </c>
      <c r="R137" s="43" t="s">
        <v>316</v>
      </c>
      <c r="S137" s="125">
        <v>43011</v>
      </c>
      <c r="T137" s="117">
        <v>43129</v>
      </c>
      <c r="V137" s="43" t="s">
        <v>317</v>
      </c>
      <c r="X137" s="43" t="s">
        <v>318</v>
      </c>
      <c r="Y137" s="43" t="s">
        <v>319</v>
      </c>
      <c r="Z137" s="43" t="s">
        <v>320</v>
      </c>
      <c r="AA137" s="43" t="s">
        <v>636</v>
      </c>
      <c r="AB137" s="144">
        <v>1.60000007599592E-2</v>
      </c>
      <c r="AC137" s="125">
        <v>43409</v>
      </c>
      <c r="AE137" s="117">
        <v>43894</v>
      </c>
      <c r="AF137" s="43" t="s">
        <v>75</v>
      </c>
      <c r="AG137" s="43" t="s">
        <v>322</v>
      </c>
      <c r="AJ137" s="140">
        <v>0</v>
      </c>
      <c r="AK137" s="140">
        <v>0</v>
      </c>
      <c r="AL137" s="140">
        <v>0</v>
      </c>
      <c r="AM137" s="140">
        <v>0</v>
      </c>
      <c r="AN137" s="140">
        <v>0</v>
      </c>
      <c r="AO137" s="140">
        <v>1</v>
      </c>
      <c r="AP137" s="140">
        <v>1</v>
      </c>
      <c r="AQ137" s="140">
        <v>1</v>
      </c>
      <c r="AR137" s="140">
        <v>0</v>
      </c>
      <c r="AS137" s="140">
        <v>0</v>
      </c>
      <c r="AT137" s="140">
        <v>0</v>
      </c>
      <c r="AU137" s="140">
        <v>0</v>
      </c>
      <c r="AV137" s="140">
        <v>1</v>
      </c>
      <c r="AW137" s="140">
        <v>1</v>
      </c>
      <c r="AX137" s="140">
        <v>1</v>
      </c>
      <c r="AY137" s="140">
        <v>0</v>
      </c>
      <c r="AZ137" s="140">
        <v>0</v>
      </c>
      <c r="BA137" s="140">
        <v>0</v>
      </c>
      <c r="BB137" s="140">
        <v>0</v>
      </c>
      <c r="BC137" s="140">
        <v>0</v>
      </c>
      <c r="BD137" s="140">
        <v>0</v>
      </c>
      <c r="BE137" s="140">
        <v>0</v>
      </c>
      <c r="BF137" s="140">
        <v>0</v>
      </c>
      <c r="BG137" s="140">
        <v>0</v>
      </c>
      <c r="BH137" s="140">
        <v>0</v>
      </c>
      <c r="BI137" s="140">
        <v>0</v>
      </c>
      <c r="BJ137" s="140">
        <v>0</v>
      </c>
      <c r="BK137" s="140">
        <v>0</v>
      </c>
      <c r="BL137" s="140">
        <v>0</v>
      </c>
      <c r="BM137" s="140">
        <v>0</v>
      </c>
      <c r="BN137" s="140">
        <v>0</v>
      </c>
      <c r="BO137" s="140">
        <v>0</v>
      </c>
      <c r="BX137" s="43">
        <v>12</v>
      </c>
      <c r="BY137" s="90">
        <f t="shared" si="8"/>
        <v>3</v>
      </c>
      <c r="CT137" s="90">
        <f t="shared" si="9"/>
        <v>0</v>
      </c>
      <c r="CU137" s="90">
        <f t="shared" si="10"/>
        <v>0</v>
      </c>
    </row>
    <row r="138" spans="1:99" ht="12" customHeight="1">
      <c r="A138" s="43">
        <v>6621</v>
      </c>
      <c r="B138" s="89" t="s">
        <v>312</v>
      </c>
      <c r="C138" s="89" t="s">
        <v>672</v>
      </c>
      <c r="D138" s="89" t="s">
        <v>673</v>
      </c>
      <c r="F138" s="43">
        <v>523351</v>
      </c>
      <c r="G138" s="43">
        <v>175746</v>
      </c>
      <c r="H138" s="89" t="s">
        <v>178</v>
      </c>
      <c r="I138" s="125">
        <v>43190</v>
      </c>
      <c r="J138" s="117">
        <v>43573</v>
      </c>
      <c r="K138" s="140">
        <v>2</v>
      </c>
      <c r="L138" s="140">
        <v>1</v>
      </c>
      <c r="M138" s="140">
        <v>-1</v>
      </c>
      <c r="N138" s="140">
        <v>1</v>
      </c>
      <c r="O138" s="140">
        <v>-1</v>
      </c>
      <c r="Q138" s="89" t="s">
        <v>674</v>
      </c>
      <c r="R138" s="43" t="s">
        <v>316</v>
      </c>
      <c r="S138" s="125">
        <v>42895</v>
      </c>
      <c r="T138" s="117">
        <v>42951</v>
      </c>
      <c r="V138" s="43" t="s">
        <v>317</v>
      </c>
      <c r="X138" s="43" t="s">
        <v>318</v>
      </c>
      <c r="Y138" s="43" t="s">
        <v>319</v>
      </c>
      <c r="Z138" s="43" t="s">
        <v>320</v>
      </c>
      <c r="AA138" s="43" t="s">
        <v>22</v>
      </c>
      <c r="AB138" s="144">
        <v>1.2000000104308101E-2</v>
      </c>
      <c r="AC138" s="125">
        <v>43190</v>
      </c>
      <c r="AE138" s="117">
        <v>43573</v>
      </c>
      <c r="AF138" s="43" t="s">
        <v>75</v>
      </c>
      <c r="AG138" s="43" t="s">
        <v>322</v>
      </c>
      <c r="AJ138" s="140">
        <v>0</v>
      </c>
      <c r="AK138" s="140">
        <v>0</v>
      </c>
      <c r="AL138" s="140">
        <v>0</v>
      </c>
      <c r="AM138" s="140">
        <v>0</v>
      </c>
      <c r="AN138" s="140">
        <v>0</v>
      </c>
      <c r="AO138" s="140">
        <v>-1</v>
      </c>
      <c r="AP138" s="140">
        <v>0</v>
      </c>
      <c r="AQ138" s="140">
        <v>-1</v>
      </c>
      <c r="AR138" s="140">
        <v>0</v>
      </c>
      <c r="AS138" s="140">
        <v>1</v>
      </c>
      <c r="AT138" s="140">
        <v>0</v>
      </c>
      <c r="AU138" s="140">
        <v>0</v>
      </c>
      <c r="AV138" s="140">
        <v>-1</v>
      </c>
      <c r="AW138" s="140">
        <v>0</v>
      </c>
      <c r="AX138" s="140">
        <v>-1</v>
      </c>
      <c r="AY138" s="140">
        <v>0</v>
      </c>
      <c r="AZ138" s="140">
        <v>0</v>
      </c>
      <c r="BA138" s="140">
        <v>0</v>
      </c>
      <c r="BB138" s="140">
        <v>0</v>
      </c>
      <c r="BC138" s="140">
        <v>0</v>
      </c>
      <c r="BD138" s="140">
        <v>0</v>
      </c>
      <c r="BE138" s="140">
        <v>0</v>
      </c>
      <c r="BF138" s="140">
        <v>0</v>
      </c>
      <c r="BG138" s="140">
        <v>1</v>
      </c>
      <c r="BH138" s="140">
        <v>0</v>
      </c>
      <c r="BI138" s="140">
        <v>0</v>
      </c>
      <c r="BJ138" s="140">
        <v>0</v>
      </c>
      <c r="BK138" s="140">
        <v>0</v>
      </c>
      <c r="BL138" s="140">
        <v>0</v>
      </c>
      <c r="BM138" s="140">
        <v>0</v>
      </c>
      <c r="BN138" s="140">
        <v>0</v>
      </c>
      <c r="BO138" s="140">
        <v>0</v>
      </c>
      <c r="BX138" s="43">
        <v>12</v>
      </c>
      <c r="BY138" s="90">
        <f t="shared" si="8"/>
        <v>-1</v>
      </c>
      <c r="CT138" s="90">
        <f t="shared" si="9"/>
        <v>0</v>
      </c>
      <c r="CU138" s="90">
        <f t="shared" si="10"/>
        <v>0</v>
      </c>
    </row>
    <row r="139" spans="1:99" ht="12" customHeight="1">
      <c r="A139" s="43">
        <v>6626</v>
      </c>
      <c r="B139" s="89" t="s">
        <v>312</v>
      </c>
      <c r="C139" s="89" t="s">
        <v>675</v>
      </c>
      <c r="D139" s="89" t="s">
        <v>676</v>
      </c>
      <c r="F139" s="43">
        <v>528645</v>
      </c>
      <c r="G139" s="43">
        <v>175982</v>
      </c>
      <c r="H139" s="89" t="s">
        <v>148</v>
      </c>
      <c r="I139" s="125">
        <v>43555</v>
      </c>
      <c r="J139" s="117">
        <v>43837</v>
      </c>
      <c r="K139" s="140">
        <v>0</v>
      </c>
      <c r="L139" s="140">
        <v>4</v>
      </c>
      <c r="M139" s="140">
        <v>4</v>
      </c>
      <c r="N139" s="140">
        <v>5</v>
      </c>
      <c r="O139" s="140">
        <v>5</v>
      </c>
      <c r="Q139" s="89" t="s">
        <v>677</v>
      </c>
      <c r="R139" s="43" t="s">
        <v>316</v>
      </c>
      <c r="S139" s="125">
        <v>43123</v>
      </c>
      <c r="T139" s="117">
        <v>43335</v>
      </c>
      <c r="V139" s="43" t="s">
        <v>317</v>
      </c>
      <c r="X139" s="43" t="s">
        <v>318</v>
      </c>
      <c r="Y139" s="43" t="s">
        <v>319</v>
      </c>
      <c r="Z139" s="43" t="s">
        <v>320</v>
      </c>
      <c r="AA139" s="43" t="s">
        <v>36</v>
      </c>
      <c r="AB139" s="144">
        <v>1.2000000104308101E-2</v>
      </c>
      <c r="AC139" s="125">
        <v>43555</v>
      </c>
      <c r="AE139" s="117">
        <v>43837</v>
      </c>
      <c r="AF139" s="43" t="s">
        <v>75</v>
      </c>
      <c r="AG139" s="43" t="s">
        <v>322</v>
      </c>
      <c r="AJ139" s="140">
        <v>0</v>
      </c>
      <c r="AK139" s="140">
        <v>0</v>
      </c>
      <c r="AL139" s="140">
        <v>0</v>
      </c>
      <c r="AM139" s="140">
        <v>0</v>
      </c>
      <c r="AN139" s="140">
        <v>1</v>
      </c>
      <c r="AO139" s="140">
        <v>0</v>
      </c>
      <c r="AP139" s="140">
        <v>3</v>
      </c>
      <c r="AQ139" s="140">
        <v>0</v>
      </c>
      <c r="AR139" s="140">
        <v>0</v>
      </c>
      <c r="AS139" s="140">
        <v>0</v>
      </c>
      <c r="AT139" s="140">
        <v>0</v>
      </c>
      <c r="AU139" s="140">
        <v>1</v>
      </c>
      <c r="AV139" s="140">
        <v>0</v>
      </c>
      <c r="AW139" s="140">
        <v>3</v>
      </c>
      <c r="AX139" s="140">
        <v>0</v>
      </c>
      <c r="AY139" s="140">
        <v>0</v>
      </c>
      <c r="AZ139" s="140">
        <v>0</v>
      </c>
      <c r="BA139" s="140">
        <v>0</v>
      </c>
      <c r="BB139" s="140">
        <v>0</v>
      </c>
      <c r="BC139" s="140">
        <v>0</v>
      </c>
      <c r="BD139" s="140">
        <v>0</v>
      </c>
      <c r="BE139" s="140">
        <v>0</v>
      </c>
      <c r="BF139" s="140">
        <v>0</v>
      </c>
      <c r="BG139" s="140">
        <v>0</v>
      </c>
      <c r="BH139" s="140">
        <v>0</v>
      </c>
      <c r="BI139" s="140">
        <v>0</v>
      </c>
      <c r="BJ139" s="140">
        <v>0</v>
      </c>
      <c r="BK139" s="140">
        <v>0</v>
      </c>
      <c r="BL139" s="140">
        <v>0</v>
      </c>
      <c r="BM139" s="140">
        <v>0</v>
      </c>
      <c r="BN139" s="140">
        <v>0</v>
      </c>
      <c r="BO139" s="140">
        <v>0</v>
      </c>
      <c r="BX139" s="43">
        <v>12</v>
      </c>
      <c r="BY139" s="90">
        <f t="shared" si="8"/>
        <v>4</v>
      </c>
      <c r="CT139" s="90">
        <f t="shared" si="9"/>
        <v>0</v>
      </c>
      <c r="CU139" s="90">
        <f t="shared" si="10"/>
        <v>0</v>
      </c>
    </row>
    <row r="140" spans="1:99" ht="12" customHeight="1">
      <c r="A140" s="43">
        <v>6626</v>
      </c>
      <c r="B140" s="89" t="s">
        <v>312</v>
      </c>
      <c r="C140" s="89" t="s">
        <v>675</v>
      </c>
      <c r="D140" s="89" t="s">
        <v>676</v>
      </c>
      <c r="F140" s="43">
        <v>528645</v>
      </c>
      <c r="G140" s="43">
        <v>175982</v>
      </c>
      <c r="H140" s="89" t="s">
        <v>148</v>
      </c>
      <c r="I140" s="125">
        <v>43555</v>
      </c>
      <c r="J140" s="117">
        <v>43837</v>
      </c>
      <c r="K140" s="140">
        <v>0</v>
      </c>
      <c r="L140" s="140">
        <v>1</v>
      </c>
      <c r="M140" s="140">
        <v>1</v>
      </c>
      <c r="N140" s="140">
        <v>5</v>
      </c>
      <c r="O140" s="140">
        <v>5</v>
      </c>
      <c r="Q140" s="89" t="s">
        <v>677</v>
      </c>
      <c r="R140" s="43" t="s">
        <v>316</v>
      </c>
      <c r="S140" s="125">
        <v>43123</v>
      </c>
      <c r="T140" s="117">
        <v>43335</v>
      </c>
      <c r="V140" s="43" t="s">
        <v>317</v>
      </c>
      <c r="X140" s="43" t="s">
        <v>318</v>
      </c>
      <c r="Y140" s="43" t="s">
        <v>319</v>
      </c>
      <c r="Z140" s="43" t="s">
        <v>320</v>
      </c>
      <c r="AA140" s="43" t="s">
        <v>340</v>
      </c>
      <c r="AB140" s="144">
        <v>2.0000000949949E-3</v>
      </c>
      <c r="AC140" s="125">
        <v>43555</v>
      </c>
      <c r="AE140" s="117">
        <v>43837</v>
      </c>
      <c r="AF140" s="43" t="s">
        <v>75</v>
      </c>
      <c r="AG140" s="43" t="s">
        <v>322</v>
      </c>
      <c r="AJ140" s="140">
        <v>0</v>
      </c>
      <c r="AK140" s="140">
        <v>0</v>
      </c>
      <c r="AL140" s="140">
        <v>0</v>
      </c>
      <c r="AM140" s="140">
        <v>0</v>
      </c>
      <c r="AN140" s="140">
        <v>0</v>
      </c>
      <c r="AO140" s="140">
        <v>0</v>
      </c>
      <c r="AP140" s="140">
        <v>0</v>
      </c>
      <c r="AQ140" s="140">
        <v>1</v>
      </c>
      <c r="AR140" s="140">
        <v>0</v>
      </c>
      <c r="AS140" s="140">
        <v>0</v>
      </c>
      <c r="AT140" s="140">
        <v>0</v>
      </c>
      <c r="AU140" s="140">
        <v>0</v>
      </c>
      <c r="AV140" s="140">
        <v>0</v>
      </c>
      <c r="AW140" s="140">
        <v>0</v>
      </c>
      <c r="AX140" s="140">
        <v>1</v>
      </c>
      <c r="AY140" s="140">
        <v>0</v>
      </c>
      <c r="AZ140" s="140">
        <v>0</v>
      </c>
      <c r="BA140" s="140">
        <v>0</v>
      </c>
      <c r="BB140" s="140">
        <v>0</v>
      </c>
      <c r="BC140" s="140">
        <v>0</v>
      </c>
      <c r="BD140" s="140">
        <v>0</v>
      </c>
      <c r="BE140" s="140">
        <v>0</v>
      </c>
      <c r="BF140" s="140">
        <v>0</v>
      </c>
      <c r="BG140" s="140">
        <v>0</v>
      </c>
      <c r="BH140" s="140">
        <v>0</v>
      </c>
      <c r="BI140" s="140">
        <v>0</v>
      </c>
      <c r="BJ140" s="140">
        <v>0</v>
      </c>
      <c r="BK140" s="140">
        <v>0</v>
      </c>
      <c r="BL140" s="140">
        <v>0</v>
      </c>
      <c r="BM140" s="140">
        <v>0</v>
      </c>
      <c r="BN140" s="140">
        <v>0</v>
      </c>
      <c r="BO140" s="140">
        <v>0</v>
      </c>
      <c r="BX140" s="43">
        <v>12</v>
      </c>
      <c r="BY140" s="90">
        <f t="shared" si="8"/>
        <v>1</v>
      </c>
      <c r="CT140" s="90">
        <f t="shared" si="9"/>
        <v>0</v>
      </c>
      <c r="CU140" s="90">
        <f t="shared" si="10"/>
        <v>0</v>
      </c>
    </row>
    <row r="141" spans="1:99" ht="12" customHeight="1">
      <c r="A141" s="43">
        <v>6653</v>
      </c>
      <c r="B141" s="89" t="s">
        <v>312</v>
      </c>
      <c r="C141" s="89" t="s">
        <v>678</v>
      </c>
      <c r="D141" s="89" t="s">
        <v>679</v>
      </c>
      <c r="F141" s="43">
        <v>527197</v>
      </c>
      <c r="G141" s="43">
        <v>171575</v>
      </c>
      <c r="H141" s="89" t="s">
        <v>141</v>
      </c>
      <c r="I141" s="125">
        <v>43101</v>
      </c>
      <c r="J141" s="117">
        <v>43556</v>
      </c>
      <c r="K141" s="140">
        <v>1</v>
      </c>
      <c r="L141" s="140">
        <v>4</v>
      </c>
      <c r="M141" s="140">
        <v>3</v>
      </c>
      <c r="N141" s="140">
        <v>4</v>
      </c>
      <c r="O141" s="140">
        <v>3</v>
      </c>
      <c r="Q141" s="89" t="s">
        <v>680</v>
      </c>
      <c r="R141" s="43" t="s">
        <v>383</v>
      </c>
      <c r="S141" s="125">
        <v>43263</v>
      </c>
      <c r="T141" s="117">
        <v>43319</v>
      </c>
      <c r="V141" s="43" t="s">
        <v>384</v>
      </c>
      <c r="W141" s="117">
        <v>43501</v>
      </c>
      <c r="X141" s="43" t="s">
        <v>318</v>
      </c>
      <c r="Y141" s="43" t="s">
        <v>319</v>
      </c>
      <c r="Z141" s="43" t="s">
        <v>320</v>
      </c>
      <c r="AA141" s="43" t="s">
        <v>20</v>
      </c>
      <c r="AB141" s="144">
        <v>2.0999999716877899E-2</v>
      </c>
      <c r="AC141" s="125">
        <v>43101</v>
      </c>
      <c r="AE141" s="117">
        <v>43556</v>
      </c>
      <c r="AF141" s="43" t="s">
        <v>75</v>
      </c>
      <c r="AG141" s="43" t="s">
        <v>322</v>
      </c>
      <c r="AJ141" s="140">
        <v>0</v>
      </c>
      <c r="AK141" s="140">
        <v>0</v>
      </c>
      <c r="AL141" s="140">
        <v>0</v>
      </c>
      <c r="AM141" s="140">
        <v>0</v>
      </c>
      <c r="AN141" s="140">
        <v>2</v>
      </c>
      <c r="AO141" s="140">
        <v>0</v>
      </c>
      <c r="AP141" s="140">
        <v>1</v>
      </c>
      <c r="AQ141" s="140">
        <v>1</v>
      </c>
      <c r="AR141" s="140">
        <v>0</v>
      </c>
      <c r="AS141" s="140">
        <v>-1</v>
      </c>
      <c r="AT141" s="140">
        <v>0</v>
      </c>
      <c r="AU141" s="140">
        <v>2</v>
      </c>
      <c r="AV141" s="140">
        <v>0</v>
      </c>
      <c r="AW141" s="140">
        <v>1</v>
      </c>
      <c r="AX141" s="140">
        <v>1</v>
      </c>
      <c r="AY141" s="140">
        <v>0</v>
      </c>
      <c r="AZ141" s="140">
        <v>0</v>
      </c>
      <c r="BA141" s="140">
        <v>0</v>
      </c>
      <c r="BB141" s="140">
        <v>0</v>
      </c>
      <c r="BC141" s="140">
        <v>0</v>
      </c>
      <c r="BD141" s="140">
        <v>0</v>
      </c>
      <c r="BE141" s="140">
        <v>0</v>
      </c>
      <c r="BF141" s="140">
        <v>0</v>
      </c>
      <c r="BG141" s="140">
        <v>-1</v>
      </c>
      <c r="BH141" s="140">
        <v>0</v>
      </c>
      <c r="BI141" s="140">
        <v>0</v>
      </c>
      <c r="BJ141" s="140">
        <v>0</v>
      </c>
      <c r="BK141" s="140">
        <v>0</v>
      </c>
      <c r="BL141" s="140">
        <v>0</v>
      </c>
      <c r="BM141" s="140">
        <v>0</v>
      </c>
      <c r="BN141" s="140">
        <v>0</v>
      </c>
      <c r="BO141" s="140">
        <v>0</v>
      </c>
      <c r="BX141" s="43">
        <v>12</v>
      </c>
      <c r="BY141" s="90">
        <f t="shared" si="8"/>
        <v>3</v>
      </c>
      <c r="CT141" s="90">
        <f t="shared" si="9"/>
        <v>0</v>
      </c>
      <c r="CU141" s="90">
        <f t="shared" si="10"/>
        <v>0</v>
      </c>
    </row>
    <row r="142" spans="1:99" ht="12" customHeight="1">
      <c r="A142" s="43">
        <v>6673</v>
      </c>
      <c r="B142" s="89" t="s">
        <v>312</v>
      </c>
      <c r="C142" s="89" t="s">
        <v>681</v>
      </c>
      <c r="D142" s="89" t="s">
        <v>682</v>
      </c>
      <c r="F142" s="43">
        <v>528235</v>
      </c>
      <c r="G142" s="43">
        <v>172221</v>
      </c>
      <c r="H142" s="89" t="s">
        <v>167</v>
      </c>
      <c r="I142" s="125">
        <v>43486</v>
      </c>
      <c r="J142" s="117">
        <v>43752</v>
      </c>
      <c r="K142" s="140">
        <v>0</v>
      </c>
      <c r="L142" s="140">
        <v>1</v>
      </c>
      <c r="M142" s="140">
        <v>1</v>
      </c>
      <c r="N142" s="140">
        <v>1</v>
      </c>
      <c r="O142" s="140">
        <v>1</v>
      </c>
      <c r="Q142" s="89" t="s">
        <v>683</v>
      </c>
      <c r="R142" s="43" t="s">
        <v>316</v>
      </c>
      <c r="S142" s="125">
        <v>42951</v>
      </c>
      <c r="T142" s="117">
        <v>43004</v>
      </c>
      <c r="V142" s="43" t="s">
        <v>317</v>
      </c>
      <c r="X142" s="43" t="s">
        <v>318</v>
      </c>
      <c r="Y142" s="43" t="s">
        <v>379</v>
      </c>
      <c r="Z142" s="43" t="s">
        <v>320</v>
      </c>
      <c r="AA142" s="43" t="s">
        <v>340</v>
      </c>
      <c r="AB142" s="144">
        <v>4.9999998882412902E-3</v>
      </c>
      <c r="AC142" s="125">
        <v>43486</v>
      </c>
      <c r="AE142" s="117">
        <v>43752</v>
      </c>
      <c r="AF142" s="43" t="s">
        <v>75</v>
      </c>
      <c r="AG142" s="43" t="s">
        <v>322</v>
      </c>
      <c r="AJ142" s="140">
        <v>0</v>
      </c>
      <c r="AK142" s="140">
        <v>0</v>
      </c>
      <c r="AL142" s="140">
        <v>0</v>
      </c>
      <c r="AM142" s="140">
        <v>0</v>
      </c>
      <c r="AN142" s="140">
        <v>0</v>
      </c>
      <c r="AO142" s="140">
        <v>1</v>
      </c>
      <c r="AP142" s="140">
        <v>0</v>
      </c>
      <c r="AQ142" s="140">
        <v>0</v>
      </c>
      <c r="AR142" s="140">
        <v>0</v>
      </c>
      <c r="AS142" s="140">
        <v>0</v>
      </c>
      <c r="AT142" s="140">
        <v>0</v>
      </c>
      <c r="AU142" s="140">
        <v>0</v>
      </c>
      <c r="AV142" s="140">
        <v>1</v>
      </c>
      <c r="AW142" s="140">
        <v>0</v>
      </c>
      <c r="AX142" s="140">
        <v>0</v>
      </c>
      <c r="AY142" s="140">
        <v>0</v>
      </c>
      <c r="AZ142" s="140">
        <v>0</v>
      </c>
      <c r="BA142" s="140">
        <v>0</v>
      </c>
      <c r="BB142" s="140">
        <v>0</v>
      </c>
      <c r="BC142" s="140">
        <v>0</v>
      </c>
      <c r="BD142" s="140">
        <v>0</v>
      </c>
      <c r="BE142" s="140">
        <v>0</v>
      </c>
      <c r="BF142" s="140">
        <v>0</v>
      </c>
      <c r="BG142" s="140">
        <v>0</v>
      </c>
      <c r="BH142" s="140">
        <v>0</v>
      </c>
      <c r="BI142" s="140">
        <v>0</v>
      </c>
      <c r="BJ142" s="140">
        <v>0</v>
      </c>
      <c r="BK142" s="140">
        <v>0</v>
      </c>
      <c r="BL142" s="140">
        <v>0</v>
      </c>
      <c r="BM142" s="140">
        <v>0</v>
      </c>
      <c r="BN142" s="140">
        <v>0</v>
      </c>
      <c r="BO142" s="140">
        <v>0</v>
      </c>
      <c r="BX142" s="43">
        <v>12</v>
      </c>
      <c r="BY142" s="90">
        <f t="shared" si="8"/>
        <v>1</v>
      </c>
      <c r="CT142" s="90">
        <f t="shared" si="9"/>
        <v>0</v>
      </c>
      <c r="CU142" s="90">
        <f t="shared" si="10"/>
        <v>0</v>
      </c>
    </row>
    <row r="143" spans="1:99" ht="12" customHeight="1">
      <c r="A143" s="43">
        <v>6674</v>
      </c>
      <c r="B143" s="89" t="s">
        <v>312</v>
      </c>
      <c r="C143" s="89" t="s">
        <v>684</v>
      </c>
      <c r="D143" s="89" t="s">
        <v>685</v>
      </c>
      <c r="F143" s="43">
        <v>528839</v>
      </c>
      <c r="G143" s="43">
        <v>171136</v>
      </c>
      <c r="H143" s="89" t="s">
        <v>171</v>
      </c>
      <c r="I143" s="125">
        <v>43234</v>
      </c>
      <c r="J143" s="117">
        <v>43781</v>
      </c>
      <c r="K143" s="140">
        <v>0</v>
      </c>
      <c r="L143" s="140">
        <v>2</v>
      </c>
      <c r="M143" s="140">
        <v>2</v>
      </c>
      <c r="N143" s="140">
        <v>3</v>
      </c>
      <c r="O143" s="140">
        <v>3</v>
      </c>
      <c r="Q143" s="89" t="s">
        <v>686</v>
      </c>
      <c r="R143" s="43" t="s">
        <v>316</v>
      </c>
      <c r="S143" s="125">
        <v>43003</v>
      </c>
      <c r="T143" s="117">
        <v>43059</v>
      </c>
      <c r="V143" s="43" t="s">
        <v>317</v>
      </c>
      <c r="X143" s="43" t="s">
        <v>318</v>
      </c>
      <c r="Y143" s="43" t="s">
        <v>319</v>
      </c>
      <c r="Z143" s="43" t="s">
        <v>320</v>
      </c>
      <c r="AA143" s="43" t="s">
        <v>353</v>
      </c>
      <c r="AB143" s="144">
        <v>4.9999998882412902E-3</v>
      </c>
      <c r="AC143" s="125">
        <v>43234</v>
      </c>
      <c r="AE143" s="117">
        <v>43781</v>
      </c>
      <c r="AF143" s="43" t="s">
        <v>75</v>
      </c>
      <c r="AG143" s="43" t="s">
        <v>322</v>
      </c>
      <c r="AJ143" s="140">
        <v>0</v>
      </c>
      <c r="AK143" s="140">
        <v>0</v>
      </c>
      <c r="AL143" s="140">
        <v>0</v>
      </c>
      <c r="AM143" s="140">
        <v>0</v>
      </c>
      <c r="AN143" s="140">
        <v>0</v>
      </c>
      <c r="AO143" s="140">
        <v>2</v>
      </c>
      <c r="AP143" s="140">
        <v>0</v>
      </c>
      <c r="AQ143" s="140">
        <v>0</v>
      </c>
      <c r="AR143" s="140">
        <v>0</v>
      </c>
      <c r="AS143" s="140">
        <v>0</v>
      </c>
      <c r="AT143" s="140">
        <v>0</v>
      </c>
      <c r="AU143" s="140">
        <v>0</v>
      </c>
      <c r="AV143" s="140">
        <v>2</v>
      </c>
      <c r="AW143" s="140">
        <v>0</v>
      </c>
      <c r="AX143" s="140">
        <v>0</v>
      </c>
      <c r="AY143" s="140">
        <v>0</v>
      </c>
      <c r="AZ143" s="140">
        <v>0</v>
      </c>
      <c r="BA143" s="140">
        <v>0</v>
      </c>
      <c r="BB143" s="140">
        <v>0</v>
      </c>
      <c r="BC143" s="140">
        <v>0</v>
      </c>
      <c r="BD143" s="140">
        <v>0</v>
      </c>
      <c r="BE143" s="140">
        <v>0</v>
      </c>
      <c r="BF143" s="140">
        <v>0</v>
      </c>
      <c r="BG143" s="140">
        <v>0</v>
      </c>
      <c r="BH143" s="140">
        <v>0</v>
      </c>
      <c r="BI143" s="140">
        <v>0</v>
      </c>
      <c r="BJ143" s="140">
        <v>0</v>
      </c>
      <c r="BK143" s="140">
        <v>0</v>
      </c>
      <c r="BL143" s="140">
        <v>0</v>
      </c>
      <c r="BM143" s="140">
        <v>0</v>
      </c>
      <c r="BN143" s="140">
        <v>0</v>
      </c>
      <c r="BO143" s="140">
        <v>0</v>
      </c>
      <c r="BX143" s="43">
        <v>12</v>
      </c>
      <c r="BY143" s="90">
        <f t="shared" si="8"/>
        <v>2</v>
      </c>
      <c r="CT143" s="90">
        <f t="shared" si="9"/>
        <v>0</v>
      </c>
      <c r="CU143" s="90">
        <f t="shared" si="10"/>
        <v>0</v>
      </c>
    </row>
    <row r="144" spans="1:99" ht="12" customHeight="1">
      <c r="A144" s="43">
        <v>6674</v>
      </c>
      <c r="B144" s="89" t="s">
        <v>312</v>
      </c>
      <c r="C144" s="89" t="s">
        <v>684</v>
      </c>
      <c r="D144" s="89" t="s">
        <v>685</v>
      </c>
      <c r="F144" s="43">
        <v>528839</v>
      </c>
      <c r="G144" s="43">
        <v>171136</v>
      </c>
      <c r="H144" s="89" t="s">
        <v>171</v>
      </c>
      <c r="I144" s="125">
        <v>43234</v>
      </c>
      <c r="J144" s="117">
        <v>43781</v>
      </c>
      <c r="K144" s="140">
        <v>0</v>
      </c>
      <c r="L144" s="140">
        <v>1</v>
      </c>
      <c r="M144" s="140">
        <v>1</v>
      </c>
      <c r="N144" s="140">
        <v>3</v>
      </c>
      <c r="O144" s="140">
        <v>3</v>
      </c>
      <c r="Q144" s="89" t="s">
        <v>686</v>
      </c>
      <c r="R144" s="43" t="s">
        <v>316</v>
      </c>
      <c r="S144" s="125">
        <v>43003</v>
      </c>
      <c r="T144" s="117">
        <v>43059</v>
      </c>
      <c r="V144" s="43" t="s">
        <v>317</v>
      </c>
      <c r="X144" s="43" t="s">
        <v>318</v>
      </c>
      <c r="Y144" s="43" t="s">
        <v>319</v>
      </c>
      <c r="Z144" s="43" t="s">
        <v>320</v>
      </c>
      <c r="AA144" s="43" t="s">
        <v>30</v>
      </c>
      <c r="AB144" s="144">
        <v>4.0000001899898104E-3</v>
      </c>
      <c r="AC144" s="125">
        <v>43234</v>
      </c>
      <c r="AE144" s="117">
        <v>43781</v>
      </c>
      <c r="AF144" s="43" t="s">
        <v>75</v>
      </c>
      <c r="AG144" s="43" t="s">
        <v>322</v>
      </c>
      <c r="AJ144" s="140">
        <v>0</v>
      </c>
      <c r="AK144" s="140">
        <v>0</v>
      </c>
      <c r="AL144" s="140">
        <v>0</v>
      </c>
      <c r="AM144" s="140">
        <v>0</v>
      </c>
      <c r="AN144" s="140">
        <v>0</v>
      </c>
      <c r="AO144" s="140">
        <v>0</v>
      </c>
      <c r="AP144" s="140">
        <v>1</v>
      </c>
      <c r="AQ144" s="140">
        <v>0</v>
      </c>
      <c r="AR144" s="140">
        <v>0</v>
      </c>
      <c r="AS144" s="140">
        <v>0</v>
      </c>
      <c r="AT144" s="140">
        <v>0</v>
      </c>
      <c r="AU144" s="140">
        <v>0</v>
      </c>
      <c r="AV144" s="140">
        <v>0</v>
      </c>
      <c r="AW144" s="140">
        <v>1</v>
      </c>
      <c r="AX144" s="140">
        <v>0</v>
      </c>
      <c r="AY144" s="140">
        <v>0</v>
      </c>
      <c r="AZ144" s="140">
        <v>0</v>
      </c>
      <c r="BA144" s="140">
        <v>0</v>
      </c>
      <c r="BB144" s="140">
        <v>0</v>
      </c>
      <c r="BC144" s="140">
        <v>0</v>
      </c>
      <c r="BD144" s="140">
        <v>0</v>
      </c>
      <c r="BE144" s="140">
        <v>0</v>
      </c>
      <c r="BF144" s="140">
        <v>0</v>
      </c>
      <c r="BG144" s="140">
        <v>0</v>
      </c>
      <c r="BH144" s="140">
        <v>0</v>
      </c>
      <c r="BI144" s="140">
        <v>0</v>
      </c>
      <c r="BJ144" s="140">
        <v>0</v>
      </c>
      <c r="BK144" s="140">
        <v>0</v>
      </c>
      <c r="BL144" s="140">
        <v>0</v>
      </c>
      <c r="BM144" s="140">
        <v>0</v>
      </c>
      <c r="BN144" s="140">
        <v>0</v>
      </c>
      <c r="BO144" s="140">
        <v>0</v>
      </c>
      <c r="BX144" s="43">
        <v>12</v>
      </c>
      <c r="BY144" s="90">
        <f t="shared" si="8"/>
        <v>1</v>
      </c>
      <c r="CT144" s="90">
        <f t="shared" si="9"/>
        <v>0</v>
      </c>
      <c r="CU144" s="90">
        <f t="shared" si="10"/>
        <v>0</v>
      </c>
    </row>
    <row r="145" spans="1:99" ht="12" customHeight="1">
      <c r="A145" s="43">
        <v>6677</v>
      </c>
      <c r="B145" s="89" t="s">
        <v>312</v>
      </c>
      <c r="C145" s="89" t="s">
        <v>687</v>
      </c>
      <c r="D145" s="89" t="s">
        <v>688</v>
      </c>
      <c r="F145" s="43">
        <v>527272</v>
      </c>
      <c r="G145" s="43">
        <v>175730</v>
      </c>
      <c r="H145" s="89" t="s">
        <v>147</v>
      </c>
      <c r="I145" s="125">
        <v>43190</v>
      </c>
      <c r="J145" s="117">
        <v>43921</v>
      </c>
      <c r="K145" s="140">
        <v>1</v>
      </c>
      <c r="L145" s="140">
        <v>2</v>
      </c>
      <c r="M145" s="140">
        <v>1</v>
      </c>
      <c r="N145" s="140">
        <v>2</v>
      </c>
      <c r="O145" s="140">
        <v>1</v>
      </c>
      <c r="Q145" s="89" t="s">
        <v>689</v>
      </c>
      <c r="R145" s="43" t="s">
        <v>316</v>
      </c>
      <c r="S145" s="125">
        <v>42941</v>
      </c>
      <c r="T145" s="117">
        <v>42997</v>
      </c>
      <c r="V145" s="43" t="s">
        <v>317</v>
      </c>
      <c r="X145" s="43" t="s">
        <v>318</v>
      </c>
      <c r="Y145" s="43" t="s">
        <v>319</v>
      </c>
      <c r="Z145" s="43" t="s">
        <v>320</v>
      </c>
      <c r="AA145" s="43" t="s">
        <v>321</v>
      </c>
      <c r="AB145" s="144">
        <v>6.0000000521540598E-3</v>
      </c>
      <c r="AC145" s="125">
        <v>43190</v>
      </c>
      <c r="AE145" s="117">
        <v>43921</v>
      </c>
      <c r="AF145" s="43" t="s">
        <v>75</v>
      </c>
      <c r="AG145" s="43" t="s">
        <v>322</v>
      </c>
      <c r="AJ145" s="140">
        <v>0</v>
      </c>
      <c r="AK145" s="140">
        <v>0</v>
      </c>
      <c r="AL145" s="140">
        <v>0</v>
      </c>
      <c r="AM145" s="140">
        <v>0</v>
      </c>
      <c r="AN145" s="140">
        <v>0</v>
      </c>
      <c r="AO145" s="140">
        <v>1</v>
      </c>
      <c r="AP145" s="140">
        <v>1</v>
      </c>
      <c r="AQ145" s="140">
        <v>-1</v>
      </c>
      <c r="AR145" s="140">
        <v>0</v>
      </c>
      <c r="AS145" s="140">
        <v>0</v>
      </c>
      <c r="AT145" s="140">
        <v>0</v>
      </c>
      <c r="AU145" s="140">
        <v>0</v>
      </c>
      <c r="AV145" s="140">
        <v>1</v>
      </c>
      <c r="AW145" s="140">
        <v>1</v>
      </c>
      <c r="AX145" s="140">
        <v>-1</v>
      </c>
      <c r="AY145" s="140">
        <v>0</v>
      </c>
      <c r="AZ145" s="140">
        <v>0</v>
      </c>
      <c r="BA145" s="140">
        <v>0</v>
      </c>
      <c r="BB145" s="140">
        <v>0</v>
      </c>
      <c r="BC145" s="140">
        <v>0</v>
      </c>
      <c r="BD145" s="140">
        <v>0</v>
      </c>
      <c r="BE145" s="140">
        <v>0</v>
      </c>
      <c r="BF145" s="140">
        <v>0</v>
      </c>
      <c r="BG145" s="140">
        <v>0</v>
      </c>
      <c r="BH145" s="140">
        <v>0</v>
      </c>
      <c r="BI145" s="140">
        <v>0</v>
      </c>
      <c r="BJ145" s="140">
        <v>0</v>
      </c>
      <c r="BK145" s="140">
        <v>0</v>
      </c>
      <c r="BL145" s="140">
        <v>0</v>
      </c>
      <c r="BM145" s="140">
        <v>0</v>
      </c>
      <c r="BN145" s="140">
        <v>0</v>
      </c>
      <c r="BO145" s="140">
        <v>0</v>
      </c>
      <c r="BX145" s="43">
        <v>12</v>
      </c>
      <c r="BY145" s="90">
        <f t="shared" si="8"/>
        <v>1</v>
      </c>
      <c r="CT145" s="90">
        <f t="shared" si="9"/>
        <v>0</v>
      </c>
      <c r="CU145" s="90">
        <f t="shared" si="10"/>
        <v>0</v>
      </c>
    </row>
    <row r="146" spans="1:99" ht="12" customHeight="1">
      <c r="A146" s="43">
        <v>6714</v>
      </c>
      <c r="B146" s="89" t="s">
        <v>312</v>
      </c>
      <c r="C146" s="89" t="s">
        <v>690</v>
      </c>
      <c r="D146" s="89" t="s">
        <v>691</v>
      </c>
      <c r="F146" s="43">
        <v>527984</v>
      </c>
      <c r="G146" s="43">
        <v>172301</v>
      </c>
      <c r="H146" s="89" t="s">
        <v>167</v>
      </c>
      <c r="I146" s="125">
        <v>43313</v>
      </c>
      <c r="J146" s="117">
        <v>43797</v>
      </c>
      <c r="K146" s="140">
        <v>2</v>
      </c>
      <c r="L146" s="140">
        <v>4</v>
      </c>
      <c r="M146" s="140">
        <v>2</v>
      </c>
      <c r="N146" s="140">
        <v>4</v>
      </c>
      <c r="O146" s="140">
        <v>2</v>
      </c>
      <c r="Q146" s="89" t="s">
        <v>692</v>
      </c>
      <c r="R146" s="43" t="s">
        <v>316</v>
      </c>
      <c r="S146" s="125">
        <v>43745</v>
      </c>
      <c r="T146" s="117">
        <v>43797</v>
      </c>
      <c r="U146" s="43" t="s">
        <v>329</v>
      </c>
      <c r="V146" s="43" t="s">
        <v>317</v>
      </c>
      <c r="X146" s="43" t="s">
        <v>318</v>
      </c>
      <c r="Y146" s="43" t="s">
        <v>319</v>
      </c>
      <c r="Z146" s="43" t="s">
        <v>320</v>
      </c>
      <c r="AA146" s="43" t="s">
        <v>321</v>
      </c>
      <c r="AB146" s="144">
        <v>8.9999996125698107E-3</v>
      </c>
      <c r="AC146" s="125">
        <v>43313</v>
      </c>
      <c r="AE146" s="117">
        <v>43797</v>
      </c>
      <c r="AF146" s="43" t="s">
        <v>75</v>
      </c>
      <c r="AG146" s="43" t="s">
        <v>322</v>
      </c>
      <c r="AJ146" s="140">
        <v>0</v>
      </c>
      <c r="AK146" s="140">
        <v>0</v>
      </c>
      <c r="AL146" s="140">
        <v>0</v>
      </c>
      <c r="AM146" s="140">
        <v>0</v>
      </c>
      <c r="AN146" s="140">
        <v>1</v>
      </c>
      <c r="AO146" s="140">
        <v>0</v>
      </c>
      <c r="AP146" s="140">
        <v>1</v>
      </c>
      <c r="AQ146" s="140">
        <v>0</v>
      </c>
      <c r="AR146" s="140">
        <v>0</v>
      </c>
      <c r="AS146" s="140">
        <v>0</v>
      </c>
      <c r="AT146" s="140">
        <v>0</v>
      </c>
      <c r="AU146" s="140">
        <v>1</v>
      </c>
      <c r="AV146" s="140">
        <v>0</v>
      </c>
      <c r="AW146" s="140">
        <v>1</v>
      </c>
      <c r="AX146" s="140">
        <v>0</v>
      </c>
      <c r="AY146" s="140">
        <v>0</v>
      </c>
      <c r="AZ146" s="140">
        <v>0</v>
      </c>
      <c r="BA146" s="140">
        <v>0</v>
      </c>
      <c r="BB146" s="140">
        <v>0</v>
      </c>
      <c r="BC146" s="140">
        <v>0</v>
      </c>
      <c r="BD146" s="140">
        <v>0</v>
      </c>
      <c r="BE146" s="140">
        <v>0</v>
      </c>
      <c r="BF146" s="140">
        <v>0</v>
      </c>
      <c r="BG146" s="140">
        <v>0</v>
      </c>
      <c r="BH146" s="140">
        <v>0</v>
      </c>
      <c r="BI146" s="140">
        <v>0</v>
      </c>
      <c r="BJ146" s="140">
        <v>0</v>
      </c>
      <c r="BK146" s="140">
        <v>0</v>
      </c>
      <c r="BL146" s="140">
        <v>0</v>
      </c>
      <c r="BM146" s="140">
        <v>0</v>
      </c>
      <c r="BN146" s="140">
        <v>0</v>
      </c>
      <c r="BO146" s="140">
        <v>0</v>
      </c>
      <c r="BX146" s="43">
        <v>12</v>
      </c>
      <c r="BY146" s="90">
        <f t="shared" si="8"/>
        <v>2</v>
      </c>
      <c r="CT146" s="90">
        <f t="shared" si="9"/>
        <v>0</v>
      </c>
      <c r="CU146" s="90">
        <f t="shared" si="10"/>
        <v>0</v>
      </c>
    </row>
    <row r="147" spans="1:99" ht="12" customHeight="1">
      <c r="A147" s="43">
        <v>6722</v>
      </c>
      <c r="B147" s="89" t="s">
        <v>312</v>
      </c>
      <c r="C147" s="89" t="s">
        <v>693</v>
      </c>
      <c r="D147" s="89" t="s">
        <v>694</v>
      </c>
      <c r="F147" s="43">
        <v>527248</v>
      </c>
      <c r="G147" s="43">
        <v>171364</v>
      </c>
      <c r="H147" s="89" t="s">
        <v>141</v>
      </c>
      <c r="I147" s="125">
        <v>43190</v>
      </c>
      <c r="J147" s="117">
        <v>43558</v>
      </c>
      <c r="K147" s="140">
        <v>2</v>
      </c>
      <c r="L147" s="140">
        <v>3</v>
      </c>
      <c r="M147" s="140">
        <v>1</v>
      </c>
      <c r="N147" s="140">
        <v>3</v>
      </c>
      <c r="O147" s="140">
        <v>1</v>
      </c>
      <c r="Q147" s="89" t="s">
        <v>695</v>
      </c>
      <c r="R147" s="43" t="s">
        <v>316</v>
      </c>
      <c r="S147" s="125">
        <v>43021</v>
      </c>
      <c r="T147" s="117">
        <v>43118</v>
      </c>
      <c r="V147" s="43" t="s">
        <v>317</v>
      </c>
      <c r="X147" s="43" t="s">
        <v>318</v>
      </c>
      <c r="Y147" s="43" t="s">
        <v>319</v>
      </c>
      <c r="Z147" s="43" t="s">
        <v>320</v>
      </c>
      <c r="AA147" s="43" t="s">
        <v>321</v>
      </c>
      <c r="AB147" s="144">
        <v>9.9999997764825804E-3</v>
      </c>
      <c r="AC147" s="125">
        <v>43190</v>
      </c>
      <c r="AE147" s="117">
        <v>43558</v>
      </c>
      <c r="AF147" s="43" t="s">
        <v>75</v>
      </c>
      <c r="AG147" s="43" t="s">
        <v>322</v>
      </c>
      <c r="AJ147" s="140">
        <v>0</v>
      </c>
      <c r="AK147" s="140">
        <v>0</v>
      </c>
      <c r="AL147" s="140">
        <v>0</v>
      </c>
      <c r="AM147" s="140">
        <v>0</v>
      </c>
      <c r="AN147" s="140">
        <v>0</v>
      </c>
      <c r="AO147" s="140">
        <v>1</v>
      </c>
      <c r="AP147" s="140">
        <v>0</v>
      </c>
      <c r="AQ147" s="140">
        <v>1</v>
      </c>
      <c r="AR147" s="140">
        <v>-1</v>
      </c>
      <c r="AS147" s="140">
        <v>0</v>
      </c>
      <c r="AT147" s="140">
        <v>0</v>
      </c>
      <c r="AU147" s="140">
        <v>0</v>
      </c>
      <c r="AV147" s="140">
        <v>1</v>
      </c>
      <c r="AW147" s="140">
        <v>0</v>
      </c>
      <c r="AX147" s="140">
        <v>1</v>
      </c>
      <c r="AY147" s="140">
        <v>-1</v>
      </c>
      <c r="AZ147" s="140">
        <v>0</v>
      </c>
      <c r="BA147" s="140">
        <v>0</v>
      </c>
      <c r="BB147" s="140">
        <v>0</v>
      </c>
      <c r="BC147" s="140">
        <v>0</v>
      </c>
      <c r="BD147" s="140">
        <v>0</v>
      </c>
      <c r="BE147" s="140">
        <v>0</v>
      </c>
      <c r="BF147" s="140">
        <v>0</v>
      </c>
      <c r="BG147" s="140">
        <v>0</v>
      </c>
      <c r="BH147" s="140">
        <v>0</v>
      </c>
      <c r="BI147" s="140">
        <v>0</v>
      </c>
      <c r="BJ147" s="140">
        <v>0</v>
      </c>
      <c r="BK147" s="140">
        <v>0</v>
      </c>
      <c r="BL147" s="140">
        <v>0</v>
      </c>
      <c r="BM147" s="140">
        <v>0</v>
      </c>
      <c r="BN147" s="140">
        <v>0</v>
      </c>
      <c r="BO147" s="140">
        <v>0</v>
      </c>
      <c r="BX147" s="43">
        <v>12</v>
      </c>
      <c r="BY147" s="90">
        <f t="shared" si="8"/>
        <v>1</v>
      </c>
      <c r="CT147" s="90">
        <f t="shared" si="9"/>
        <v>0</v>
      </c>
      <c r="CU147" s="90">
        <f t="shared" si="10"/>
        <v>0</v>
      </c>
    </row>
    <row r="148" spans="1:99" ht="12" customHeight="1">
      <c r="A148" s="43">
        <v>6731</v>
      </c>
      <c r="B148" s="89" t="s">
        <v>312</v>
      </c>
      <c r="C148" s="89" t="s">
        <v>696</v>
      </c>
      <c r="D148" s="89" t="s">
        <v>697</v>
      </c>
      <c r="F148" s="43">
        <v>523924</v>
      </c>
      <c r="G148" s="43">
        <v>175082</v>
      </c>
      <c r="H148" s="89" t="s">
        <v>178</v>
      </c>
      <c r="I148" s="125">
        <v>43647</v>
      </c>
      <c r="J148" s="117">
        <v>43888</v>
      </c>
      <c r="K148" s="140">
        <v>1</v>
      </c>
      <c r="L148" s="140">
        <v>2</v>
      </c>
      <c r="M148" s="140">
        <v>1</v>
      </c>
      <c r="N148" s="140">
        <v>2</v>
      </c>
      <c r="O148" s="140">
        <v>1</v>
      </c>
      <c r="Q148" s="89" t="s">
        <v>698</v>
      </c>
      <c r="R148" s="43" t="s">
        <v>316</v>
      </c>
      <c r="S148" s="125">
        <v>43034</v>
      </c>
      <c r="T148" s="117">
        <v>43088</v>
      </c>
      <c r="V148" s="43" t="s">
        <v>317</v>
      </c>
      <c r="X148" s="43" t="s">
        <v>318</v>
      </c>
      <c r="Y148" s="43" t="s">
        <v>348</v>
      </c>
      <c r="Z148" s="43" t="s">
        <v>320</v>
      </c>
      <c r="AA148" s="43" t="s">
        <v>321</v>
      </c>
      <c r="AB148" s="144">
        <v>6.0000000521540598E-3</v>
      </c>
      <c r="AC148" s="125">
        <v>43647</v>
      </c>
      <c r="AD148" s="43" t="s">
        <v>329</v>
      </c>
      <c r="AE148" s="117">
        <v>43888</v>
      </c>
      <c r="AF148" s="43" t="s">
        <v>75</v>
      </c>
      <c r="AG148" s="43" t="s">
        <v>322</v>
      </c>
      <c r="AJ148" s="140">
        <v>0</v>
      </c>
      <c r="AK148" s="140">
        <v>0</v>
      </c>
      <c r="AL148" s="140">
        <v>0</v>
      </c>
      <c r="AM148" s="140">
        <v>0</v>
      </c>
      <c r="AN148" s="140">
        <v>0</v>
      </c>
      <c r="AO148" s="140">
        <v>1</v>
      </c>
      <c r="AP148" s="140">
        <v>1</v>
      </c>
      <c r="AQ148" s="140">
        <v>-1</v>
      </c>
      <c r="AR148" s="140">
        <v>0</v>
      </c>
      <c r="AS148" s="140">
        <v>0</v>
      </c>
      <c r="AT148" s="140">
        <v>0</v>
      </c>
      <c r="AU148" s="140">
        <v>0</v>
      </c>
      <c r="AV148" s="140">
        <v>1</v>
      </c>
      <c r="AW148" s="140">
        <v>1</v>
      </c>
      <c r="AX148" s="140">
        <v>-1</v>
      </c>
      <c r="AY148" s="140">
        <v>0</v>
      </c>
      <c r="AZ148" s="140">
        <v>0</v>
      </c>
      <c r="BA148" s="140">
        <v>0</v>
      </c>
      <c r="BB148" s="140">
        <v>0</v>
      </c>
      <c r="BC148" s="140">
        <v>0</v>
      </c>
      <c r="BD148" s="140">
        <v>0</v>
      </c>
      <c r="BE148" s="140">
        <v>0</v>
      </c>
      <c r="BF148" s="140">
        <v>0</v>
      </c>
      <c r="BG148" s="140">
        <v>0</v>
      </c>
      <c r="BH148" s="140">
        <v>0</v>
      </c>
      <c r="BI148" s="140">
        <v>0</v>
      </c>
      <c r="BJ148" s="140">
        <v>0</v>
      </c>
      <c r="BK148" s="140">
        <v>0</v>
      </c>
      <c r="BL148" s="140">
        <v>0</v>
      </c>
      <c r="BM148" s="140">
        <v>0</v>
      </c>
      <c r="BN148" s="140">
        <v>0</v>
      </c>
      <c r="BO148" s="140">
        <v>0</v>
      </c>
      <c r="BP148" s="43" t="s">
        <v>140</v>
      </c>
      <c r="BX148" s="43">
        <v>12</v>
      </c>
      <c r="BY148" s="90">
        <f t="shared" si="8"/>
        <v>1</v>
      </c>
      <c r="CT148" s="90">
        <f t="shared" si="9"/>
        <v>0</v>
      </c>
      <c r="CU148" s="90">
        <f t="shared" si="10"/>
        <v>0</v>
      </c>
    </row>
    <row r="149" spans="1:99" ht="12" customHeight="1">
      <c r="A149" s="43">
        <v>6735</v>
      </c>
      <c r="B149" s="89" t="s">
        <v>312</v>
      </c>
      <c r="C149" s="89" t="s">
        <v>699</v>
      </c>
      <c r="D149" s="89" t="s">
        <v>700</v>
      </c>
      <c r="F149" s="43">
        <v>529413</v>
      </c>
      <c r="G149" s="43">
        <v>171159</v>
      </c>
      <c r="H149" s="89" t="s">
        <v>171</v>
      </c>
      <c r="I149" s="125">
        <v>43555</v>
      </c>
      <c r="J149" s="117">
        <v>43822</v>
      </c>
      <c r="K149" s="140">
        <v>0</v>
      </c>
      <c r="L149" s="140">
        <v>1</v>
      </c>
      <c r="M149" s="140">
        <v>1</v>
      </c>
      <c r="N149" s="140">
        <v>2</v>
      </c>
      <c r="O149" s="140">
        <v>0</v>
      </c>
      <c r="Q149" s="89" t="s">
        <v>701</v>
      </c>
      <c r="R149" s="43" t="s">
        <v>316</v>
      </c>
      <c r="S149" s="125">
        <v>43026</v>
      </c>
      <c r="T149" s="117">
        <v>43193</v>
      </c>
      <c r="V149" s="43" t="s">
        <v>317</v>
      </c>
      <c r="X149" s="43" t="s">
        <v>318</v>
      </c>
      <c r="Y149" s="43" t="s">
        <v>319</v>
      </c>
      <c r="Z149" s="43" t="s">
        <v>320</v>
      </c>
      <c r="AA149" s="43" t="s">
        <v>353</v>
      </c>
      <c r="AB149" s="144">
        <v>2.79999990016222E-3</v>
      </c>
      <c r="AC149" s="125">
        <v>43555</v>
      </c>
      <c r="AE149" s="117">
        <v>43822</v>
      </c>
      <c r="AF149" s="43" t="s">
        <v>75</v>
      </c>
      <c r="AG149" s="43" t="s">
        <v>322</v>
      </c>
      <c r="AJ149" s="140">
        <v>0</v>
      </c>
      <c r="AK149" s="140">
        <v>0</v>
      </c>
      <c r="AL149" s="140">
        <v>0</v>
      </c>
      <c r="AM149" s="140">
        <v>0</v>
      </c>
      <c r="AN149" s="140">
        <v>0</v>
      </c>
      <c r="AO149" s="140">
        <v>0</v>
      </c>
      <c r="AP149" s="140">
        <v>0</v>
      </c>
      <c r="AQ149" s="140">
        <v>1</v>
      </c>
      <c r="AR149" s="140">
        <v>0</v>
      </c>
      <c r="AS149" s="140">
        <v>0</v>
      </c>
      <c r="AT149" s="140">
        <v>0</v>
      </c>
      <c r="AU149" s="140">
        <v>0</v>
      </c>
      <c r="AV149" s="140">
        <v>0</v>
      </c>
      <c r="AW149" s="140">
        <v>0</v>
      </c>
      <c r="AX149" s="140">
        <v>0</v>
      </c>
      <c r="AY149" s="140">
        <v>0</v>
      </c>
      <c r="AZ149" s="140">
        <v>0</v>
      </c>
      <c r="BA149" s="140">
        <v>0</v>
      </c>
      <c r="BB149" s="140">
        <v>0</v>
      </c>
      <c r="BC149" s="140">
        <v>0</v>
      </c>
      <c r="BD149" s="140">
        <v>0</v>
      </c>
      <c r="BE149" s="140">
        <v>1</v>
      </c>
      <c r="BF149" s="140">
        <v>0</v>
      </c>
      <c r="BG149" s="140">
        <v>0</v>
      </c>
      <c r="BH149" s="140">
        <v>0</v>
      </c>
      <c r="BI149" s="140">
        <v>0</v>
      </c>
      <c r="BJ149" s="140">
        <v>0</v>
      </c>
      <c r="BK149" s="140">
        <v>0</v>
      </c>
      <c r="BL149" s="140">
        <v>0</v>
      </c>
      <c r="BM149" s="140">
        <v>0</v>
      </c>
      <c r="BN149" s="140">
        <v>0</v>
      </c>
      <c r="BO149" s="140">
        <v>0</v>
      </c>
      <c r="BX149" s="43">
        <v>12</v>
      </c>
      <c r="BY149" s="90">
        <f t="shared" si="8"/>
        <v>1</v>
      </c>
      <c r="CT149" s="90">
        <f t="shared" si="9"/>
        <v>0</v>
      </c>
      <c r="CU149" s="90">
        <f t="shared" si="10"/>
        <v>0</v>
      </c>
    </row>
    <row r="150" spans="1:99" ht="12" customHeight="1">
      <c r="A150" s="43">
        <v>6735</v>
      </c>
      <c r="B150" s="89" t="s">
        <v>312</v>
      </c>
      <c r="C150" s="89" t="s">
        <v>699</v>
      </c>
      <c r="D150" s="89" t="s">
        <v>700</v>
      </c>
      <c r="F150" s="43">
        <v>529413</v>
      </c>
      <c r="G150" s="43">
        <v>171159</v>
      </c>
      <c r="H150" s="89" t="s">
        <v>171</v>
      </c>
      <c r="I150" s="125">
        <v>43555</v>
      </c>
      <c r="J150" s="117">
        <v>43822</v>
      </c>
      <c r="K150" s="140">
        <v>2</v>
      </c>
      <c r="L150" s="140">
        <v>1</v>
      </c>
      <c r="M150" s="140">
        <v>-1</v>
      </c>
      <c r="N150" s="140">
        <v>2</v>
      </c>
      <c r="O150" s="140">
        <v>0</v>
      </c>
      <c r="Q150" s="89" t="s">
        <v>701</v>
      </c>
      <c r="R150" s="43" t="s">
        <v>316</v>
      </c>
      <c r="S150" s="125">
        <v>43026</v>
      </c>
      <c r="T150" s="117">
        <v>43193</v>
      </c>
      <c r="V150" s="43" t="s">
        <v>317</v>
      </c>
      <c r="X150" s="43" t="s">
        <v>318</v>
      </c>
      <c r="Y150" s="43" t="s">
        <v>319</v>
      </c>
      <c r="Z150" s="43" t="s">
        <v>320</v>
      </c>
      <c r="AA150" s="43" t="s">
        <v>636</v>
      </c>
      <c r="AB150" s="144">
        <v>4.9999998882412902E-3</v>
      </c>
      <c r="AC150" s="125">
        <v>43555</v>
      </c>
      <c r="AE150" s="117">
        <v>43822</v>
      </c>
      <c r="AF150" s="43" t="s">
        <v>75</v>
      </c>
      <c r="AG150" s="43" t="s">
        <v>322</v>
      </c>
      <c r="AJ150" s="140">
        <v>0</v>
      </c>
      <c r="AK150" s="140">
        <v>0</v>
      </c>
      <c r="AL150" s="140">
        <v>0</v>
      </c>
      <c r="AM150" s="140">
        <v>0</v>
      </c>
      <c r="AN150" s="140">
        <v>-1</v>
      </c>
      <c r="AO150" s="140">
        <v>0</v>
      </c>
      <c r="AP150" s="140">
        <v>0</v>
      </c>
      <c r="AQ150" s="140">
        <v>0</v>
      </c>
      <c r="AR150" s="140">
        <v>0</v>
      </c>
      <c r="AS150" s="140">
        <v>0</v>
      </c>
      <c r="AT150" s="140">
        <v>0</v>
      </c>
      <c r="AU150" s="140">
        <v>-1</v>
      </c>
      <c r="AV150" s="140">
        <v>0</v>
      </c>
      <c r="AW150" s="140">
        <v>0</v>
      </c>
      <c r="AX150" s="140">
        <v>0</v>
      </c>
      <c r="AY150" s="140">
        <v>0</v>
      </c>
      <c r="AZ150" s="140">
        <v>0</v>
      </c>
      <c r="BA150" s="140">
        <v>0</v>
      </c>
      <c r="BB150" s="140">
        <v>0</v>
      </c>
      <c r="BC150" s="140">
        <v>0</v>
      </c>
      <c r="BD150" s="140">
        <v>0</v>
      </c>
      <c r="BE150" s="140">
        <v>0</v>
      </c>
      <c r="BF150" s="140">
        <v>0</v>
      </c>
      <c r="BG150" s="140">
        <v>0</v>
      </c>
      <c r="BH150" s="140">
        <v>0</v>
      </c>
      <c r="BI150" s="140">
        <v>0</v>
      </c>
      <c r="BJ150" s="140">
        <v>0</v>
      </c>
      <c r="BK150" s="140">
        <v>0</v>
      </c>
      <c r="BL150" s="140">
        <v>0</v>
      </c>
      <c r="BM150" s="140">
        <v>0</v>
      </c>
      <c r="BN150" s="140">
        <v>0</v>
      </c>
      <c r="BO150" s="140">
        <v>0</v>
      </c>
      <c r="BX150" s="43">
        <v>12</v>
      </c>
      <c r="BY150" s="90">
        <f t="shared" si="8"/>
        <v>-1</v>
      </c>
      <c r="CT150" s="90">
        <f t="shared" si="9"/>
        <v>0</v>
      </c>
      <c r="CU150" s="90">
        <f t="shared" si="10"/>
        <v>0</v>
      </c>
    </row>
    <row r="151" spans="1:99" ht="12" customHeight="1">
      <c r="A151" s="43">
        <v>6748</v>
      </c>
      <c r="B151" s="89" t="s">
        <v>312</v>
      </c>
      <c r="C151" s="89" t="s">
        <v>702</v>
      </c>
      <c r="D151" s="89" t="s">
        <v>703</v>
      </c>
      <c r="F151" s="43">
        <v>524016</v>
      </c>
      <c r="G151" s="43">
        <v>175204</v>
      </c>
      <c r="H151" s="89" t="s">
        <v>178</v>
      </c>
      <c r="I151" s="125">
        <v>43276</v>
      </c>
      <c r="J151" s="117">
        <v>43921</v>
      </c>
      <c r="K151" s="140">
        <v>5</v>
      </c>
      <c r="L151" s="140">
        <v>5</v>
      </c>
      <c r="M151" s="140">
        <v>0</v>
      </c>
      <c r="N151" s="140">
        <v>9</v>
      </c>
      <c r="O151" s="140">
        <v>4</v>
      </c>
      <c r="Q151" s="89" t="s">
        <v>704</v>
      </c>
      <c r="R151" s="43" t="s">
        <v>316</v>
      </c>
      <c r="S151" s="125">
        <v>43056</v>
      </c>
      <c r="T151" s="117">
        <v>43112</v>
      </c>
      <c r="V151" s="43" t="s">
        <v>317</v>
      </c>
      <c r="X151" s="43" t="s">
        <v>318</v>
      </c>
      <c r="Y151" s="43" t="s">
        <v>319</v>
      </c>
      <c r="Z151" s="43" t="s">
        <v>320</v>
      </c>
      <c r="AA151" s="43" t="s">
        <v>321</v>
      </c>
      <c r="AB151" s="144">
        <v>4.3000001460313797E-2</v>
      </c>
      <c r="AC151" s="125">
        <v>43276</v>
      </c>
      <c r="AE151" s="117">
        <v>43921</v>
      </c>
      <c r="AF151" s="43" t="s">
        <v>75</v>
      </c>
      <c r="AG151" s="43" t="s">
        <v>322</v>
      </c>
      <c r="AJ151" s="140">
        <v>0</v>
      </c>
      <c r="AK151" s="140">
        <v>0</v>
      </c>
      <c r="AL151" s="140">
        <v>0</v>
      </c>
      <c r="AM151" s="140">
        <v>0</v>
      </c>
      <c r="AN151" s="140">
        <v>0</v>
      </c>
      <c r="AO151" s="140">
        <v>-4</v>
      </c>
      <c r="AP151" s="140">
        <v>3</v>
      </c>
      <c r="AQ151" s="140">
        <v>1</v>
      </c>
      <c r="AR151" s="140">
        <v>0</v>
      </c>
      <c r="AS151" s="140">
        <v>0</v>
      </c>
      <c r="AT151" s="140">
        <v>0</v>
      </c>
      <c r="AU151" s="140">
        <v>0</v>
      </c>
      <c r="AV151" s="140">
        <v>-4</v>
      </c>
      <c r="AW151" s="140">
        <v>3</v>
      </c>
      <c r="AX151" s="140">
        <v>1</v>
      </c>
      <c r="AY151" s="140">
        <v>0</v>
      </c>
      <c r="AZ151" s="140">
        <v>0</v>
      </c>
      <c r="BA151" s="140">
        <v>0</v>
      </c>
      <c r="BB151" s="140">
        <v>0</v>
      </c>
      <c r="BC151" s="140">
        <v>0</v>
      </c>
      <c r="BD151" s="140">
        <v>0</v>
      </c>
      <c r="BE151" s="140">
        <v>0</v>
      </c>
      <c r="BF151" s="140">
        <v>0</v>
      </c>
      <c r="BG151" s="140">
        <v>0</v>
      </c>
      <c r="BH151" s="140">
        <v>0</v>
      </c>
      <c r="BI151" s="140">
        <v>0</v>
      </c>
      <c r="BJ151" s="140">
        <v>0</v>
      </c>
      <c r="BK151" s="140">
        <v>0</v>
      </c>
      <c r="BL151" s="140">
        <v>0</v>
      </c>
      <c r="BM151" s="140">
        <v>0</v>
      </c>
      <c r="BN151" s="140">
        <v>0</v>
      </c>
      <c r="BO151" s="140">
        <v>0</v>
      </c>
      <c r="BP151" s="43" t="s">
        <v>140</v>
      </c>
      <c r="BX151" s="43">
        <v>12</v>
      </c>
      <c r="BY151" s="90">
        <f t="shared" si="8"/>
        <v>0</v>
      </c>
      <c r="CT151" s="90">
        <f t="shared" si="9"/>
        <v>0</v>
      </c>
      <c r="CU151" s="90">
        <f t="shared" si="10"/>
        <v>0</v>
      </c>
    </row>
    <row r="152" spans="1:99" ht="12" customHeight="1">
      <c r="A152" s="43">
        <v>6748</v>
      </c>
      <c r="B152" s="89" t="s">
        <v>312</v>
      </c>
      <c r="C152" s="89" t="s">
        <v>702</v>
      </c>
      <c r="D152" s="89" t="s">
        <v>703</v>
      </c>
      <c r="F152" s="43">
        <v>524016</v>
      </c>
      <c r="G152" s="43">
        <v>175204</v>
      </c>
      <c r="H152" s="89" t="s">
        <v>178</v>
      </c>
      <c r="I152" s="125">
        <v>43276</v>
      </c>
      <c r="J152" s="117">
        <v>43921</v>
      </c>
      <c r="K152" s="140">
        <v>0</v>
      </c>
      <c r="L152" s="140">
        <v>4</v>
      </c>
      <c r="M152" s="140">
        <v>4</v>
      </c>
      <c r="N152" s="140">
        <v>9</v>
      </c>
      <c r="O152" s="140">
        <v>4</v>
      </c>
      <c r="Q152" s="89" t="s">
        <v>704</v>
      </c>
      <c r="R152" s="43" t="s">
        <v>316</v>
      </c>
      <c r="S152" s="125">
        <v>43056</v>
      </c>
      <c r="T152" s="117">
        <v>43112</v>
      </c>
      <c r="V152" s="43" t="s">
        <v>317</v>
      </c>
      <c r="X152" s="43" t="s">
        <v>318</v>
      </c>
      <c r="Y152" s="43" t="s">
        <v>319</v>
      </c>
      <c r="Z152" s="43" t="s">
        <v>320</v>
      </c>
      <c r="AA152" s="43" t="s">
        <v>340</v>
      </c>
      <c r="AB152" s="144">
        <v>3.4000001847744002E-2</v>
      </c>
      <c r="AC152" s="125">
        <v>43276</v>
      </c>
      <c r="AE152" s="117">
        <v>43921</v>
      </c>
      <c r="AF152" s="43" t="s">
        <v>75</v>
      </c>
      <c r="AG152" s="43" t="s">
        <v>322</v>
      </c>
      <c r="AJ152" s="140">
        <v>0</v>
      </c>
      <c r="AK152" s="140">
        <v>0</v>
      </c>
      <c r="AL152" s="140">
        <v>0</v>
      </c>
      <c r="AM152" s="140">
        <v>0</v>
      </c>
      <c r="AN152" s="140">
        <v>0</v>
      </c>
      <c r="AO152" s="140">
        <v>0</v>
      </c>
      <c r="AP152" s="140">
        <v>3</v>
      </c>
      <c r="AQ152" s="140">
        <v>1</v>
      </c>
      <c r="AR152" s="140">
        <v>0</v>
      </c>
      <c r="AS152" s="140">
        <v>0</v>
      </c>
      <c r="AT152" s="140">
        <v>0</v>
      </c>
      <c r="AU152" s="140">
        <v>0</v>
      </c>
      <c r="AV152" s="140">
        <v>0</v>
      </c>
      <c r="AW152" s="140">
        <v>3</v>
      </c>
      <c r="AX152" s="140">
        <v>1</v>
      </c>
      <c r="AY152" s="140">
        <v>0</v>
      </c>
      <c r="AZ152" s="140">
        <v>0</v>
      </c>
      <c r="BA152" s="140">
        <v>0</v>
      </c>
      <c r="BB152" s="140">
        <v>0</v>
      </c>
      <c r="BC152" s="140">
        <v>0</v>
      </c>
      <c r="BD152" s="140">
        <v>0</v>
      </c>
      <c r="BE152" s="140">
        <v>0</v>
      </c>
      <c r="BF152" s="140">
        <v>0</v>
      </c>
      <c r="BG152" s="140">
        <v>0</v>
      </c>
      <c r="BH152" s="140">
        <v>0</v>
      </c>
      <c r="BI152" s="140">
        <v>0</v>
      </c>
      <c r="BJ152" s="140">
        <v>0</v>
      </c>
      <c r="BK152" s="140">
        <v>0</v>
      </c>
      <c r="BL152" s="140">
        <v>0</v>
      </c>
      <c r="BM152" s="140">
        <v>0</v>
      </c>
      <c r="BN152" s="140">
        <v>0</v>
      </c>
      <c r="BO152" s="140">
        <v>0</v>
      </c>
      <c r="BP152" s="43" t="s">
        <v>140</v>
      </c>
      <c r="BX152" s="43">
        <v>12</v>
      </c>
      <c r="BY152" s="90">
        <f t="shared" si="8"/>
        <v>4</v>
      </c>
      <c r="CT152" s="90">
        <f t="shared" si="9"/>
        <v>0</v>
      </c>
      <c r="CU152" s="90">
        <f t="shared" si="10"/>
        <v>0</v>
      </c>
    </row>
    <row r="153" spans="1:99" ht="12" customHeight="1">
      <c r="A153" s="43">
        <v>6751</v>
      </c>
      <c r="B153" s="89" t="s">
        <v>312</v>
      </c>
      <c r="C153" s="89" t="s">
        <v>705</v>
      </c>
      <c r="D153" s="89" t="s">
        <v>706</v>
      </c>
      <c r="F153" s="43">
        <v>527935</v>
      </c>
      <c r="G153" s="43">
        <v>175416</v>
      </c>
      <c r="H153" s="89" t="s">
        <v>175</v>
      </c>
      <c r="I153" s="125">
        <v>43191</v>
      </c>
      <c r="J153" s="117">
        <v>43595</v>
      </c>
      <c r="K153" s="140">
        <v>0</v>
      </c>
      <c r="L153" s="140">
        <v>7</v>
      </c>
      <c r="M153" s="140">
        <v>7</v>
      </c>
      <c r="N153" s="140">
        <v>7</v>
      </c>
      <c r="O153" s="140">
        <v>7</v>
      </c>
      <c r="Q153" s="89" t="s">
        <v>707</v>
      </c>
      <c r="R153" s="43" t="s">
        <v>316</v>
      </c>
      <c r="S153" s="125">
        <v>43060</v>
      </c>
      <c r="T153" s="117">
        <v>43164</v>
      </c>
      <c r="V153" s="43" t="s">
        <v>317</v>
      </c>
      <c r="X153" s="43" t="s">
        <v>318</v>
      </c>
      <c r="Y153" s="43" t="s">
        <v>319</v>
      </c>
      <c r="Z153" s="43" t="s">
        <v>320</v>
      </c>
      <c r="AA153" s="43" t="s">
        <v>36</v>
      </c>
      <c r="AB153" s="144">
        <v>2.0999999716877899E-2</v>
      </c>
      <c r="AC153" s="125">
        <v>43191</v>
      </c>
      <c r="AE153" s="117">
        <v>43595</v>
      </c>
      <c r="AF153" s="43" t="s">
        <v>75</v>
      </c>
      <c r="AG153" s="43" t="s">
        <v>322</v>
      </c>
      <c r="AJ153" s="140">
        <v>0</v>
      </c>
      <c r="AK153" s="140">
        <v>0</v>
      </c>
      <c r="AL153" s="140">
        <v>0</v>
      </c>
      <c r="AM153" s="140">
        <v>0</v>
      </c>
      <c r="AN153" s="140">
        <v>4</v>
      </c>
      <c r="AO153" s="140">
        <v>1</v>
      </c>
      <c r="AP153" s="140">
        <v>2</v>
      </c>
      <c r="AQ153" s="140">
        <v>0</v>
      </c>
      <c r="AR153" s="140">
        <v>0</v>
      </c>
      <c r="AS153" s="140">
        <v>0</v>
      </c>
      <c r="AT153" s="140">
        <v>0</v>
      </c>
      <c r="AU153" s="140">
        <v>4</v>
      </c>
      <c r="AV153" s="140">
        <v>1</v>
      </c>
      <c r="AW153" s="140">
        <v>2</v>
      </c>
      <c r="AX153" s="140">
        <v>0</v>
      </c>
      <c r="AY153" s="140">
        <v>0</v>
      </c>
      <c r="AZ153" s="140">
        <v>0</v>
      </c>
      <c r="BA153" s="140">
        <v>0</v>
      </c>
      <c r="BB153" s="140">
        <v>0</v>
      </c>
      <c r="BC153" s="140">
        <v>0</v>
      </c>
      <c r="BD153" s="140">
        <v>0</v>
      </c>
      <c r="BE153" s="140">
        <v>0</v>
      </c>
      <c r="BF153" s="140">
        <v>0</v>
      </c>
      <c r="BG153" s="140">
        <v>0</v>
      </c>
      <c r="BH153" s="140">
        <v>0</v>
      </c>
      <c r="BI153" s="140">
        <v>0</v>
      </c>
      <c r="BJ153" s="140">
        <v>0</v>
      </c>
      <c r="BK153" s="140">
        <v>0</v>
      </c>
      <c r="BL153" s="140">
        <v>0</v>
      </c>
      <c r="BM153" s="140">
        <v>0</v>
      </c>
      <c r="BN153" s="140">
        <v>0</v>
      </c>
      <c r="BO153" s="140">
        <v>0</v>
      </c>
      <c r="BX153" s="43">
        <v>12</v>
      </c>
      <c r="BY153" s="90">
        <f t="shared" si="8"/>
        <v>7</v>
      </c>
      <c r="CT153" s="90">
        <f t="shared" si="9"/>
        <v>0</v>
      </c>
      <c r="CU153" s="90">
        <f t="shared" si="10"/>
        <v>0</v>
      </c>
    </row>
    <row r="154" spans="1:99" ht="12" customHeight="1">
      <c r="A154" s="43">
        <v>6755</v>
      </c>
      <c r="B154" s="89" t="s">
        <v>312</v>
      </c>
      <c r="C154" s="89" t="s">
        <v>708</v>
      </c>
      <c r="D154" s="89" t="s">
        <v>709</v>
      </c>
      <c r="F154" s="43">
        <v>526150</v>
      </c>
      <c r="G154" s="43">
        <v>172704</v>
      </c>
      <c r="H154" s="89" t="s">
        <v>168</v>
      </c>
      <c r="I154" s="125">
        <v>43766</v>
      </c>
      <c r="J154" s="117">
        <v>43916</v>
      </c>
      <c r="K154" s="140">
        <v>0</v>
      </c>
      <c r="L154" s="140">
        <v>1</v>
      </c>
      <c r="M154" s="140">
        <v>1</v>
      </c>
      <c r="N154" s="140">
        <v>1</v>
      </c>
      <c r="O154" s="140">
        <v>1</v>
      </c>
      <c r="Q154" s="89" t="s">
        <v>710</v>
      </c>
      <c r="R154" s="43" t="s">
        <v>316</v>
      </c>
      <c r="S154" s="125">
        <v>43027</v>
      </c>
      <c r="T154" s="117">
        <v>43083</v>
      </c>
      <c r="V154" s="43" t="s">
        <v>317</v>
      </c>
      <c r="X154" s="43" t="s">
        <v>318</v>
      </c>
      <c r="Y154" s="43" t="s">
        <v>361</v>
      </c>
      <c r="Z154" s="43" t="s">
        <v>320</v>
      </c>
      <c r="AA154" s="43" t="s">
        <v>353</v>
      </c>
      <c r="AB154" s="144">
        <v>7.0000002160668399E-3</v>
      </c>
      <c r="AC154" s="125">
        <v>43766</v>
      </c>
      <c r="AD154" s="43" t="s">
        <v>329</v>
      </c>
      <c r="AE154" s="117">
        <v>43916</v>
      </c>
      <c r="AF154" s="43" t="s">
        <v>75</v>
      </c>
      <c r="AG154" s="43" t="s">
        <v>322</v>
      </c>
      <c r="AJ154" s="140">
        <v>0</v>
      </c>
      <c r="AK154" s="140">
        <v>0</v>
      </c>
      <c r="AL154" s="140">
        <v>0</v>
      </c>
      <c r="AM154" s="140">
        <v>0</v>
      </c>
      <c r="AN154" s="140">
        <v>0</v>
      </c>
      <c r="AO154" s="140">
        <v>1</v>
      </c>
      <c r="AP154" s="140">
        <v>0</v>
      </c>
      <c r="AQ154" s="140">
        <v>0</v>
      </c>
      <c r="AR154" s="140">
        <v>0</v>
      </c>
      <c r="AS154" s="140">
        <v>0</v>
      </c>
      <c r="AT154" s="140">
        <v>0</v>
      </c>
      <c r="AU154" s="140">
        <v>0</v>
      </c>
      <c r="AV154" s="140">
        <v>0</v>
      </c>
      <c r="AW154" s="140">
        <v>0</v>
      </c>
      <c r="AX154" s="140">
        <v>0</v>
      </c>
      <c r="AY154" s="140">
        <v>0</v>
      </c>
      <c r="AZ154" s="140">
        <v>0</v>
      </c>
      <c r="BA154" s="140">
        <v>0</v>
      </c>
      <c r="BB154" s="140">
        <v>0</v>
      </c>
      <c r="BC154" s="140">
        <v>1</v>
      </c>
      <c r="BD154" s="140">
        <v>0</v>
      </c>
      <c r="BE154" s="140">
        <v>0</v>
      </c>
      <c r="BF154" s="140">
        <v>0</v>
      </c>
      <c r="BG154" s="140">
        <v>0</v>
      </c>
      <c r="BH154" s="140">
        <v>0</v>
      </c>
      <c r="BI154" s="140">
        <v>0</v>
      </c>
      <c r="BJ154" s="140">
        <v>0</v>
      </c>
      <c r="BK154" s="140">
        <v>0</v>
      </c>
      <c r="BL154" s="140">
        <v>0</v>
      </c>
      <c r="BM154" s="140">
        <v>0</v>
      </c>
      <c r="BN154" s="140">
        <v>0</v>
      </c>
      <c r="BO154" s="140">
        <v>0</v>
      </c>
      <c r="BX154" s="43">
        <v>1</v>
      </c>
      <c r="BY154" s="90">
        <f t="shared" si="8"/>
        <v>1</v>
      </c>
      <c r="CT154" s="90">
        <f t="shared" si="9"/>
        <v>0</v>
      </c>
      <c r="CU154" s="90">
        <f t="shared" si="10"/>
        <v>0</v>
      </c>
    </row>
    <row r="155" spans="1:99" ht="12" customHeight="1">
      <c r="A155" s="43">
        <v>6782</v>
      </c>
      <c r="B155" s="89" t="s">
        <v>312</v>
      </c>
      <c r="C155" s="89" t="s">
        <v>711</v>
      </c>
      <c r="D155" s="89" t="s">
        <v>712</v>
      </c>
      <c r="F155" s="43">
        <v>527260</v>
      </c>
      <c r="G155" s="43">
        <v>175759</v>
      </c>
      <c r="H155" s="89" t="s">
        <v>147</v>
      </c>
      <c r="I155" s="125">
        <v>43500</v>
      </c>
      <c r="J155" s="117">
        <v>43921</v>
      </c>
      <c r="K155" s="140">
        <v>0</v>
      </c>
      <c r="L155" s="140">
        <v>1</v>
      </c>
      <c r="M155" s="140">
        <v>1</v>
      </c>
      <c r="N155" s="140">
        <v>1</v>
      </c>
      <c r="O155" s="140">
        <v>1</v>
      </c>
      <c r="Q155" s="89" t="s">
        <v>713</v>
      </c>
      <c r="R155" s="43" t="s">
        <v>316</v>
      </c>
      <c r="S155" s="125">
        <v>43264</v>
      </c>
      <c r="T155" s="117">
        <v>43353</v>
      </c>
      <c r="V155" s="43" t="s">
        <v>317</v>
      </c>
      <c r="X155" s="43" t="s">
        <v>318</v>
      </c>
      <c r="Y155" s="43" t="s">
        <v>361</v>
      </c>
      <c r="Z155" s="43" t="s">
        <v>320</v>
      </c>
      <c r="AA155" s="43" t="s">
        <v>353</v>
      </c>
      <c r="AB155" s="144">
        <v>2.0000000949949E-3</v>
      </c>
      <c r="AC155" s="125">
        <v>43500</v>
      </c>
      <c r="AE155" s="117">
        <v>43921</v>
      </c>
      <c r="AF155" s="43" t="s">
        <v>75</v>
      </c>
      <c r="AG155" s="43" t="s">
        <v>322</v>
      </c>
      <c r="AJ155" s="140">
        <v>0</v>
      </c>
      <c r="AK155" s="140">
        <v>0</v>
      </c>
      <c r="AL155" s="140">
        <v>0</v>
      </c>
      <c r="AM155" s="140">
        <v>0</v>
      </c>
      <c r="AN155" s="140">
        <v>0</v>
      </c>
      <c r="AO155" s="140">
        <v>0</v>
      </c>
      <c r="AP155" s="140">
        <v>1</v>
      </c>
      <c r="AQ155" s="140">
        <v>0</v>
      </c>
      <c r="AR155" s="140">
        <v>0</v>
      </c>
      <c r="AS155" s="140">
        <v>0</v>
      </c>
      <c r="AT155" s="140">
        <v>0</v>
      </c>
      <c r="AU155" s="140">
        <v>0</v>
      </c>
      <c r="AV155" s="140">
        <v>0</v>
      </c>
      <c r="AW155" s="140">
        <v>0</v>
      </c>
      <c r="AX155" s="140">
        <v>0</v>
      </c>
      <c r="AY155" s="140">
        <v>0</v>
      </c>
      <c r="AZ155" s="140">
        <v>0</v>
      </c>
      <c r="BA155" s="140">
        <v>0</v>
      </c>
      <c r="BB155" s="140">
        <v>0</v>
      </c>
      <c r="BC155" s="140">
        <v>0</v>
      </c>
      <c r="BD155" s="140">
        <v>1</v>
      </c>
      <c r="BE155" s="140">
        <v>0</v>
      </c>
      <c r="BF155" s="140">
        <v>0</v>
      </c>
      <c r="BG155" s="140">
        <v>0</v>
      </c>
      <c r="BH155" s="140">
        <v>0</v>
      </c>
      <c r="BI155" s="140">
        <v>0</v>
      </c>
      <c r="BJ155" s="140">
        <v>0</v>
      </c>
      <c r="BK155" s="140">
        <v>0</v>
      </c>
      <c r="BL155" s="140">
        <v>0</v>
      </c>
      <c r="BM155" s="140">
        <v>0</v>
      </c>
      <c r="BN155" s="140">
        <v>0</v>
      </c>
      <c r="BO155" s="140">
        <v>0</v>
      </c>
      <c r="BX155" s="43">
        <v>1</v>
      </c>
      <c r="BY155" s="90">
        <f t="shared" si="8"/>
        <v>1</v>
      </c>
      <c r="CT155" s="90">
        <f t="shared" si="9"/>
        <v>0</v>
      </c>
      <c r="CU155" s="90">
        <f t="shared" si="10"/>
        <v>0</v>
      </c>
    </row>
    <row r="156" spans="1:99" ht="12" customHeight="1">
      <c r="A156" s="43">
        <v>6783</v>
      </c>
      <c r="B156" s="89" t="s">
        <v>312</v>
      </c>
      <c r="C156" s="89" t="s">
        <v>714</v>
      </c>
      <c r="D156" s="89" t="s">
        <v>715</v>
      </c>
      <c r="F156" s="43">
        <v>527377</v>
      </c>
      <c r="G156" s="43">
        <v>175261</v>
      </c>
      <c r="H156" s="89" t="s">
        <v>174</v>
      </c>
      <c r="I156" s="125">
        <v>43486</v>
      </c>
      <c r="J156" s="117">
        <v>43733</v>
      </c>
      <c r="K156" s="140">
        <v>0</v>
      </c>
      <c r="L156" s="140">
        <v>3</v>
      </c>
      <c r="M156" s="140">
        <v>3</v>
      </c>
      <c r="N156" s="140">
        <v>3</v>
      </c>
      <c r="O156" s="140">
        <v>3</v>
      </c>
      <c r="Q156" s="89" t="s">
        <v>716</v>
      </c>
      <c r="R156" s="43" t="s">
        <v>316</v>
      </c>
      <c r="S156" s="125">
        <v>43105</v>
      </c>
      <c r="T156" s="117">
        <v>43188</v>
      </c>
      <c r="V156" s="43" t="s">
        <v>317</v>
      </c>
      <c r="X156" s="43" t="s">
        <v>318</v>
      </c>
      <c r="Y156" s="43" t="s">
        <v>319</v>
      </c>
      <c r="Z156" s="43" t="s">
        <v>320</v>
      </c>
      <c r="AA156" s="43" t="s">
        <v>30</v>
      </c>
      <c r="AB156" s="144">
        <v>4.0000001899898104E-3</v>
      </c>
      <c r="AC156" s="125">
        <v>43486</v>
      </c>
      <c r="AE156" s="117">
        <v>43733</v>
      </c>
      <c r="AF156" s="43" t="s">
        <v>75</v>
      </c>
      <c r="AG156" s="43" t="s">
        <v>322</v>
      </c>
      <c r="AJ156" s="140">
        <v>0</v>
      </c>
      <c r="AK156" s="140">
        <v>0</v>
      </c>
      <c r="AL156" s="140">
        <v>0</v>
      </c>
      <c r="AM156" s="140">
        <v>0</v>
      </c>
      <c r="AN156" s="140">
        <v>0</v>
      </c>
      <c r="AO156" s="140">
        <v>2</v>
      </c>
      <c r="AP156" s="140">
        <v>1</v>
      </c>
      <c r="AQ156" s="140">
        <v>0</v>
      </c>
      <c r="AR156" s="140">
        <v>0</v>
      </c>
      <c r="AS156" s="140">
        <v>0</v>
      </c>
      <c r="AT156" s="140">
        <v>0</v>
      </c>
      <c r="AU156" s="140">
        <v>0</v>
      </c>
      <c r="AV156" s="140">
        <v>2</v>
      </c>
      <c r="AW156" s="140">
        <v>1</v>
      </c>
      <c r="AX156" s="140">
        <v>0</v>
      </c>
      <c r="AY156" s="140">
        <v>0</v>
      </c>
      <c r="AZ156" s="140">
        <v>0</v>
      </c>
      <c r="BA156" s="140">
        <v>0</v>
      </c>
      <c r="BB156" s="140">
        <v>0</v>
      </c>
      <c r="BC156" s="140">
        <v>0</v>
      </c>
      <c r="BD156" s="140">
        <v>0</v>
      </c>
      <c r="BE156" s="140">
        <v>0</v>
      </c>
      <c r="BF156" s="140">
        <v>0</v>
      </c>
      <c r="BG156" s="140">
        <v>0</v>
      </c>
      <c r="BH156" s="140">
        <v>0</v>
      </c>
      <c r="BI156" s="140">
        <v>0</v>
      </c>
      <c r="BJ156" s="140">
        <v>0</v>
      </c>
      <c r="BK156" s="140">
        <v>0</v>
      </c>
      <c r="BL156" s="140">
        <v>0</v>
      </c>
      <c r="BM156" s="140">
        <v>0</v>
      </c>
      <c r="BN156" s="140">
        <v>0</v>
      </c>
      <c r="BO156" s="140">
        <v>0</v>
      </c>
      <c r="BP156" s="43" t="s">
        <v>139</v>
      </c>
      <c r="BX156" s="43">
        <v>12</v>
      </c>
      <c r="BY156" s="90">
        <f t="shared" si="8"/>
        <v>3</v>
      </c>
      <c r="CT156" s="90">
        <f t="shared" si="9"/>
        <v>0</v>
      </c>
      <c r="CU156" s="90">
        <f t="shared" si="10"/>
        <v>0</v>
      </c>
    </row>
    <row r="157" spans="1:99" ht="12" customHeight="1">
      <c r="A157" s="43">
        <v>6788</v>
      </c>
      <c r="B157" s="89" t="s">
        <v>312</v>
      </c>
      <c r="C157" s="89" t="s">
        <v>717</v>
      </c>
      <c r="D157" s="89" t="s">
        <v>718</v>
      </c>
      <c r="F157" s="43">
        <v>527519</v>
      </c>
      <c r="G157" s="43">
        <v>171164</v>
      </c>
      <c r="H157" s="89" t="s">
        <v>172</v>
      </c>
      <c r="I157" s="125">
        <v>43548</v>
      </c>
      <c r="J157" s="117">
        <v>43759</v>
      </c>
      <c r="K157" s="140">
        <v>0</v>
      </c>
      <c r="L157" s="140">
        <v>1</v>
      </c>
      <c r="M157" s="140">
        <v>1</v>
      </c>
      <c r="N157" s="140">
        <v>1</v>
      </c>
      <c r="O157" s="140">
        <v>1</v>
      </c>
      <c r="Q157" s="89" t="s">
        <v>719</v>
      </c>
      <c r="R157" s="43" t="s">
        <v>316</v>
      </c>
      <c r="S157" s="125">
        <v>43112</v>
      </c>
      <c r="T157" s="117">
        <v>43166</v>
      </c>
      <c r="V157" s="43" t="s">
        <v>317</v>
      </c>
      <c r="X157" s="43" t="s">
        <v>318</v>
      </c>
      <c r="Y157" s="43" t="s">
        <v>319</v>
      </c>
      <c r="Z157" s="43" t="s">
        <v>320</v>
      </c>
      <c r="AA157" s="43" t="s">
        <v>353</v>
      </c>
      <c r="AB157" s="144">
        <v>6.0000000521540598E-3</v>
      </c>
      <c r="AC157" s="125">
        <v>43548</v>
      </c>
      <c r="AE157" s="117">
        <v>43759</v>
      </c>
      <c r="AF157" s="43" t="s">
        <v>75</v>
      </c>
      <c r="AG157" s="43" t="s">
        <v>322</v>
      </c>
      <c r="AJ157" s="140">
        <v>0</v>
      </c>
      <c r="AK157" s="140">
        <v>0</v>
      </c>
      <c r="AL157" s="140">
        <v>0</v>
      </c>
      <c r="AM157" s="140">
        <v>0</v>
      </c>
      <c r="AN157" s="140">
        <v>0</v>
      </c>
      <c r="AO157" s="140">
        <v>1</v>
      </c>
      <c r="AP157" s="140">
        <v>0</v>
      </c>
      <c r="AQ157" s="140">
        <v>0</v>
      </c>
      <c r="AR157" s="140">
        <v>0</v>
      </c>
      <c r="AS157" s="140">
        <v>0</v>
      </c>
      <c r="AT157" s="140">
        <v>0</v>
      </c>
      <c r="AU157" s="140">
        <v>0</v>
      </c>
      <c r="AV157" s="140">
        <v>1</v>
      </c>
      <c r="AW157" s="140">
        <v>0</v>
      </c>
      <c r="AX157" s="140">
        <v>0</v>
      </c>
      <c r="AY157" s="140">
        <v>0</v>
      </c>
      <c r="AZ157" s="140">
        <v>0</v>
      </c>
      <c r="BA157" s="140">
        <v>0</v>
      </c>
      <c r="BB157" s="140">
        <v>0</v>
      </c>
      <c r="BC157" s="140">
        <v>0</v>
      </c>
      <c r="BD157" s="140">
        <v>0</v>
      </c>
      <c r="BE157" s="140">
        <v>0</v>
      </c>
      <c r="BF157" s="140">
        <v>0</v>
      </c>
      <c r="BG157" s="140">
        <v>0</v>
      </c>
      <c r="BH157" s="140">
        <v>0</v>
      </c>
      <c r="BI157" s="140">
        <v>0</v>
      </c>
      <c r="BJ157" s="140">
        <v>0</v>
      </c>
      <c r="BK157" s="140">
        <v>0</v>
      </c>
      <c r="BL157" s="140">
        <v>0</v>
      </c>
      <c r="BM157" s="140">
        <v>0</v>
      </c>
      <c r="BN157" s="140">
        <v>0</v>
      </c>
      <c r="BO157" s="140">
        <v>0</v>
      </c>
      <c r="BX157" s="43">
        <v>12</v>
      </c>
      <c r="BY157" s="90">
        <f t="shared" si="8"/>
        <v>1</v>
      </c>
      <c r="CT157" s="90">
        <f t="shared" si="9"/>
        <v>0</v>
      </c>
      <c r="CU157" s="90">
        <f t="shared" si="10"/>
        <v>0</v>
      </c>
    </row>
    <row r="158" spans="1:99" ht="12" customHeight="1">
      <c r="A158" s="43">
        <v>6796</v>
      </c>
      <c r="B158" s="89" t="s">
        <v>312</v>
      </c>
      <c r="C158" s="89" t="s">
        <v>720</v>
      </c>
      <c r="D158" s="89" t="s">
        <v>721</v>
      </c>
      <c r="F158" s="43">
        <v>524850</v>
      </c>
      <c r="G158" s="43">
        <v>172813</v>
      </c>
      <c r="H158" s="89" t="s">
        <v>176</v>
      </c>
      <c r="I158" s="125">
        <v>43278</v>
      </c>
      <c r="J158" s="117">
        <v>43811</v>
      </c>
      <c r="K158" s="140">
        <v>1</v>
      </c>
      <c r="L158" s="140">
        <v>3</v>
      </c>
      <c r="M158" s="140">
        <v>2</v>
      </c>
      <c r="N158" s="140">
        <v>3</v>
      </c>
      <c r="O158" s="140">
        <v>2</v>
      </c>
      <c r="Q158" s="89" t="s">
        <v>722</v>
      </c>
      <c r="R158" s="43" t="s">
        <v>316</v>
      </c>
      <c r="S158" s="125">
        <v>43119</v>
      </c>
      <c r="T158" s="117">
        <v>43278</v>
      </c>
      <c r="V158" s="43" t="s">
        <v>317</v>
      </c>
      <c r="X158" s="43" t="s">
        <v>318</v>
      </c>
      <c r="Y158" s="43" t="s">
        <v>348</v>
      </c>
      <c r="Z158" s="43" t="s">
        <v>320</v>
      </c>
      <c r="AA158" s="43" t="s">
        <v>20</v>
      </c>
      <c r="AB158" s="144">
        <v>2.4000000208616298E-2</v>
      </c>
      <c r="AC158" s="125">
        <v>43278</v>
      </c>
      <c r="AE158" s="117">
        <v>43811</v>
      </c>
      <c r="AF158" s="43" t="s">
        <v>75</v>
      </c>
      <c r="AG158" s="43" t="s">
        <v>322</v>
      </c>
      <c r="AJ158" s="140">
        <v>0</v>
      </c>
      <c r="AK158" s="140">
        <v>0</v>
      </c>
      <c r="AL158" s="140">
        <v>0</v>
      </c>
      <c r="AM158" s="140">
        <v>0</v>
      </c>
      <c r="AN158" s="140">
        <v>0</v>
      </c>
      <c r="AO158" s="140">
        <v>0</v>
      </c>
      <c r="AP158" s="140">
        <v>2</v>
      </c>
      <c r="AQ158" s="140">
        <v>1</v>
      </c>
      <c r="AR158" s="140">
        <v>0</v>
      </c>
      <c r="AS158" s="140">
        <v>-1</v>
      </c>
      <c r="AT158" s="140">
        <v>0</v>
      </c>
      <c r="AU158" s="140">
        <v>0</v>
      </c>
      <c r="AV158" s="140">
        <v>0</v>
      </c>
      <c r="AW158" s="140">
        <v>2</v>
      </c>
      <c r="AX158" s="140">
        <v>1</v>
      </c>
      <c r="AY158" s="140">
        <v>0</v>
      </c>
      <c r="AZ158" s="140">
        <v>0</v>
      </c>
      <c r="BA158" s="140">
        <v>0</v>
      </c>
      <c r="BB158" s="140">
        <v>0</v>
      </c>
      <c r="BC158" s="140">
        <v>0</v>
      </c>
      <c r="BD158" s="140">
        <v>0</v>
      </c>
      <c r="BE158" s="140">
        <v>0</v>
      </c>
      <c r="BF158" s="140">
        <v>0</v>
      </c>
      <c r="BG158" s="140">
        <v>-1</v>
      </c>
      <c r="BH158" s="140">
        <v>0</v>
      </c>
      <c r="BI158" s="140">
        <v>0</v>
      </c>
      <c r="BJ158" s="140">
        <v>0</v>
      </c>
      <c r="BK158" s="140">
        <v>0</v>
      </c>
      <c r="BL158" s="140">
        <v>0</v>
      </c>
      <c r="BM158" s="140">
        <v>0</v>
      </c>
      <c r="BN158" s="140">
        <v>0</v>
      </c>
      <c r="BO158" s="140">
        <v>0</v>
      </c>
      <c r="BX158" s="43">
        <v>12</v>
      </c>
      <c r="BY158" s="90">
        <f t="shared" si="8"/>
        <v>2</v>
      </c>
      <c r="CT158" s="90">
        <f t="shared" si="9"/>
        <v>0</v>
      </c>
      <c r="CU158" s="90">
        <f t="shared" si="10"/>
        <v>0</v>
      </c>
    </row>
    <row r="159" spans="1:99" ht="12" customHeight="1">
      <c r="A159" s="43">
        <v>6802</v>
      </c>
      <c r="B159" s="89" t="s">
        <v>312</v>
      </c>
      <c r="C159" s="89" t="s">
        <v>723</v>
      </c>
      <c r="D159" s="89" t="s">
        <v>724</v>
      </c>
      <c r="F159" s="43">
        <v>527680</v>
      </c>
      <c r="G159" s="43">
        <v>174924</v>
      </c>
      <c r="H159" s="89" t="s">
        <v>174</v>
      </c>
      <c r="I159" s="125">
        <v>43647</v>
      </c>
      <c r="J159" s="117">
        <v>43921</v>
      </c>
      <c r="K159" s="140">
        <v>0</v>
      </c>
      <c r="L159" s="140">
        <v>1</v>
      </c>
      <c r="M159" s="140">
        <v>1</v>
      </c>
      <c r="N159" s="140">
        <v>1</v>
      </c>
      <c r="O159" s="140">
        <v>1</v>
      </c>
      <c r="Q159" s="89" t="s">
        <v>725</v>
      </c>
      <c r="R159" s="43" t="s">
        <v>443</v>
      </c>
      <c r="S159" s="125">
        <v>43133</v>
      </c>
      <c r="T159" s="117">
        <v>43185</v>
      </c>
      <c r="V159" s="43" t="s">
        <v>317</v>
      </c>
      <c r="X159" s="43" t="s">
        <v>318</v>
      </c>
      <c r="Y159" s="43" t="s">
        <v>336</v>
      </c>
      <c r="Z159" s="43" t="s">
        <v>320</v>
      </c>
      <c r="AA159" s="43" t="s">
        <v>36</v>
      </c>
      <c r="AB159" s="144">
        <v>2.0000000949949E-3</v>
      </c>
      <c r="AC159" s="125">
        <v>43647</v>
      </c>
      <c r="AD159" s="43" t="s">
        <v>329</v>
      </c>
      <c r="AE159" s="117">
        <v>43921</v>
      </c>
      <c r="AF159" s="43" t="s">
        <v>75</v>
      </c>
      <c r="AG159" s="43" t="s">
        <v>322</v>
      </c>
      <c r="AJ159" s="140">
        <v>0</v>
      </c>
      <c r="AK159" s="140">
        <v>0</v>
      </c>
      <c r="AL159" s="140">
        <v>0</v>
      </c>
      <c r="AM159" s="140">
        <v>0</v>
      </c>
      <c r="AN159" s="140">
        <v>1</v>
      </c>
      <c r="AO159" s="140">
        <v>0</v>
      </c>
      <c r="AP159" s="140">
        <v>0</v>
      </c>
      <c r="AQ159" s="140">
        <v>0</v>
      </c>
      <c r="AR159" s="140">
        <v>0</v>
      </c>
      <c r="AS159" s="140">
        <v>0</v>
      </c>
      <c r="AT159" s="140">
        <v>0</v>
      </c>
      <c r="AU159" s="140">
        <v>1</v>
      </c>
      <c r="AV159" s="140">
        <v>0</v>
      </c>
      <c r="AW159" s="140">
        <v>0</v>
      </c>
      <c r="AX159" s="140">
        <v>0</v>
      </c>
      <c r="AY159" s="140">
        <v>0</v>
      </c>
      <c r="AZ159" s="140">
        <v>0</v>
      </c>
      <c r="BA159" s="140">
        <v>0</v>
      </c>
      <c r="BB159" s="140">
        <v>0</v>
      </c>
      <c r="BC159" s="140">
        <v>0</v>
      </c>
      <c r="BD159" s="140">
        <v>0</v>
      </c>
      <c r="BE159" s="140">
        <v>0</v>
      </c>
      <c r="BF159" s="140">
        <v>0</v>
      </c>
      <c r="BG159" s="140">
        <v>0</v>
      </c>
      <c r="BH159" s="140">
        <v>0</v>
      </c>
      <c r="BI159" s="140">
        <v>0</v>
      </c>
      <c r="BJ159" s="140">
        <v>0</v>
      </c>
      <c r="BK159" s="140">
        <v>0</v>
      </c>
      <c r="BL159" s="140">
        <v>0</v>
      </c>
      <c r="BM159" s="140">
        <v>0</v>
      </c>
      <c r="BN159" s="140">
        <v>0</v>
      </c>
      <c r="BO159" s="140">
        <v>0</v>
      </c>
      <c r="BX159" s="43">
        <v>12</v>
      </c>
      <c r="BY159" s="90">
        <f t="shared" si="8"/>
        <v>1</v>
      </c>
      <c r="CT159" s="90">
        <f t="shared" si="9"/>
        <v>0</v>
      </c>
      <c r="CU159" s="90">
        <f t="shared" si="10"/>
        <v>0</v>
      </c>
    </row>
    <row r="160" spans="1:99" ht="12" customHeight="1">
      <c r="A160" s="43">
        <v>6811</v>
      </c>
      <c r="B160" s="89" t="s">
        <v>312</v>
      </c>
      <c r="C160" s="89" t="s">
        <v>726</v>
      </c>
      <c r="D160" s="89" t="s">
        <v>727</v>
      </c>
      <c r="E160" s="89" t="s">
        <v>728</v>
      </c>
      <c r="F160" s="43">
        <v>525229</v>
      </c>
      <c r="G160" s="43">
        <v>173182</v>
      </c>
      <c r="H160" s="89" t="s">
        <v>176</v>
      </c>
      <c r="I160" s="125">
        <v>43647</v>
      </c>
      <c r="J160" s="117">
        <v>43853</v>
      </c>
      <c r="K160" s="140">
        <v>0</v>
      </c>
      <c r="L160" s="140">
        <v>1</v>
      </c>
      <c r="M160" s="140">
        <v>1</v>
      </c>
      <c r="N160" s="140">
        <v>2</v>
      </c>
      <c r="O160" s="140">
        <v>1</v>
      </c>
      <c r="Q160" s="89" t="s">
        <v>729</v>
      </c>
      <c r="R160" s="43" t="s">
        <v>316</v>
      </c>
      <c r="S160" s="125">
        <v>43558</v>
      </c>
      <c r="T160" s="117">
        <v>43634</v>
      </c>
      <c r="U160" s="43" t="s">
        <v>329</v>
      </c>
      <c r="V160" s="43" t="s">
        <v>317</v>
      </c>
      <c r="X160" s="43" t="s">
        <v>318</v>
      </c>
      <c r="Y160" s="43" t="s">
        <v>319</v>
      </c>
      <c r="Z160" s="43" t="s">
        <v>320</v>
      </c>
      <c r="AA160" s="43" t="s">
        <v>33</v>
      </c>
      <c r="AB160" s="144">
        <v>8.0000003799796104E-3</v>
      </c>
      <c r="AC160" s="125">
        <v>43647</v>
      </c>
      <c r="AD160" s="43" t="s">
        <v>329</v>
      </c>
      <c r="AE160" s="117">
        <v>43853</v>
      </c>
      <c r="AF160" s="43" t="s">
        <v>75</v>
      </c>
      <c r="AG160" s="43" t="s">
        <v>322</v>
      </c>
      <c r="AJ160" s="140">
        <v>0</v>
      </c>
      <c r="AK160" s="140">
        <v>0</v>
      </c>
      <c r="AL160" s="140">
        <v>0</v>
      </c>
      <c r="AM160" s="140">
        <v>0</v>
      </c>
      <c r="AN160" s="140">
        <v>0</v>
      </c>
      <c r="AO160" s="140">
        <v>0</v>
      </c>
      <c r="AP160" s="140">
        <v>0</v>
      </c>
      <c r="AQ160" s="140">
        <v>1</v>
      </c>
      <c r="AR160" s="140">
        <v>0</v>
      </c>
      <c r="AS160" s="140">
        <v>0</v>
      </c>
      <c r="AT160" s="140">
        <v>0</v>
      </c>
      <c r="AU160" s="140">
        <v>0</v>
      </c>
      <c r="AV160" s="140">
        <v>0</v>
      </c>
      <c r="AW160" s="140">
        <v>0</v>
      </c>
      <c r="AX160" s="140">
        <v>1</v>
      </c>
      <c r="AY160" s="140">
        <v>0</v>
      </c>
      <c r="AZ160" s="140">
        <v>0</v>
      </c>
      <c r="BA160" s="140">
        <v>0</v>
      </c>
      <c r="BB160" s="140">
        <v>0</v>
      </c>
      <c r="BC160" s="140">
        <v>0</v>
      </c>
      <c r="BD160" s="140">
        <v>0</v>
      </c>
      <c r="BE160" s="140">
        <v>0</v>
      </c>
      <c r="BF160" s="140">
        <v>0</v>
      </c>
      <c r="BG160" s="140">
        <v>0</v>
      </c>
      <c r="BH160" s="140">
        <v>0</v>
      </c>
      <c r="BI160" s="140">
        <v>0</v>
      </c>
      <c r="BJ160" s="140">
        <v>0</v>
      </c>
      <c r="BK160" s="140">
        <v>0</v>
      </c>
      <c r="BL160" s="140">
        <v>0</v>
      </c>
      <c r="BM160" s="140">
        <v>0</v>
      </c>
      <c r="BN160" s="140">
        <v>0</v>
      </c>
      <c r="BO160" s="140">
        <v>0</v>
      </c>
      <c r="BX160" s="43">
        <v>12</v>
      </c>
      <c r="BY160" s="90">
        <f t="shared" si="8"/>
        <v>1</v>
      </c>
      <c r="CT160" s="90">
        <f t="shared" si="9"/>
        <v>0</v>
      </c>
      <c r="CU160" s="90">
        <f t="shared" si="10"/>
        <v>0</v>
      </c>
    </row>
    <row r="161" spans="1:99" ht="12" customHeight="1">
      <c r="A161" s="43">
        <v>6811</v>
      </c>
      <c r="B161" s="89" t="s">
        <v>312</v>
      </c>
      <c r="C161" s="89" t="s">
        <v>726</v>
      </c>
      <c r="D161" s="89" t="s">
        <v>727</v>
      </c>
      <c r="E161" s="89" t="s">
        <v>730</v>
      </c>
      <c r="F161" s="43">
        <v>525229</v>
      </c>
      <c r="G161" s="43">
        <v>173182</v>
      </c>
      <c r="H161" s="89" t="s">
        <v>176</v>
      </c>
      <c r="I161" s="125">
        <v>43647</v>
      </c>
      <c r="J161" s="117">
        <v>43853</v>
      </c>
      <c r="K161" s="140">
        <v>1</v>
      </c>
      <c r="L161" s="140">
        <v>1</v>
      </c>
      <c r="M161" s="140">
        <v>0</v>
      </c>
      <c r="N161" s="140">
        <v>2</v>
      </c>
      <c r="O161" s="140">
        <v>1</v>
      </c>
      <c r="Q161" s="89" t="s">
        <v>729</v>
      </c>
      <c r="R161" s="43" t="s">
        <v>316</v>
      </c>
      <c r="S161" s="125">
        <v>43558</v>
      </c>
      <c r="T161" s="117">
        <v>43634</v>
      </c>
      <c r="U161" s="43" t="s">
        <v>329</v>
      </c>
      <c r="V161" s="43" t="s">
        <v>317</v>
      </c>
      <c r="X161" s="43" t="s">
        <v>318</v>
      </c>
      <c r="Y161" s="43" t="s">
        <v>319</v>
      </c>
      <c r="Z161" s="43" t="s">
        <v>320</v>
      </c>
      <c r="AA161" s="43" t="s">
        <v>340</v>
      </c>
      <c r="AB161" s="144">
        <v>6.0000000521540598E-3</v>
      </c>
      <c r="AC161" s="125">
        <v>43647</v>
      </c>
      <c r="AD161" s="43" t="s">
        <v>329</v>
      </c>
      <c r="AE161" s="117">
        <v>43853</v>
      </c>
      <c r="AF161" s="43" t="s">
        <v>75</v>
      </c>
      <c r="AG161" s="43" t="s">
        <v>322</v>
      </c>
      <c r="AJ161" s="140">
        <v>0</v>
      </c>
      <c r="AK161" s="140">
        <v>0</v>
      </c>
      <c r="AL161" s="140">
        <v>0</v>
      </c>
      <c r="AM161" s="140">
        <v>0</v>
      </c>
      <c r="AN161" s="140">
        <v>0</v>
      </c>
      <c r="AO161" s="140">
        <v>-1</v>
      </c>
      <c r="AP161" s="140">
        <v>1</v>
      </c>
      <c r="AQ161" s="140">
        <v>0</v>
      </c>
      <c r="AR161" s="140">
        <v>0</v>
      </c>
      <c r="AS161" s="140">
        <v>0</v>
      </c>
      <c r="AT161" s="140">
        <v>0</v>
      </c>
      <c r="AU161" s="140">
        <v>0</v>
      </c>
      <c r="AV161" s="140">
        <v>-1</v>
      </c>
      <c r="AW161" s="140">
        <v>1</v>
      </c>
      <c r="AX161" s="140">
        <v>0</v>
      </c>
      <c r="AY161" s="140">
        <v>0</v>
      </c>
      <c r="AZ161" s="140">
        <v>0</v>
      </c>
      <c r="BA161" s="140">
        <v>0</v>
      </c>
      <c r="BB161" s="140">
        <v>0</v>
      </c>
      <c r="BC161" s="140">
        <v>0</v>
      </c>
      <c r="BD161" s="140">
        <v>0</v>
      </c>
      <c r="BE161" s="140">
        <v>0</v>
      </c>
      <c r="BF161" s="140">
        <v>0</v>
      </c>
      <c r="BG161" s="140">
        <v>0</v>
      </c>
      <c r="BH161" s="140">
        <v>0</v>
      </c>
      <c r="BI161" s="140">
        <v>0</v>
      </c>
      <c r="BJ161" s="140">
        <v>0</v>
      </c>
      <c r="BK161" s="140">
        <v>0</v>
      </c>
      <c r="BL161" s="140">
        <v>0</v>
      </c>
      <c r="BM161" s="140">
        <v>0</v>
      </c>
      <c r="BN161" s="140">
        <v>0</v>
      </c>
      <c r="BO161" s="140">
        <v>0</v>
      </c>
      <c r="BX161" s="43">
        <v>12</v>
      </c>
      <c r="BY161" s="90">
        <f t="shared" si="8"/>
        <v>0</v>
      </c>
      <c r="CT161" s="90">
        <f t="shared" si="9"/>
        <v>0</v>
      </c>
      <c r="CU161" s="90">
        <f t="shared" si="10"/>
        <v>0</v>
      </c>
    </row>
    <row r="162" spans="1:99" ht="12" customHeight="1">
      <c r="A162" s="43">
        <v>6820</v>
      </c>
      <c r="B162" s="89" t="s">
        <v>312</v>
      </c>
      <c r="C162" s="89" t="s">
        <v>731</v>
      </c>
      <c r="D162" s="89" t="s">
        <v>732</v>
      </c>
      <c r="F162" s="43">
        <v>522422</v>
      </c>
      <c r="G162" s="43">
        <v>173974</v>
      </c>
      <c r="H162" s="89" t="s">
        <v>149</v>
      </c>
      <c r="I162" s="125">
        <v>43363</v>
      </c>
      <c r="J162" s="117">
        <v>43643</v>
      </c>
      <c r="K162" s="140">
        <v>2</v>
      </c>
      <c r="L162" s="140">
        <v>1</v>
      </c>
      <c r="M162" s="140">
        <v>-1</v>
      </c>
      <c r="N162" s="140">
        <v>1</v>
      </c>
      <c r="O162" s="140">
        <v>-1</v>
      </c>
      <c r="Q162" s="89" t="s">
        <v>733</v>
      </c>
      <c r="R162" s="43" t="s">
        <v>316</v>
      </c>
      <c r="S162" s="125">
        <v>43153</v>
      </c>
      <c r="T162" s="117">
        <v>43199</v>
      </c>
      <c r="V162" s="43" t="s">
        <v>317</v>
      </c>
      <c r="X162" s="43" t="s">
        <v>318</v>
      </c>
      <c r="Y162" s="43" t="s">
        <v>319</v>
      </c>
      <c r="Z162" s="43" t="s">
        <v>320</v>
      </c>
      <c r="AA162" s="43" t="s">
        <v>22</v>
      </c>
      <c r="AB162" s="144">
        <v>4.6000000089407002E-2</v>
      </c>
      <c r="AC162" s="125">
        <v>43363</v>
      </c>
      <c r="AE162" s="117">
        <v>43643</v>
      </c>
      <c r="AF162" s="43" t="s">
        <v>75</v>
      </c>
      <c r="AG162" s="43" t="s">
        <v>322</v>
      </c>
      <c r="AJ162" s="140">
        <v>0</v>
      </c>
      <c r="AK162" s="140">
        <v>0</v>
      </c>
      <c r="AL162" s="140">
        <v>0</v>
      </c>
      <c r="AM162" s="140">
        <v>0</v>
      </c>
      <c r="AN162" s="140">
        <v>0</v>
      </c>
      <c r="AO162" s="140">
        <v>0</v>
      </c>
      <c r="AP162" s="140">
        <v>-1</v>
      </c>
      <c r="AQ162" s="140">
        <v>-1</v>
      </c>
      <c r="AR162" s="140">
        <v>0</v>
      </c>
      <c r="AS162" s="140">
        <v>1</v>
      </c>
      <c r="AT162" s="140">
        <v>0</v>
      </c>
      <c r="AU162" s="140">
        <v>0</v>
      </c>
      <c r="AV162" s="140">
        <v>0</v>
      </c>
      <c r="AW162" s="140">
        <v>-1</v>
      </c>
      <c r="AX162" s="140">
        <v>-1</v>
      </c>
      <c r="AY162" s="140">
        <v>0</v>
      </c>
      <c r="AZ162" s="140">
        <v>0</v>
      </c>
      <c r="BA162" s="140">
        <v>0</v>
      </c>
      <c r="BB162" s="140">
        <v>0</v>
      </c>
      <c r="BC162" s="140">
        <v>0</v>
      </c>
      <c r="BD162" s="140">
        <v>0</v>
      </c>
      <c r="BE162" s="140">
        <v>0</v>
      </c>
      <c r="BF162" s="140">
        <v>0</v>
      </c>
      <c r="BG162" s="140">
        <v>1</v>
      </c>
      <c r="BH162" s="140">
        <v>0</v>
      </c>
      <c r="BI162" s="140">
        <v>0</v>
      </c>
      <c r="BJ162" s="140">
        <v>0</v>
      </c>
      <c r="BK162" s="140">
        <v>0</v>
      </c>
      <c r="BL162" s="140">
        <v>0</v>
      </c>
      <c r="BM162" s="140">
        <v>0</v>
      </c>
      <c r="BN162" s="140">
        <v>0</v>
      </c>
      <c r="BO162" s="140">
        <v>0</v>
      </c>
      <c r="BX162" s="43">
        <v>12</v>
      </c>
      <c r="BY162" s="90">
        <f t="shared" ref="BY162:BY190" si="11">M162</f>
        <v>-1</v>
      </c>
      <c r="CT162" s="90">
        <f t="shared" si="9"/>
        <v>0</v>
      </c>
      <c r="CU162" s="90">
        <f t="shared" si="10"/>
        <v>0</v>
      </c>
    </row>
    <row r="163" spans="1:99" ht="12" customHeight="1">
      <c r="A163" s="43">
        <v>6821</v>
      </c>
      <c r="B163" s="89" t="s">
        <v>312</v>
      </c>
      <c r="C163" s="89" t="s">
        <v>734</v>
      </c>
      <c r="D163" s="89" t="s">
        <v>735</v>
      </c>
      <c r="F163" s="43">
        <v>527311</v>
      </c>
      <c r="G163" s="43">
        <v>177194</v>
      </c>
      <c r="H163" s="89" t="s">
        <v>177</v>
      </c>
      <c r="J163" s="117">
        <v>43633</v>
      </c>
      <c r="K163" s="140">
        <v>0</v>
      </c>
      <c r="L163" s="140">
        <v>2</v>
      </c>
      <c r="M163" s="140">
        <v>2</v>
      </c>
      <c r="N163" s="140">
        <v>2</v>
      </c>
      <c r="O163" s="140">
        <v>2</v>
      </c>
      <c r="Q163" s="89" t="s">
        <v>736</v>
      </c>
      <c r="R163" s="43" t="s">
        <v>620</v>
      </c>
      <c r="S163" s="125">
        <v>43151</v>
      </c>
      <c r="T163" s="117">
        <v>43224</v>
      </c>
      <c r="V163" s="43" t="s">
        <v>317</v>
      </c>
      <c r="X163" s="43" t="s">
        <v>318</v>
      </c>
      <c r="Y163" s="43" t="s">
        <v>336</v>
      </c>
      <c r="Z163" s="43" t="s">
        <v>320</v>
      </c>
      <c r="AA163" s="43" t="s">
        <v>33</v>
      </c>
      <c r="AB163" s="144">
        <v>1.4000000432133701E-2</v>
      </c>
      <c r="AE163" s="117">
        <v>43633</v>
      </c>
      <c r="AF163" s="43" t="s">
        <v>75</v>
      </c>
      <c r="AG163" s="43" t="s">
        <v>322</v>
      </c>
      <c r="AJ163" s="140">
        <v>0</v>
      </c>
      <c r="AK163" s="140">
        <v>0</v>
      </c>
      <c r="AL163" s="140">
        <v>0</v>
      </c>
      <c r="AM163" s="140">
        <v>0</v>
      </c>
      <c r="AN163" s="140">
        <v>0</v>
      </c>
      <c r="AO163" s="140">
        <v>1</v>
      </c>
      <c r="AP163" s="140">
        <v>1</v>
      </c>
      <c r="AQ163" s="140">
        <v>0</v>
      </c>
      <c r="AR163" s="140">
        <v>0</v>
      </c>
      <c r="AS163" s="140">
        <v>0</v>
      </c>
      <c r="AT163" s="140">
        <v>0</v>
      </c>
      <c r="AU163" s="140">
        <v>0</v>
      </c>
      <c r="AV163" s="140">
        <v>1</v>
      </c>
      <c r="AW163" s="140">
        <v>1</v>
      </c>
      <c r="AX163" s="140">
        <v>0</v>
      </c>
      <c r="AY163" s="140">
        <v>0</v>
      </c>
      <c r="AZ163" s="140">
        <v>0</v>
      </c>
      <c r="BA163" s="140">
        <v>0</v>
      </c>
      <c r="BB163" s="140">
        <v>0</v>
      </c>
      <c r="BC163" s="140">
        <v>0</v>
      </c>
      <c r="BD163" s="140">
        <v>0</v>
      </c>
      <c r="BE163" s="140">
        <v>0</v>
      </c>
      <c r="BF163" s="140">
        <v>0</v>
      </c>
      <c r="BG163" s="140">
        <v>0</v>
      </c>
      <c r="BH163" s="140">
        <v>0</v>
      </c>
      <c r="BI163" s="140">
        <v>0</v>
      </c>
      <c r="BJ163" s="140">
        <v>0</v>
      </c>
      <c r="BK163" s="140">
        <v>0</v>
      </c>
      <c r="BL163" s="140">
        <v>0</v>
      </c>
      <c r="BM163" s="140">
        <v>0</v>
      </c>
      <c r="BN163" s="140">
        <v>0</v>
      </c>
      <c r="BO163" s="140">
        <v>0</v>
      </c>
      <c r="BV163" s="43" t="s">
        <v>329</v>
      </c>
      <c r="BX163" s="43">
        <v>12</v>
      </c>
      <c r="BY163" s="90">
        <f t="shared" si="11"/>
        <v>2</v>
      </c>
      <c r="CT163" s="90">
        <f t="shared" si="9"/>
        <v>0</v>
      </c>
      <c r="CU163" s="90">
        <f t="shared" si="10"/>
        <v>0</v>
      </c>
    </row>
    <row r="164" spans="1:99" ht="12" customHeight="1">
      <c r="A164" s="43">
        <v>6844</v>
      </c>
      <c r="B164" s="89" t="s">
        <v>312</v>
      </c>
      <c r="C164" s="89" t="s">
        <v>737</v>
      </c>
      <c r="D164" s="89" t="s">
        <v>738</v>
      </c>
      <c r="F164" s="43">
        <v>529391</v>
      </c>
      <c r="G164" s="43">
        <v>170726</v>
      </c>
      <c r="H164" s="89" t="s">
        <v>171</v>
      </c>
      <c r="I164" s="125">
        <v>43724</v>
      </c>
      <c r="J164" s="117">
        <v>43921</v>
      </c>
      <c r="K164" s="140">
        <v>0</v>
      </c>
      <c r="L164" s="140">
        <v>1</v>
      </c>
      <c r="M164" s="140">
        <v>1</v>
      </c>
      <c r="N164" s="140">
        <v>1</v>
      </c>
      <c r="O164" s="140">
        <v>1</v>
      </c>
      <c r="Q164" s="89" t="s">
        <v>739</v>
      </c>
      <c r="R164" s="43" t="s">
        <v>316</v>
      </c>
      <c r="S164" s="125">
        <v>43174</v>
      </c>
      <c r="T164" s="117">
        <v>43223</v>
      </c>
      <c r="V164" s="43" t="s">
        <v>317</v>
      </c>
      <c r="X164" s="43" t="s">
        <v>318</v>
      </c>
      <c r="Y164" s="43" t="s">
        <v>336</v>
      </c>
      <c r="Z164" s="43" t="s">
        <v>320</v>
      </c>
      <c r="AA164" s="43" t="s">
        <v>30</v>
      </c>
      <c r="AB164" s="144">
        <v>4.9999998882412902E-3</v>
      </c>
      <c r="AC164" s="125">
        <v>43724</v>
      </c>
      <c r="AD164" s="43" t="s">
        <v>329</v>
      </c>
      <c r="AE164" s="117">
        <v>43921</v>
      </c>
      <c r="AF164" s="43" t="s">
        <v>75</v>
      </c>
      <c r="AG164" s="43" t="s">
        <v>322</v>
      </c>
      <c r="AJ164" s="140">
        <v>0</v>
      </c>
      <c r="AK164" s="140">
        <v>0</v>
      </c>
      <c r="AL164" s="140">
        <v>0</v>
      </c>
      <c r="AM164" s="140">
        <v>0</v>
      </c>
      <c r="AN164" s="140">
        <v>0</v>
      </c>
      <c r="AO164" s="140">
        <v>1</v>
      </c>
      <c r="AP164" s="140">
        <v>0</v>
      </c>
      <c r="AQ164" s="140">
        <v>0</v>
      </c>
      <c r="AR164" s="140">
        <v>0</v>
      </c>
      <c r="AS164" s="140">
        <v>0</v>
      </c>
      <c r="AT164" s="140">
        <v>0</v>
      </c>
      <c r="AU164" s="140">
        <v>0</v>
      </c>
      <c r="AV164" s="140">
        <v>1</v>
      </c>
      <c r="AW164" s="140">
        <v>0</v>
      </c>
      <c r="AX164" s="140">
        <v>0</v>
      </c>
      <c r="AY164" s="140">
        <v>0</v>
      </c>
      <c r="AZ164" s="140">
        <v>0</v>
      </c>
      <c r="BA164" s="140">
        <v>0</v>
      </c>
      <c r="BB164" s="140">
        <v>0</v>
      </c>
      <c r="BC164" s="140">
        <v>0</v>
      </c>
      <c r="BD164" s="140">
        <v>0</v>
      </c>
      <c r="BE164" s="140">
        <v>0</v>
      </c>
      <c r="BF164" s="140">
        <v>0</v>
      </c>
      <c r="BG164" s="140">
        <v>0</v>
      </c>
      <c r="BH164" s="140">
        <v>0</v>
      </c>
      <c r="BI164" s="140">
        <v>0</v>
      </c>
      <c r="BJ164" s="140">
        <v>0</v>
      </c>
      <c r="BK164" s="140">
        <v>0</v>
      </c>
      <c r="BL164" s="140">
        <v>0</v>
      </c>
      <c r="BM164" s="140">
        <v>0</v>
      </c>
      <c r="BN164" s="140">
        <v>0</v>
      </c>
      <c r="BO164" s="140">
        <v>0</v>
      </c>
      <c r="BX164" s="43">
        <v>12</v>
      </c>
      <c r="BY164" s="90">
        <f t="shared" si="11"/>
        <v>1</v>
      </c>
      <c r="CT164" s="90">
        <f t="shared" si="9"/>
        <v>0</v>
      </c>
      <c r="CU164" s="90">
        <f t="shared" si="10"/>
        <v>0</v>
      </c>
    </row>
    <row r="165" spans="1:99" ht="12" customHeight="1">
      <c r="A165" s="43">
        <v>6883</v>
      </c>
      <c r="B165" s="89" t="s">
        <v>312</v>
      </c>
      <c r="C165" s="89" t="s">
        <v>740</v>
      </c>
      <c r="D165" s="89" t="s">
        <v>741</v>
      </c>
      <c r="F165" s="43">
        <v>528003</v>
      </c>
      <c r="G165" s="43">
        <v>174423</v>
      </c>
      <c r="H165" s="89" t="s">
        <v>138</v>
      </c>
      <c r="I165" s="125">
        <v>43555</v>
      </c>
      <c r="J165" s="117">
        <v>43745</v>
      </c>
      <c r="K165" s="140">
        <v>2</v>
      </c>
      <c r="L165" s="140">
        <v>1</v>
      </c>
      <c r="M165" s="140">
        <v>-1</v>
      </c>
      <c r="N165" s="140">
        <v>1</v>
      </c>
      <c r="O165" s="140">
        <v>-1</v>
      </c>
      <c r="Q165" s="89" t="s">
        <v>742</v>
      </c>
      <c r="R165" s="43" t="s">
        <v>316</v>
      </c>
      <c r="S165" s="125">
        <v>43370</v>
      </c>
      <c r="T165" s="117">
        <v>43426</v>
      </c>
      <c r="V165" s="43" t="s">
        <v>317</v>
      </c>
      <c r="X165" s="43" t="s">
        <v>318</v>
      </c>
      <c r="Y165" s="43" t="s">
        <v>319</v>
      </c>
      <c r="Z165" s="43" t="s">
        <v>320</v>
      </c>
      <c r="AA165" s="43" t="s">
        <v>22</v>
      </c>
      <c r="AB165" s="144">
        <v>2.70000007003546E-2</v>
      </c>
      <c r="AC165" s="125">
        <v>43555</v>
      </c>
      <c r="AE165" s="117">
        <v>43745</v>
      </c>
      <c r="AF165" s="43" t="s">
        <v>75</v>
      </c>
      <c r="AG165" s="43" t="s">
        <v>322</v>
      </c>
      <c r="AJ165" s="140">
        <v>0</v>
      </c>
      <c r="AK165" s="140">
        <v>0</v>
      </c>
      <c r="AL165" s="140">
        <v>0</v>
      </c>
      <c r="AM165" s="140">
        <v>0</v>
      </c>
      <c r="AN165" s="140">
        <v>0</v>
      </c>
      <c r="AO165" s="140">
        <v>0</v>
      </c>
      <c r="AP165" s="140">
        <v>-2</v>
      </c>
      <c r="AQ165" s="140">
        <v>0</v>
      </c>
      <c r="AR165" s="140">
        <v>0</v>
      </c>
      <c r="AS165" s="140">
        <v>1</v>
      </c>
      <c r="AT165" s="140">
        <v>0</v>
      </c>
      <c r="AU165" s="140">
        <v>0</v>
      </c>
      <c r="AV165" s="140">
        <v>0</v>
      </c>
      <c r="AW165" s="140">
        <v>-2</v>
      </c>
      <c r="AX165" s="140">
        <v>0</v>
      </c>
      <c r="AY165" s="140">
        <v>0</v>
      </c>
      <c r="AZ165" s="140">
        <v>0</v>
      </c>
      <c r="BA165" s="140">
        <v>0</v>
      </c>
      <c r="BB165" s="140">
        <v>0</v>
      </c>
      <c r="BC165" s="140">
        <v>0</v>
      </c>
      <c r="BD165" s="140">
        <v>0</v>
      </c>
      <c r="BE165" s="140">
        <v>0</v>
      </c>
      <c r="BF165" s="140">
        <v>0</v>
      </c>
      <c r="BG165" s="140">
        <v>1</v>
      </c>
      <c r="BH165" s="140">
        <v>0</v>
      </c>
      <c r="BI165" s="140">
        <v>0</v>
      </c>
      <c r="BJ165" s="140">
        <v>0</v>
      </c>
      <c r="BK165" s="140">
        <v>0</v>
      </c>
      <c r="BL165" s="140">
        <v>0</v>
      </c>
      <c r="BM165" s="140">
        <v>0</v>
      </c>
      <c r="BN165" s="140">
        <v>0</v>
      </c>
      <c r="BO165" s="140">
        <v>0</v>
      </c>
      <c r="BU165" s="89"/>
      <c r="BX165" s="43">
        <v>12</v>
      </c>
      <c r="BY165" s="90">
        <f t="shared" si="11"/>
        <v>-1</v>
      </c>
      <c r="CT165" s="90">
        <f t="shared" si="9"/>
        <v>0</v>
      </c>
      <c r="CU165" s="90">
        <f t="shared" si="10"/>
        <v>0</v>
      </c>
    </row>
    <row r="166" spans="1:99" ht="12" customHeight="1">
      <c r="A166" s="43">
        <v>6926</v>
      </c>
      <c r="B166" s="89" t="s">
        <v>312</v>
      </c>
      <c r="C166" s="89" t="s">
        <v>743</v>
      </c>
      <c r="D166" s="89" t="s">
        <v>744</v>
      </c>
      <c r="E166" s="89" t="s">
        <v>745</v>
      </c>
      <c r="F166" s="43">
        <v>528655</v>
      </c>
      <c r="G166" s="43">
        <v>173058</v>
      </c>
      <c r="H166" s="89" t="s">
        <v>173</v>
      </c>
      <c r="I166" s="125">
        <v>43570</v>
      </c>
      <c r="J166" s="117">
        <v>43860</v>
      </c>
      <c r="K166" s="140">
        <v>0</v>
      </c>
      <c r="L166" s="140">
        <v>1</v>
      </c>
      <c r="M166" s="140">
        <v>1</v>
      </c>
      <c r="N166" s="140">
        <v>1</v>
      </c>
      <c r="O166" s="140">
        <v>1</v>
      </c>
      <c r="Q166" s="89" t="s">
        <v>746</v>
      </c>
      <c r="R166" s="43" t="s">
        <v>316</v>
      </c>
      <c r="S166" s="125">
        <v>43217</v>
      </c>
      <c r="T166" s="117">
        <v>43255</v>
      </c>
      <c r="V166" s="43" t="s">
        <v>317</v>
      </c>
      <c r="X166" s="43" t="s">
        <v>318</v>
      </c>
      <c r="Y166" s="43" t="s">
        <v>319</v>
      </c>
      <c r="Z166" s="43" t="s">
        <v>320</v>
      </c>
      <c r="AA166" s="43" t="s">
        <v>353</v>
      </c>
      <c r="AB166" s="144">
        <v>7.0000002160668399E-3</v>
      </c>
      <c r="AC166" s="125">
        <v>43570</v>
      </c>
      <c r="AD166" s="43" t="s">
        <v>329</v>
      </c>
      <c r="AE166" s="117">
        <v>43860</v>
      </c>
      <c r="AF166" s="43" t="s">
        <v>75</v>
      </c>
      <c r="AG166" s="43" t="s">
        <v>322</v>
      </c>
      <c r="AJ166" s="140">
        <v>0</v>
      </c>
      <c r="AK166" s="140">
        <v>0</v>
      </c>
      <c r="AL166" s="140">
        <v>0</v>
      </c>
      <c r="AM166" s="140">
        <v>0</v>
      </c>
      <c r="AN166" s="140">
        <v>0</v>
      </c>
      <c r="AO166" s="140">
        <v>1</v>
      </c>
      <c r="AP166" s="140">
        <v>0</v>
      </c>
      <c r="AQ166" s="140">
        <v>0</v>
      </c>
      <c r="AR166" s="140">
        <v>0</v>
      </c>
      <c r="AS166" s="140">
        <v>0</v>
      </c>
      <c r="AT166" s="140">
        <v>0</v>
      </c>
      <c r="AU166" s="140">
        <v>0</v>
      </c>
      <c r="AV166" s="140">
        <v>1</v>
      </c>
      <c r="AW166" s="140">
        <v>0</v>
      </c>
      <c r="AX166" s="140">
        <v>0</v>
      </c>
      <c r="AY166" s="140">
        <v>0</v>
      </c>
      <c r="AZ166" s="140">
        <v>0</v>
      </c>
      <c r="BA166" s="140">
        <v>0</v>
      </c>
      <c r="BB166" s="140">
        <v>0</v>
      </c>
      <c r="BC166" s="140">
        <v>0</v>
      </c>
      <c r="BD166" s="140">
        <v>0</v>
      </c>
      <c r="BE166" s="140">
        <v>0</v>
      </c>
      <c r="BF166" s="140">
        <v>0</v>
      </c>
      <c r="BG166" s="140">
        <v>0</v>
      </c>
      <c r="BH166" s="140">
        <v>0</v>
      </c>
      <c r="BI166" s="140">
        <v>0</v>
      </c>
      <c r="BJ166" s="140">
        <v>0</v>
      </c>
      <c r="BK166" s="140">
        <v>0</v>
      </c>
      <c r="BL166" s="140">
        <v>0</v>
      </c>
      <c r="BM166" s="140">
        <v>0</v>
      </c>
      <c r="BN166" s="140">
        <v>0</v>
      </c>
      <c r="BO166" s="140">
        <v>0</v>
      </c>
      <c r="BU166" s="89"/>
      <c r="BX166" s="43">
        <v>12</v>
      </c>
      <c r="BY166" s="90">
        <f t="shared" si="11"/>
        <v>1</v>
      </c>
      <c r="CT166" s="90">
        <f t="shared" si="9"/>
        <v>0</v>
      </c>
      <c r="CU166" s="90">
        <f t="shared" si="10"/>
        <v>0</v>
      </c>
    </row>
    <row r="167" spans="1:99" ht="12" customHeight="1">
      <c r="A167" s="43">
        <v>6927</v>
      </c>
      <c r="B167" s="89" t="s">
        <v>312</v>
      </c>
      <c r="C167" s="89" t="s">
        <v>747</v>
      </c>
      <c r="D167" s="89" t="s">
        <v>748</v>
      </c>
      <c r="F167" s="43">
        <v>523600</v>
      </c>
      <c r="G167" s="43">
        <v>175878</v>
      </c>
      <c r="H167" s="89" t="s">
        <v>178</v>
      </c>
      <c r="I167" s="125">
        <v>43921</v>
      </c>
      <c r="J167" s="117">
        <v>43921</v>
      </c>
      <c r="K167" s="140">
        <v>2</v>
      </c>
      <c r="L167" s="140">
        <v>1</v>
      </c>
      <c r="M167" s="140">
        <v>-1</v>
      </c>
      <c r="N167" s="140">
        <v>1</v>
      </c>
      <c r="O167" s="140">
        <v>-1</v>
      </c>
      <c r="Q167" s="89" t="s">
        <v>749</v>
      </c>
      <c r="R167" s="43" t="s">
        <v>316</v>
      </c>
      <c r="S167" s="125">
        <v>43350</v>
      </c>
      <c r="T167" s="117">
        <v>43406</v>
      </c>
      <c r="V167" s="43" t="s">
        <v>317</v>
      </c>
      <c r="X167" s="43" t="s">
        <v>318</v>
      </c>
      <c r="Y167" s="43" t="s">
        <v>348</v>
      </c>
      <c r="Z167" s="43" t="s">
        <v>320</v>
      </c>
      <c r="AA167" s="43" t="s">
        <v>22</v>
      </c>
      <c r="AB167" s="144">
        <v>1.2000000104308101E-2</v>
      </c>
      <c r="AC167" s="125">
        <v>43921</v>
      </c>
      <c r="AD167" s="43" t="s">
        <v>329</v>
      </c>
      <c r="AE167" s="117">
        <v>43921</v>
      </c>
      <c r="AF167" s="43" t="s">
        <v>75</v>
      </c>
      <c r="AG167" s="43" t="s">
        <v>322</v>
      </c>
      <c r="AJ167" s="140">
        <v>0</v>
      </c>
      <c r="AK167" s="140">
        <v>0</v>
      </c>
      <c r="AL167" s="140">
        <v>0</v>
      </c>
      <c r="AM167" s="140">
        <v>0</v>
      </c>
      <c r="AN167" s="140">
        <v>0</v>
      </c>
      <c r="AO167" s="140">
        <v>-2</v>
      </c>
      <c r="AP167" s="140">
        <v>0</v>
      </c>
      <c r="AQ167" s="140">
        <v>1</v>
      </c>
      <c r="AR167" s="140">
        <v>0</v>
      </c>
      <c r="AS167" s="140">
        <v>0</v>
      </c>
      <c r="AT167" s="140">
        <v>0</v>
      </c>
      <c r="AU167" s="140">
        <v>0</v>
      </c>
      <c r="AV167" s="140">
        <v>-2</v>
      </c>
      <c r="AW167" s="140">
        <v>0</v>
      </c>
      <c r="AX167" s="140">
        <v>0</v>
      </c>
      <c r="AY167" s="140">
        <v>0</v>
      </c>
      <c r="AZ167" s="140">
        <v>0</v>
      </c>
      <c r="BA167" s="140">
        <v>0</v>
      </c>
      <c r="BB167" s="140">
        <v>0</v>
      </c>
      <c r="BC167" s="140">
        <v>0</v>
      </c>
      <c r="BD167" s="140">
        <v>0</v>
      </c>
      <c r="BE167" s="140">
        <v>1</v>
      </c>
      <c r="BF167" s="140">
        <v>0</v>
      </c>
      <c r="BG167" s="140">
        <v>0</v>
      </c>
      <c r="BH167" s="140">
        <v>0</v>
      </c>
      <c r="BI167" s="140">
        <v>0</v>
      </c>
      <c r="BJ167" s="140">
        <v>0</v>
      </c>
      <c r="BK167" s="140">
        <v>0</v>
      </c>
      <c r="BL167" s="140">
        <v>0</v>
      </c>
      <c r="BM167" s="140">
        <v>0</v>
      </c>
      <c r="BN167" s="140">
        <v>0</v>
      </c>
      <c r="BO167" s="140">
        <v>0</v>
      </c>
      <c r="BU167" s="89"/>
      <c r="BX167" s="43">
        <v>12</v>
      </c>
      <c r="BY167" s="90">
        <f t="shared" si="11"/>
        <v>-1</v>
      </c>
      <c r="CT167" s="90">
        <f t="shared" si="9"/>
        <v>0</v>
      </c>
      <c r="CU167" s="90">
        <f t="shared" si="10"/>
        <v>0</v>
      </c>
    </row>
    <row r="168" spans="1:99" ht="12" customHeight="1">
      <c r="A168" s="43">
        <v>6929</v>
      </c>
      <c r="B168" s="89" t="s">
        <v>312</v>
      </c>
      <c r="C168" s="89" t="s">
        <v>750</v>
      </c>
      <c r="D168" s="89" t="s">
        <v>751</v>
      </c>
      <c r="F168" s="43">
        <v>524583</v>
      </c>
      <c r="G168" s="43">
        <v>175309</v>
      </c>
      <c r="H168" s="89" t="s">
        <v>178</v>
      </c>
      <c r="I168" s="125">
        <v>43542</v>
      </c>
      <c r="J168" s="117">
        <v>43921</v>
      </c>
      <c r="K168" s="140">
        <v>0</v>
      </c>
      <c r="L168" s="140">
        <v>2</v>
      </c>
      <c r="M168" s="140">
        <v>2</v>
      </c>
      <c r="N168" s="140">
        <v>2</v>
      </c>
      <c r="O168" s="140">
        <v>2</v>
      </c>
      <c r="Q168" s="89" t="s">
        <v>752</v>
      </c>
      <c r="R168" s="43" t="s">
        <v>316</v>
      </c>
      <c r="S168" s="125">
        <v>43195</v>
      </c>
      <c r="T168" s="117">
        <v>43278</v>
      </c>
      <c r="V168" s="43" t="s">
        <v>317</v>
      </c>
      <c r="X168" s="43" t="s">
        <v>318</v>
      </c>
      <c r="Y168" s="43" t="s">
        <v>379</v>
      </c>
      <c r="Z168" s="43" t="s">
        <v>320</v>
      </c>
      <c r="AA168" s="43" t="s">
        <v>353</v>
      </c>
      <c r="AB168" s="144">
        <v>2.0000000949949E-3</v>
      </c>
      <c r="AC168" s="125">
        <v>43542</v>
      </c>
      <c r="AE168" s="117">
        <v>43921</v>
      </c>
      <c r="AF168" s="43" t="s">
        <v>75</v>
      </c>
      <c r="AG168" s="43" t="s">
        <v>322</v>
      </c>
      <c r="AJ168" s="140">
        <v>0</v>
      </c>
      <c r="AK168" s="140">
        <v>0</v>
      </c>
      <c r="AL168" s="140">
        <v>0</v>
      </c>
      <c r="AM168" s="140">
        <v>0</v>
      </c>
      <c r="AN168" s="140">
        <v>0</v>
      </c>
      <c r="AO168" s="140">
        <v>0</v>
      </c>
      <c r="AP168" s="140">
        <v>2</v>
      </c>
      <c r="AQ168" s="140">
        <v>0</v>
      </c>
      <c r="AR168" s="140">
        <v>0</v>
      </c>
      <c r="AS168" s="140">
        <v>0</v>
      </c>
      <c r="AT168" s="140">
        <v>0</v>
      </c>
      <c r="AU168" s="140">
        <v>0</v>
      </c>
      <c r="AV168" s="140">
        <v>0</v>
      </c>
      <c r="AW168" s="140">
        <v>2</v>
      </c>
      <c r="AX168" s="140">
        <v>0</v>
      </c>
      <c r="AY168" s="140">
        <v>0</v>
      </c>
      <c r="AZ168" s="140">
        <v>0</v>
      </c>
      <c r="BA168" s="140">
        <v>0</v>
      </c>
      <c r="BB168" s="140">
        <v>0</v>
      </c>
      <c r="BC168" s="140">
        <v>0</v>
      </c>
      <c r="BD168" s="140">
        <v>0</v>
      </c>
      <c r="BE168" s="140">
        <v>0</v>
      </c>
      <c r="BF168" s="140">
        <v>0</v>
      </c>
      <c r="BG168" s="140">
        <v>0</v>
      </c>
      <c r="BH168" s="140">
        <v>0</v>
      </c>
      <c r="BI168" s="140">
        <v>0</v>
      </c>
      <c r="BJ168" s="140">
        <v>0</v>
      </c>
      <c r="BK168" s="140">
        <v>0</v>
      </c>
      <c r="BL168" s="140">
        <v>0</v>
      </c>
      <c r="BM168" s="140">
        <v>0</v>
      </c>
      <c r="BN168" s="140">
        <v>0</v>
      </c>
      <c r="BO168" s="140">
        <v>0</v>
      </c>
      <c r="BU168" s="89"/>
      <c r="BV168" s="43" t="s">
        <v>329</v>
      </c>
      <c r="BX168" s="43">
        <v>12</v>
      </c>
      <c r="BY168" s="90">
        <f t="shared" si="11"/>
        <v>2</v>
      </c>
      <c r="CT168" s="90">
        <f t="shared" si="9"/>
        <v>0</v>
      </c>
      <c r="CU168" s="90">
        <f t="shared" si="10"/>
        <v>0</v>
      </c>
    </row>
    <row r="169" spans="1:99" ht="12" customHeight="1">
      <c r="A169" s="43">
        <v>6932</v>
      </c>
      <c r="B169" s="89" t="s">
        <v>312</v>
      </c>
      <c r="C169" s="89" t="s">
        <v>753</v>
      </c>
      <c r="D169" s="89" t="s">
        <v>754</v>
      </c>
      <c r="F169" s="43">
        <v>528421</v>
      </c>
      <c r="G169" s="43">
        <v>173247</v>
      </c>
      <c r="H169" s="89" t="s">
        <v>173</v>
      </c>
      <c r="I169" s="125">
        <v>42614</v>
      </c>
      <c r="J169" s="117">
        <v>43586</v>
      </c>
      <c r="K169" s="140">
        <v>0</v>
      </c>
      <c r="L169" s="140">
        <v>1</v>
      </c>
      <c r="M169" s="140">
        <v>1</v>
      </c>
      <c r="N169" s="140">
        <v>1</v>
      </c>
      <c r="O169" s="140">
        <v>1</v>
      </c>
      <c r="Q169" s="89" t="s">
        <v>755</v>
      </c>
      <c r="R169" s="43" t="s">
        <v>383</v>
      </c>
      <c r="S169" s="125">
        <v>43222</v>
      </c>
      <c r="T169" s="117">
        <v>43263</v>
      </c>
      <c r="U169" s="43" t="s">
        <v>329</v>
      </c>
      <c r="V169" s="43" t="s">
        <v>384</v>
      </c>
      <c r="W169" s="117">
        <v>43586</v>
      </c>
      <c r="X169" s="43" t="s">
        <v>318</v>
      </c>
      <c r="Y169" s="43" t="s">
        <v>336</v>
      </c>
      <c r="Z169" s="43" t="s">
        <v>320</v>
      </c>
      <c r="AA169" s="43" t="s">
        <v>30</v>
      </c>
      <c r="AB169" s="144">
        <v>8.0000003799796104E-3</v>
      </c>
      <c r="AC169" s="125">
        <v>42614</v>
      </c>
      <c r="AE169" s="117">
        <v>43586</v>
      </c>
      <c r="AF169" s="43" t="s">
        <v>75</v>
      </c>
      <c r="AG169" s="43" t="s">
        <v>322</v>
      </c>
      <c r="AJ169" s="140">
        <v>0</v>
      </c>
      <c r="AK169" s="140">
        <v>0</v>
      </c>
      <c r="AL169" s="140">
        <v>0</v>
      </c>
      <c r="AM169" s="140">
        <v>0</v>
      </c>
      <c r="AN169" s="140">
        <v>0</v>
      </c>
      <c r="AO169" s="140">
        <v>1</v>
      </c>
      <c r="AP169" s="140">
        <v>0</v>
      </c>
      <c r="AQ169" s="140">
        <v>0</v>
      </c>
      <c r="AR169" s="140">
        <v>0</v>
      </c>
      <c r="AS169" s="140">
        <v>0</v>
      </c>
      <c r="AT169" s="140">
        <v>0</v>
      </c>
      <c r="AU169" s="140">
        <v>0</v>
      </c>
      <c r="AV169" s="140">
        <v>1</v>
      </c>
      <c r="AW169" s="140">
        <v>0</v>
      </c>
      <c r="AX169" s="140">
        <v>0</v>
      </c>
      <c r="AY169" s="140">
        <v>0</v>
      </c>
      <c r="AZ169" s="140">
        <v>0</v>
      </c>
      <c r="BA169" s="140">
        <v>0</v>
      </c>
      <c r="BB169" s="140">
        <v>0</v>
      </c>
      <c r="BC169" s="140">
        <v>0</v>
      </c>
      <c r="BD169" s="140">
        <v>0</v>
      </c>
      <c r="BE169" s="140">
        <v>0</v>
      </c>
      <c r="BF169" s="140">
        <v>0</v>
      </c>
      <c r="BG169" s="140">
        <v>0</v>
      </c>
      <c r="BH169" s="140">
        <v>0</v>
      </c>
      <c r="BI169" s="140">
        <v>0</v>
      </c>
      <c r="BJ169" s="140">
        <v>0</v>
      </c>
      <c r="BK169" s="140">
        <v>0</v>
      </c>
      <c r="BL169" s="140">
        <v>0</v>
      </c>
      <c r="BM169" s="140">
        <v>0</v>
      </c>
      <c r="BN169" s="140">
        <v>0</v>
      </c>
      <c r="BO169" s="140">
        <v>0</v>
      </c>
      <c r="BP169" s="43" t="s">
        <v>138</v>
      </c>
      <c r="BQ169" s="89"/>
      <c r="BU169" s="89"/>
      <c r="BX169" s="43">
        <v>12</v>
      </c>
      <c r="BY169" s="90">
        <f t="shared" si="11"/>
        <v>1</v>
      </c>
      <c r="CT169" s="90">
        <f t="shared" si="9"/>
        <v>0</v>
      </c>
      <c r="CU169" s="90">
        <f t="shared" si="10"/>
        <v>0</v>
      </c>
    </row>
    <row r="170" spans="1:99" ht="12" customHeight="1">
      <c r="A170" s="43">
        <v>6957</v>
      </c>
      <c r="B170" s="89" t="s">
        <v>312</v>
      </c>
      <c r="C170" s="89" t="s">
        <v>756</v>
      </c>
      <c r="D170" s="89" t="s">
        <v>757</v>
      </c>
      <c r="E170" s="89" t="s">
        <v>758</v>
      </c>
      <c r="F170" s="43">
        <v>527269</v>
      </c>
      <c r="G170" s="43">
        <v>171348</v>
      </c>
      <c r="H170" s="89" t="s">
        <v>141</v>
      </c>
      <c r="I170" s="125">
        <v>43344</v>
      </c>
      <c r="J170" s="117">
        <v>43921</v>
      </c>
      <c r="K170" s="140">
        <v>1</v>
      </c>
      <c r="L170" s="140">
        <v>2</v>
      </c>
      <c r="M170" s="140">
        <v>1</v>
      </c>
      <c r="N170" s="140">
        <v>3</v>
      </c>
      <c r="O170" s="140">
        <v>2</v>
      </c>
      <c r="Q170" s="89" t="s">
        <v>759</v>
      </c>
      <c r="R170" s="43" t="s">
        <v>316</v>
      </c>
      <c r="S170" s="125">
        <v>43241</v>
      </c>
      <c r="T170" s="117">
        <v>43285</v>
      </c>
      <c r="V170" s="43" t="s">
        <v>317</v>
      </c>
      <c r="X170" s="43" t="s">
        <v>318</v>
      </c>
      <c r="Y170" s="43" t="s">
        <v>319</v>
      </c>
      <c r="Z170" s="43" t="s">
        <v>320</v>
      </c>
      <c r="AA170" s="43" t="s">
        <v>20</v>
      </c>
      <c r="AB170" s="144">
        <v>8.0000003799796104E-3</v>
      </c>
      <c r="AC170" s="125">
        <v>43344</v>
      </c>
      <c r="AE170" s="117">
        <v>43921</v>
      </c>
      <c r="AF170" s="43" t="s">
        <v>75</v>
      </c>
      <c r="AG170" s="43" t="s">
        <v>322</v>
      </c>
      <c r="AJ170" s="140">
        <v>0</v>
      </c>
      <c r="AK170" s="140">
        <v>0</v>
      </c>
      <c r="AL170" s="140">
        <v>0</v>
      </c>
      <c r="AM170" s="140">
        <v>0</v>
      </c>
      <c r="AN170" s="140">
        <v>0</v>
      </c>
      <c r="AO170" s="140">
        <v>0</v>
      </c>
      <c r="AP170" s="140">
        <v>2</v>
      </c>
      <c r="AQ170" s="140">
        <v>0</v>
      </c>
      <c r="AR170" s="140">
        <v>-1</v>
      </c>
      <c r="AS170" s="140">
        <v>0</v>
      </c>
      <c r="AT170" s="140">
        <v>0</v>
      </c>
      <c r="AU170" s="140">
        <v>0</v>
      </c>
      <c r="AV170" s="140">
        <v>0</v>
      </c>
      <c r="AW170" s="140">
        <v>2</v>
      </c>
      <c r="AX170" s="140">
        <v>0</v>
      </c>
      <c r="AY170" s="140">
        <v>0</v>
      </c>
      <c r="AZ170" s="140">
        <v>0</v>
      </c>
      <c r="BA170" s="140">
        <v>0</v>
      </c>
      <c r="BB170" s="140">
        <v>0</v>
      </c>
      <c r="BC170" s="140">
        <v>0</v>
      </c>
      <c r="BD170" s="140">
        <v>0</v>
      </c>
      <c r="BE170" s="140">
        <v>0</v>
      </c>
      <c r="BF170" s="140">
        <v>-1</v>
      </c>
      <c r="BG170" s="140">
        <v>0</v>
      </c>
      <c r="BH170" s="140">
        <v>0</v>
      </c>
      <c r="BI170" s="140">
        <v>0</v>
      </c>
      <c r="BJ170" s="140">
        <v>0</v>
      </c>
      <c r="BK170" s="140">
        <v>0</v>
      </c>
      <c r="BL170" s="140">
        <v>0</v>
      </c>
      <c r="BM170" s="140">
        <v>0</v>
      </c>
      <c r="BN170" s="140">
        <v>0</v>
      </c>
      <c r="BO170" s="140">
        <v>0</v>
      </c>
      <c r="BQ170" s="89"/>
      <c r="BU170" s="89"/>
      <c r="BX170" s="43">
        <v>12</v>
      </c>
      <c r="BY170" s="90">
        <f t="shared" si="11"/>
        <v>1</v>
      </c>
      <c r="CT170" s="90">
        <f t="shared" si="9"/>
        <v>0</v>
      </c>
      <c r="CU170" s="90">
        <f t="shared" si="10"/>
        <v>0</v>
      </c>
    </row>
    <row r="171" spans="1:99" ht="12" customHeight="1">
      <c r="A171" s="43">
        <v>6957</v>
      </c>
      <c r="B171" s="89" t="s">
        <v>312</v>
      </c>
      <c r="C171" s="89" t="s">
        <v>756</v>
      </c>
      <c r="D171" s="89" t="s">
        <v>757</v>
      </c>
      <c r="E171" s="89" t="s">
        <v>661</v>
      </c>
      <c r="F171" s="43">
        <v>527269</v>
      </c>
      <c r="G171" s="43">
        <v>171348</v>
      </c>
      <c r="H171" s="89" t="s">
        <v>141</v>
      </c>
      <c r="I171" s="125">
        <v>43344</v>
      </c>
      <c r="J171" s="117">
        <v>43921</v>
      </c>
      <c r="K171" s="140">
        <v>0</v>
      </c>
      <c r="L171" s="140">
        <v>1</v>
      </c>
      <c r="M171" s="140">
        <v>1</v>
      </c>
      <c r="N171" s="140">
        <v>3</v>
      </c>
      <c r="O171" s="140">
        <v>2</v>
      </c>
      <c r="Q171" s="89" t="s">
        <v>759</v>
      </c>
      <c r="R171" s="43" t="s">
        <v>316</v>
      </c>
      <c r="S171" s="125">
        <v>43241</v>
      </c>
      <c r="T171" s="117">
        <v>43285</v>
      </c>
      <c r="V171" s="43" t="s">
        <v>317</v>
      </c>
      <c r="X171" s="43" t="s">
        <v>318</v>
      </c>
      <c r="Y171" s="43" t="s">
        <v>319</v>
      </c>
      <c r="Z171" s="43" t="s">
        <v>320</v>
      </c>
      <c r="AA171" s="43" t="s">
        <v>20</v>
      </c>
      <c r="AB171" s="144">
        <v>4.9999998882412902E-3</v>
      </c>
      <c r="AC171" s="125">
        <v>43344</v>
      </c>
      <c r="AE171" s="117">
        <v>43921</v>
      </c>
      <c r="AF171" s="43" t="s">
        <v>75</v>
      </c>
      <c r="AG171" s="43" t="s">
        <v>322</v>
      </c>
      <c r="AJ171" s="140">
        <v>0</v>
      </c>
      <c r="AK171" s="140">
        <v>0</v>
      </c>
      <c r="AL171" s="140">
        <v>0</v>
      </c>
      <c r="AM171" s="140">
        <v>0</v>
      </c>
      <c r="AN171" s="140">
        <v>0</v>
      </c>
      <c r="AO171" s="140">
        <v>0</v>
      </c>
      <c r="AP171" s="140">
        <v>0</v>
      </c>
      <c r="AQ171" s="140">
        <v>1</v>
      </c>
      <c r="AR171" s="140">
        <v>0</v>
      </c>
      <c r="AS171" s="140">
        <v>0</v>
      </c>
      <c r="AT171" s="140">
        <v>0</v>
      </c>
      <c r="AU171" s="140">
        <v>0</v>
      </c>
      <c r="AV171" s="140">
        <v>0</v>
      </c>
      <c r="AW171" s="140">
        <v>0</v>
      </c>
      <c r="AX171" s="140">
        <v>1</v>
      </c>
      <c r="AY171" s="140">
        <v>0</v>
      </c>
      <c r="AZ171" s="140">
        <v>0</v>
      </c>
      <c r="BA171" s="140">
        <v>0</v>
      </c>
      <c r="BB171" s="140">
        <v>0</v>
      </c>
      <c r="BC171" s="140">
        <v>0</v>
      </c>
      <c r="BD171" s="140">
        <v>0</v>
      </c>
      <c r="BE171" s="140">
        <v>0</v>
      </c>
      <c r="BF171" s="140">
        <v>0</v>
      </c>
      <c r="BG171" s="140">
        <v>0</v>
      </c>
      <c r="BH171" s="140">
        <v>0</v>
      </c>
      <c r="BI171" s="140">
        <v>0</v>
      </c>
      <c r="BJ171" s="140">
        <v>0</v>
      </c>
      <c r="BK171" s="140">
        <v>0</v>
      </c>
      <c r="BL171" s="140">
        <v>0</v>
      </c>
      <c r="BM171" s="140">
        <v>0</v>
      </c>
      <c r="BN171" s="140">
        <v>0</v>
      </c>
      <c r="BO171" s="140">
        <v>0</v>
      </c>
      <c r="BQ171" s="89"/>
      <c r="BU171" s="89"/>
      <c r="BX171" s="43">
        <v>12</v>
      </c>
      <c r="BY171" s="90">
        <f t="shared" si="11"/>
        <v>1</v>
      </c>
      <c r="CT171" s="90">
        <f t="shared" si="9"/>
        <v>0</v>
      </c>
      <c r="CU171" s="90">
        <f t="shared" si="10"/>
        <v>0</v>
      </c>
    </row>
    <row r="172" spans="1:99" ht="12" customHeight="1">
      <c r="A172" s="43">
        <v>6977</v>
      </c>
      <c r="B172" s="89" t="s">
        <v>312</v>
      </c>
      <c r="C172" s="89" t="s">
        <v>760</v>
      </c>
      <c r="D172" s="89" t="s">
        <v>761</v>
      </c>
      <c r="F172" s="43">
        <v>527166</v>
      </c>
      <c r="G172" s="43">
        <v>171579</v>
      </c>
      <c r="H172" s="89" t="s">
        <v>141</v>
      </c>
      <c r="I172" s="125">
        <v>43567</v>
      </c>
      <c r="J172" s="117">
        <v>43878</v>
      </c>
      <c r="K172" s="140">
        <v>1</v>
      </c>
      <c r="L172" s="140">
        <v>4</v>
      </c>
      <c r="M172" s="140">
        <v>3</v>
      </c>
      <c r="N172" s="140">
        <v>4</v>
      </c>
      <c r="O172" s="140">
        <v>3</v>
      </c>
      <c r="Q172" s="89" t="s">
        <v>762</v>
      </c>
      <c r="R172" s="43" t="s">
        <v>316</v>
      </c>
      <c r="S172" s="125">
        <v>43747</v>
      </c>
      <c r="T172" s="117">
        <v>43864</v>
      </c>
      <c r="U172" s="43" t="s">
        <v>329</v>
      </c>
      <c r="V172" s="43" t="s">
        <v>317</v>
      </c>
      <c r="X172" s="43" t="s">
        <v>318</v>
      </c>
      <c r="Y172" s="43" t="s">
        <v>348</v>
      </c>
      <c r="Z172" s="43" t="s">
        <v>320</v>
      </c>
      <c r="AA172" s="43" t="s">
        <v>20</v>
      </c>
      <c r="AB172" s="144">
        <v>1.60000007599592E-2</v>
      </c>
      <c r="AC172" s="125">
        <v>43567</v>
      </c>
      <c r="AD172" s="43" t="s">
        <v>329</v>
      </c>
      <c r="AE172" s="117">
        <v>43878</v>
      </c>
      <c r="AF172" s="43" t="s">
        <v>75</v>
      </c>
      <c r="AG172" s="43" t="s">
        <v>322</v>
      </c>
      <c r="AJ172" s="140">
        <v>0</v>
      </c>
      <c r="AK172" s="140">
        <v>0</v>
      </c>
      <c r="AL172" s="140">
        <v>0</v>
      </c>
      <c r="AM172" s="140">
        <v>0</v>
      </c>
      <c r="AN172" s="140">
        <v>0</v>
      </c>
      <c r="AO172" s="140">
        <v>2</v>
      </c>
      <c r="AP172" s="140">
        <v>1</v>
      </c>
      <c r="AQ172" s="140">
        <v>1</v>
      </c>
      <c r="AR172" s="140">
        <v>0</v>
      </c>
      <c r="AS172" s="140">
        <v>-1</v>
      </c>
      <c r="AT172" s="140">
        <v>0</v>
      </c>
      <c r="AU172" s="140">
        <v>0</v>
      </c>
      <c r="AV172" s="140">
        <v>2</v>
      </c>
      <c r="AW172" s="140">
        <v>1</v>
      </c>
      <c r="AX172" s="140">
        <v>1</v>
      </c>
      <c r="AY172" s="140">
        <v>0</v>
      </c>
      <c r="AZ172" s="140">
        <v>0</v>
      </c>
      <c r="BA172" s="140">
        <v>0</v>
      </c>
      <c r="BB172" s="140">
        <v>0</v>
      </c>
      <c r="BC172" s="140">
        <v>0</v>
      </c>
      <c r="BD172" s="140">
        <v>0</v>
      </c>
      <c r="BE172" s="140">
        <v>0</v>
      </c>
      <c r="BF172" s="140">
        <v>0</v>
      </c>
      <c r="BG172" s="140">
        <v>-1</v>
      </c>
      <c r="BH172" s="140">
        <v>0</v>
      </c>
      <c r="BI172" s="140">
        <v>0</v>
      </c>
      <c r="BJ172" s="140">
        <v>0</v>
      </c>
      <c r="BK172" s="140">
        <v>0</v>
      </c>
      <c r="BL172" s="140">
        <v>0</v>
      </c>
      <c r="BM172" s="140">
        <v>0</v>
      </c>
      <c r="BN172" s="140">
        <v>0</v>
      </c>
      <c r="BO172" s="140">
        <v>0</v>
      </c>
      <c r="BU172" s="89"/>
      <c r="BX172" s="43">
        <v>12</v>
      </c>
      <c r="BY172" s="90">
        <f t="shared" si="11"/>
        <v>3</v>
      </c>
      <c r="CT172" s="90">
        <f t="shared" si="9"/>
        <v>0</v>
      </c>
      <c r="CU172" s="90">
        <f t="shared" si="10"/>
        <v>0</v>
      </c>
    </row>
    <row r="173" spans="1:99" ht="12" customHeight="1">
      <c r="A173" s="43">
        <v>6989</v>
      </c>
      <c r="B173" s="89" t="s">
        <v>312</v>
      </c>
      <c r="C173" s="89" t="s">
        <v>763</v>
      </c>
      <c r="D173" s="89" t="s">
        <v>764</v>
      </c>
      <c r="F173" s="43">
        <v>525152</v>
      </c>
      <c r="G173" s="43">
        <v>173396</v>
      </c>
      <c r="H173" s="89" t="s">
        <v>176</v>
      </c>
      <c r="I173" s="125">
        <v>43453</v>
      </c>
      <c r="J173" s="117">
        <v>43684</v>
      </c>
      <c r="K173" s="140">
        <v>0</v>
      </c>
      <c r="L173" s="140">
        <v>1</v>
      </c>
      <c r="M173" s="140">
        <v>1</v>
      </c>
      <c r="N173" s="140">
        <v>1</v>
      </c>
      <c r="O173" s="140">
        <v>1</v>
      </c>
      <c r="Q173" s="89" t="s">
        <v>765</v>
      </c>
      <c r="R173" s="43" t="s">
        <v>316</v>
      </c>
      <c r="S173" s="125">
        <v>43305</v>
      </c>
      <c r="T173" s="117">
        <v>43360</v>
      </c>
      <c r="V173" s="43" t="s">
        <v>317</v>
      </c>
      <c r="X173" s="43" t="s">
        <v>318</v>
      </c>
      <c r="Y173" s="43" t="s">
        <v>379</v>
      </c>
      <c r="Z173" s="43" t="s">
        <v>320</v>
      </c>
      <c r="AA173" s="43" t="s">
        <v>340</v>
      </c>
      <c r="AB173" s="144">
        <v>2.0000000949949E-3</v>
      </c>
      <c r="AC173" s="125">
        <v>43453</v>
      </c>
      <c r="AE173" s="117">
        <v>43684</v>
      </c>
      <c r="AF173" s="43" t="s">
        <v>75</v>
      </c>
      <c r="AG173" s="43" t="s">
        <v>322</v>
      </c>
      <c r="AJ173" s="140">
        <v>0</v>
      </c>
      <c r="AK173" s="140">
        <v>0</v>
      </c>
      <c r="AL173" s="140">
        <v>0</v>
      </c>
      <c r="AM173" s="140">
        <v>0</v>
      </c>
      <c r="AN173" s="140">
        <v>0</v>
      </c>
      <c r="AO173" s="140">
        <v>1</v>
      </c>
      <c r="AP173" s="140">
        <v>0</v>
      </c>
      <c r="AQ173" s="140">
        <v>0</v>
      </c>
      <c r="AR173" s="140">
        <v>0</v>
      </c>
      <c r="AS173" s="140">
        <v>0</v>
      </c>
      <c r="AT173" s="140">
        <v>0</v>
      </c>
      <c r="AU173" s="140">
        <v>0</v>
      </c>
      <c r="AV173" s="140">
        <v>1</v>
      </c>
      <c r="AW173" s="140">
        <v>0</v>
      </c>
      <c r="AX173" s="140">
        <v>0</v>
      </c>
      <c r="AY173" s="140">
        <v>0</v>
      </c>
      <c r="AZ173" s="140">
        <v>0</v>
      </c>
      <c r="BA173" s="140">
        <v>0</v>
      </c>
      <c r="BB173" s="140">
        <v>0</v>
      </c>
      <c r="BC173" s="140">
        <v>0</v>
      </c>
      <c r="BD173" s="140">
        <v>0</v>
      </c>
      <c r="BE173" s="140">
        <v>0</v>
      </c>
      <c r="BF173" s="140">
        <v>0</v>
      </c>
      <c r="BG173" s="140">
        <v>0</v>
      </c>
      <c r="BH173" s="140">
        <v>0</v>
      </c>
      <c r="BI173" s="140">
        <v>0</v>
      </c>
      <c r="BJ173" s="140">
        <v>0</v>
      </c>
      <c r="BK173" s="140">
        <v>0</v>
      </c>
      <c r="BL173" s="140">
        <v>0</v>
      </c>
      <c r="BM173" s="140">
        <v>0</v>
      </c>
      <c r="BN173" s="140">
        <v>0</v>
      </c>
      <c r="BO173" s="140">
        <v>0</v>
      </c>
      <c r="BU173" s="89"/>
      <c r="BX173" s="43">
        <v>12</v>
      </c>
      <c r="BY173" s="90">
        <f t="shared" si="11"/>
        <v>1</v>
      </c>
      <c r="CT173" s="90">
        <f t="shared" si="9"/>
        <v>0</v>
      </c>
      <c r="CU173" s="90">
        <f t="shared" si="10"/>
        <v>0</v>
      </c>
    </row>
    <row r="174" spans="1:99" ht="12" customHeight="1">
      <c r="A174" s="43">
        <v>6997</v>
      </c>
      <c r="B174" s="89" t="s">
        <v>312</v>
      </c>
      <c r="C174" s="89" t="s">
        <v>766</v>
      </c>
      <c r="D174" s="89" t="s">
        <v>767</v>
      </c>
      <c r="F174" s="43">
        <v>527147</v>
      </c>
      <c r="G174" s="43">
        <v>171668</v>
      </c>
      <c r="H174" s="89" t="s">
        <v>141</v>
      </c>
      <c r="I174" s="125">
        <v>43518</v>
      </c>
      <c r="J174" s="117">
        <v>43556</v>
      </c>
      <c r="K174" s="140">
        <v>1</v>
      </c>
      <c r="L174" s="140">
        <v>0</v>
      </c>
      <c r="M174" s="140">
        <v>-1</v>
      </c>
      <c r="N174" s="140">
        <v>0</v>
      </c>
      <c r="O174" s="140">
        <v>-1</v>
      </c>
      <c r="Q174" s="89" t="s">
        <v>768</v>
      </c>
      <c r="R174" s="43" t="s">
        <v>316</v>
      </c>
      <c r="S174" s="125">
        <v>43237</v>
      </c>
      <c r="T174" s="117">
        <v>43348</v>
      </c>
      <c r="V174" s="43" t="s">
        <v>317</v>
      </c>
      <c r="X174" s="43" t="s">
        <v>318</v>
      </c>
      <c r="Y174" s="43" t="s">
        <v>336</v>
      </c>
      <c r="Z174" s="43" t="s">
        <v>320</v>
      </c>
      <c r="AA174" s="43" t="s">
        <v>39</v>
      </c>
      <c r="AB174" s="144">
        <v>1.09999999403954E-2</v>
      </c>
      <c r="AC174" s="125">
        <v>43518</v>
      </c>
      <c r="AE174" s="117">
        <v>43556</v>
      </c>
      <c r="AF174" s="43" t="s">
        <v>75</v>
      </c>
      <c r="AG174" s="43" t="s">
        <v>322</v>
      </c>
      <c r="AJ174" s="140">
        <v>0</v>
      </c>
      <c r="AK174" s="140">
        <v>0</v>
      </c>
      <c r="AL174" s="140">
        <v>0</v>
      </c>
      <c r="AM174" s="140">
        <v>0</v>
      </c>
      <c r="AN174" s="140">
        <v>0</v>
      </c>
      <c r="AO174" s="140">
        <v>0</v>
      </c>
      <c r="AP174" s="140">
        <v>0</v>
      </c>
      <c r="AQ174" s="140">
        <v>0</v>
      </c>
      <c r="AR174" s="140">
        <v>0</v>
      </c>
      <c r="AS174" s="140">
        <v>-1</v>
      </c>
      <c r="AT174" s="140">
        <v>0</v>
      </c>
      <c r="AU174" s="140">
        <v>0</v>
      </c>
      <c r="AV174" s="140">
        <v>0</v>
      </c>
      <c r="AW174" s="140">
        <v>0</v>
      </c>
      <c r="AX174" s="140">
        <v>0</v>
      </c>
      <c r="AY174" s="140">
        <v>0</v>
      </c>
      <c r="AZ174" s="140">
        <v>0</v>
      </c>
      <c r="BA174" s="140">
        <v>0</v>
      </c>
      <c r="BB174" s="140">
        <v>0</v>
      </c>
      <c r="BC174" s="140">
        <v>0</v>
      </c>
      <c r="BD174" s="140">
        <v>0</v>
      </c>
      <c r="BE174" s="140">
        <v>0</v>
      </c>
      <c r="BF174" s="140">
        <v>0</v>
      </c>
      <c r="BG174" s="140">
        <v>-1</v>
      </c>
      <c r="BH174" s="140">
        <v>0</v>
      </c>
      <c r="BI174" s="140">
        <v>0</v>
      </c>
      <c r="BJ174" s="140">
        <v>0</v>
      </c>
      <c r="BK174" s="140">
        <v>0</v>
      </c>
      <c r="BL174" s="140">
        <v>0</v>
      </c>
      <c r="BM174" s="140">
        <v>0</v>
      </c>
      <c r="BN174" s="140">
        <v>0</v>
      </c>
      <c r="BO174" s="140">
        <v>0</v>
      </c>
      <c r="BU174" s="89"/>
      <c r="BX174" s="43">
        <v>12</v>
      </c>
      <c r="BY174" s="90">
        <f t="shared" si="11"/>
        <v>-1</v>
      </c>
      <c r="CT174" s="90">
        <f t="shared" si="9"/>
        <v>0</v>
      </c>
      <c r="CU174" s="90">
        <f t="shared" si="10"/>
        <v>0</v>
      </c>
    </row>
    <row r="175" spans="1:99" ht="12" customHeight="1">
      <c r="A175" s="43">
        <v>7031</v>
      </c>
      <c r="B175" s="89" t="s">
        <v>312</v>
      </c>
      <c r="C175" s="89" t="s">
        <v>769</v>
      </c>
      <c r="D175" s="89" t="s">
        <v>770</v>
      </c>
      <c r="F175" s="43">
        <v>527751</v>
      </c>
      <c r="G175" s="43">
        <v>174632</v>
      </c>
      <c r="H175" s="89" t="s">
        <v>174</v>
      </c>
      <c r="I175" s="125">
        <v>43556</v>
      </c>
      <c r="J175" s="117">
        <v>43755</v>
      </c>
      <c r="K175" s="140">
        <v>0</v>
      </c>
      <c r="L175" s="140">
        <v>1</v>
      </c>
      <c r="M175" s="140">
        <v>1</v>
      </c>
      <c r="N175" s="140">
        <v>1</v>
      </c>
      <c r="O175" s="140">
        <v>1</v>
      </c>
      <c r="Q175" s="89" t="s">
        <v>771</v>
      </c>
      <c r="R175" s="43" t="s">
        <v>316</v>
      </c>
      <c r="S175" s="125">
        <v>43651</v>
      </c>
      <c r="T175" s="117">
        <v>43685</v>
      </c>
      <c r="U175" s="43" t="s">
        <v>329</v>
      </c>
      <c r="V175" s="43" t="s">
        <v>317</v>
      </c>
      <c r="X175" s="43" t="s">
        <v>318</v>
      </c>
      <c r="Y175" s="43" t="s">
        <v>319</v>
      </c>
      <c r="Z175" s="43" t="s">
        <v>320</v>
      </c>
      <c r="AA175" s="43" t="s">
        <v>30</v>
      </c>
      <c r="AB175" s="144">
        <v>6.0000000521540598E-3</v>
      </c>
      <c r="AC175" s="125">
        <v>43556</v>
      </c>
      <c r="AD175" s="43" t="s">
        <v>329</v>
      </c>
      <c r="AE175" s="117">
        <v>43755</v>
      </c>
      <c r="AF175" s="43" t="s">
        <v>75</v>
      </c>
      <c r="AG175" s="43" t="s">
        <v>322</v>
      </c>
      <c r="AJ175" s="140">
        <v>0</v>
      </c>
      <c r="AK175" s="140">
        <v>0</v>
      </c>
      <c r="AL175" s="140">
        <v>0</v>
      </c>
      <c r="AM175" s="140">
        <v>0</v>
      </c>
      <c r="AN175" s="140">
        <v>0</v>
      </c>
      <c r="AO175" s="140">
        <v>1</v>
      </c>
      <c r="AP175" s="140">
        <v>0</v>
      </c>
      <c r="AQ175" s="140">
        <v>0</v>
      </c>
      <c r="AR175" s="140">
        <v>0</v>
      </c>
      <c r="AS175" s="140">
        <v>0</v>
      </c>
      <c r="AT175" s="140">
        <v>0</v>
      </c>
      <c r="AU175" s="140">
        <v>0</v>
      </c>
      <c r="AV175" s="140">
        <v>1</v>
      </c>
      <c r="AW175" s="140">
        <v>0</v>
      </c>
      <c r="AX175" s="140">
        <v>0</v>
      </c>
      <c r="AY175" s="140">
        <v>0</v>
      </c>
      <c r="AZ175" s="140">
        <v>0</v>
      </c>
      <c r="BA175" s="140">
        <v>0</v>
      </c>
      <c r="BB175" s="140">
        <v>0</v>
      </c>
      <c r="BC175" s="140">
        <v>0</v>
      </c>
      <c r="BD175" s="140">
        <v>0</v>
      </c>
      <c r="BE175" s="140">
        <v>0</v>
      </c>
      <c r="BF175" s="140">
        <v>0</v>
      </c>
      <c r="BG175" s="140">
        <v>0</v>
      </c>
      <c r="BH175" s="140">
        <v>0</v>
      </c>
      <c r="BI175" s="140">
        <v>0</v>
      </c>
      <c r="BJ175" s="140">
        <v>0</v>
      </c>
      <c r="BK175" s="140">
        <v>0</v>
      </c>
      <c r="BL175" s="140">
        <v>0</v>
      </c>
      <c r="BM175" s="140">
        <v>0</v>
      </c>
      <c r="BN175" s="140">
        <v>0</v>
      </c>
      <c r="BO175" s="140">
        <v>0</v>
      </c>
      <c r="BQ175" s="89"/>
      <c r="BU175" s="89"/>
      <c r="BX175" s="43">
        <v>12</v>
      </c>
      <c r="BY175" s="90">
        <f t="shared" si="11"/>
        <v>1</v>
      </c>
      <c r="CT175" s="90">
        <f t="shared" si="9"/>
        <v>0</v>
      </c>
      <c r="CU175" s="90">
        <f t="shared" si="10"/>
        <v>0</v>
      </c>
    </row>
    <row r="176" spans="1:99" ht="12" customHeight="1">
      <c r="A176" s="43">
        <v>7043</v>
      </c>
      <c r="B176" s="89" t="s">
        <v>312</v>
      </c>
      <c r="C176" s="89" t="s">
        <v>772</v>
      </c>
      <c r="D176" s="89" t="s">
        <v>773</v>
      </c>
      <c r="F176" s="43">
        <v>528808</v>
      </c>
      <c r="G176" s="43">
        <v>173793</v>
      </c>
      <c r="H176" s="89" t="s">
        <v>138</v>
      </c>
      <c r="I176" s="125">
        <v>43556</v>
      </c>
      <c r="J176" s="117">
        <v>43910</v>
      </c>
      <c r="K176" s="140">
        <v>0</v>
      </c>
      <c r="L176" s="140">
        <v>1</v>
      </c>
      <c r="M176" s="140">
        <v>1</v>
      </c>
      <c r="N176" s="140">
        <v>1</v>
      </c>
      <c r="O176" s="140">
        <v>1</v>
      </c>
      <c r="Q176" s="89" t="s">
        <v>774</v>
      </c>
      <c r="R176" s="43" t="s">
        <v>620</v>
      </c>
      <c r="S176" s="125">
        <v>43426</v>
      </c>
      <c r="T176" s="117">
        <v>43475</v>
      </c>
      <c r="V176" s="43" t="s">
        <v>317</v>
      </c>
      <c r="X176" s="43" t="s">
        <v>318</v>
      </c>
      <c r="Y176" s="43" t="s">
        <v>336</v>
      </c>
      <c r="Z176" s="43" t="s">
        <v>320</v>
      </c>
      <c r="AA176" s="43" t="s">
        <v>33</v>
      </c>
      <c r="AB176" s="144">
        <v>4.0000001899898104E-3</v>
      </c>
      <c r="AC176" s="125">
        <v>43556</v>
      </c>
      <c r="AD176" s="43" t="s">
        <v>329</v>
      </c>
      <c r="AE176" s="117">
        <v>43910</v>
      </c>
      <c r="AF176" s="43" t="s">
        <v>75</v>
      </c>
      <c r="AG176" s="43" t="s">
        <v>322</v>
      </c>
      <c r="AJ176" s="140">
        <v>0</v>
      </c>
      <c r="AK176" s="140">
        <v>0</v>
      </c>
      <c r="AL176" s="140">
        <v>0</v>
      </c>
      <c r="AM176" s="140">
        <v>0</v>
      </c>
      <c r="AN176" s="140">
        <v>0</v>
      </c>
      <c r="AO176" s="140">
        <v>0</v>
      </c>
      <c r="AP176" s="140">
        <v>1</v>
      </c>
      <c r="AQ176" s="140">
        <v>0</v>
      </c>
      <c r="AR176" s="140">
        <v>0</v>
      </c>
      <c r="AS176" s="140">
        <v>0</v>
      </c>
      <c r="AT176" s="140">
        <v>0</v>
      </c>
      <c r="AU176" s="140">
        <v>0</v>
      </c>
      <c r="AV176" s="140">
        <v>0</v>
      </c>
      <c r="AW176" s="140">
        <v>1</v>
      </c>
      <c r="AX176" s="140">
        <v>0</v>
      </c>
      <c r="AY176" s="140">
        <v>0</v>
      </c>
      <c r="AZ176" s="140">
        <v>0</v>
      </c>
      <c r="BA176" s="140">
        <v>0</v>
      </c>
      <c r="BB176" s="140">
        <v>0</v>
      </c>
      <c r="BC176" s="140">
        <v>0</v>
      </c>
      <c r="BD176" s="140">
        <v>0</v>
      </c>
      <c r="BE176" s="140">
        <v>0</v>
      </c>
      <c r="BF176" s="140">
        <v>0</v>
      </c>
      <c r="BG176" s="140">
        <v>0</v>
      </c>
      <c r="BH176" s="140">
        <v>0</v>
      </c>
      <c r="BI176" s="140">
        <v>0</v>
      </c>
      <c r="BJ176" s="140">
        <v>0</v>
      </c>
      <c r="BK176" s="140">
        <v>0</v>
      </c>
      <c r="BL176" s="140">
        <v>0</v>
      </c>
      <c r="BM176" s="140">
        <v>0</v>
      </c>
      <c r="BN176" s="140">
        <v>0</v>
      </c>
      <c r="BO176" s="140">
        <v>0</v>
      </c>
      <c r="BQ176" s="89"/>
      <c r="BU176" s="89"/>
      <c r="BX176" s="43">
        <v>12</v>
      </c>
      <c r="BY176" s="90">
        <f t="shared" si="11"/>
        <v>1</v>
      </c>
      <c r="CT176" s="90">
        <f t="shared" si="9"/>
        <v>0</v>
      </c>
      <c r="CU176" s="90">
        <f t="shared" si="10"/>
        <v>0</v>
      </c>
    </row>
    <row r="177" spans="1:99" ht="12" customHeight="1">
      <c r="A177" s="43">
        <v>7056</v>
      </c>
      <c r="B177" s="89" t="s">
        <v>312</v>
      </c>
      <c r="C177" s="89" t="s">
        <v>775</v>
      </c>
      <c r="D177" s="89" t="s">
        <v>776</v>
      </c>
      <c r="E177" s="89" t="s">
        <v>346</v>
      </c>
      <c r="F177" s="43">
        <v>527292</v>
      </c>
      <c r="G177" s="43">
        <v>175191</v>
      </c>
      <c r="H177" s="89" t="s">
        <v>174</v>
      </c>
      <c r="I177" s="125">
        <v>43555</v>
      </c>
      <c r="J177" s="117">
        <v>43794</v>
      </c>
      <c r="K177" s="140">
        <v>1</v>
      </c>
      <c r="L177" s="140">
        <v>2</v>
      </c>
      <c r="M177" s="140">
        <v>1</v>
      </c>
      <c r="N177" s="140">
        <v>3</v>
      </c>
      <c r="O177" s="140">
        <v>2</v>
      </c>
      <c r="Q177" s="89" t="s">
        <v>777</v>
      </c>
      <c r="R177" s="43" t="s">
        <v>316</v>
      </c>
      <c r="S177" s="125">
        <v>43419</v>
      </c>
      <c r="T177" s="117">
        <v>43528</v>
      </c>
      <c r="V177" s="43" t="s">
        <v>317</v>
      </c>
      <c r="X177" s="43" t="s">
        <v>318</v>
      </c>
      <c r="Y177" s="43" t="s">
        <v>319</v>
      </c>
      <c r="Z177" s="43" t="s">
        <v>320</v>
      </c>
      <c r="AA177" s="43" t="s">
        <v>20</v>
      </c>
      <c r="AB177" s="144">
        <v>9.9999997764825804E-3</v>
      </c>
      <c r="AC177" s="125">
        <v>43555</v>
      </c>
      <c r="AE177" s="117">
        <v>43794</v>
      </c>
      <c r="AF177" s="43" t="s">
        <v>75</v>
      </c>
      <c r="AG177" s="43" t="s">
        <v>322</v>
      </c>
      <c r="AJ177" s="140">
        <v>0</v>
      </c>
      <c r="AK177" s="140">
        <v>0</v>
      </c>
      <c r="AL177" s="140">
        <v>0</v>
      </c>
      <c r="AM177" s="140">
        <v>0</v>
      </c>
      <c r="AN177" s="140">
        <v>0</v>
      </c>
      <c r="AO177" s="140">
        <v>0</v>
      </c>
      <c r="AP177" s="140">
        <v>1</v>
      </c>
      <c r="AQ177" s="140">
        <v>1</v>
      </c>
      <c r="AR177" s="140">
        <v>-1</v>
      </c>
      <c r="AS177" s="140">
        <v>0</v>
      </c>
      <c r="AT177" s="140">
        <v>0</v>
      </c>
      <c r="AU177" s="140">
        <v>0</v>
      </c>
      <c r="AV177" s="140">
        <v>0</v>
      </c>
      <c r="AW177" s="140">
        <v>1</v>
      </c>
      <c r="AX177" s="140">
        <v>1</v>
      </c>
      <c r="AY177" s="140">
        <v>0</v>
      </c>
      <c r="AZ177" s="140">
        <v>0</v>
      </c>
      <c r="BA177" s="140">
        <v>0</v>
      </c>
      <c r="BB177" s="140">
        <v>0</v>
      </c>
      <c r="BC177" s="140">
        <v>0</v>
      </c>
      <c r="BD177" s="140">
        <v>0</v>
      </c>
      <c r="BE177" s="140">
        <v>0</v>
      </c>
      <c r="BF177" s="140">
        <v>-1</v>
      </c>
      <c r="BG177" s="140">
        <v>0</v>
      </c>
      <c r="BH177" s="140">
        <v>0</v>
      </c>
      <c r="BI177" s="140">
        <v>0</v>
      </c>
      <c r="BJ177" s="140">
        <v>0</v>
      </c>
      <c r="BK177" s="140">
        <v>0</v>
      </c>
      <c r="BL177" s="140">
        <v>0</v>
      </c>
      <c r="BM177" s="140">
        <v>0</v>
      </c>
      <c r="BN177" s="140">
        <v>0</v>
      </c>
      <c r="BO177" s="140">
        <v>0</v>
      </c>
      <c r="BQ177" s="89"/>
      <c r="BU177" s="89"/>
      <c r="BX177" s="43">
        <v>12</v>
      </c>
      <c r="BY177" s="90">
        <f t="shared" si="11"/>
        <v>1</v>
      </c>
      <c r="CT177" s="90">
        <f t="shared" si="9"/>
        <v>0</v>
      </c>
      <c r="CU177" s="90">
        <f t="shared" si="10"/>
        <v>0</v>
      </c>
    </row>
    <row r="178" spans="1:99" ht="12" customHeight="1">
      <c r="A178" s="43">
        <v>7056</v>
      </c>
      <c r="B178" s="89" t="s">
        <v>312</v>
      </c>
      <c r="C178" s="89" t="s">
        <v>775</v>
      </c>
      <c r="D178" s="89" t="s">
        <v>776</v>
      </c>
      <c r="E178" s="89" t="s">
        <v>730</v>
      </c>
      <c r="F178" s="43">
        <v>527292</v>
      </c>
      <c r="G178" s="43">
        <v>175191</v>
      </c>
      <c r="H178" s="89" t="s">
        <v>174</v>
      </c>
      <c r="I178" s="125">
        <v>43555</v>
      </c>
      <c r="J178" s="117">
        <v>43794</v>
      </c>
      <c r="K178" s="140">
        <v>0</v>
      </c>
      <c r="L178" s="140">
        <v>1</v>
      </c>
      <c r="M178" s="140">
        <v>1</v>
      </c>
      <c r="N178" s="140">
        <v>3</v>
      </c>
      <c r="O178" s="140">
        <v>2</v>
      </c>
      <c r="Q178" s="89" t="s">
        <v>777</v>
      </c>
      <c r="R178" s="43" t="s">
        <v>316</v>
      </c>
      <c r="S178" s="125">
        <v>43419</v>
      </c>
      <c r="T178" s="117">
        <v>43528</v>
      </c>
      <c r="V178" s="43" t="s">
        <v>317</v>
      </c>
      <c r="X178" s="43" t="s">
        <v>318</v>
      </c>
      <c r="Y178" s="43" t="s">
        <v>319</v>
      </c>
      <c r="Z178" s="43" t="s">
        <v>320</v>
      </c>
      <c r="AA178" s="43" t="s">
        <v>340</v>
      </c>
      <c r="AB178" s="144">
        <v>2.0000000949949E-3</v>
      </c>
      <c r="AC178" s="125">
        <v>43555</v>
      </c>
      <c r="AE178" s="117">
        <v>43794</v>
      </c>
      <c r="AF178" s="43" t="s">
        <v>75</v>
      </c>
      <c r="AG178" s="43" t="s">
        <v>322</v>
      </c>
      <c r="AJ178" s="140">
        <v>0</v>
      </c>
      <c r="AK178" s="140">
        <v>0</v>
      </c>
      <c r="AL178" s="140">
        <v>0</v>
      </c>
      <c r="AM178" s="140">
        <v>0</v>
      </c>
      <c r="AN178" s="140">
        <v>0</v>
      </c>
      <c r="AO178" s="140">
        <v>1</v>
      </c>
      <c r="AP178" s="140">
        <v>0</v>
      </c>
      <c r="AQ178" s="140">
        <v>0</v>
      </c>
      <c r="AR178" s="140">
        <v>0</v>
      </c>
      <c r="AS178" s="140">
        <v>0</v>
      </c>
      <c r="AT178" s="140">
        <v>0</v>
      </c>
      <c r="AU178" s="140">
        <v>0</v>
      </c>
      <c r="AV178" s="140">
        <v>1</v>
      </c>
      <c r="AW178" s="140">
        <v>0</v>
      </c>
      <c r="AX178" s="140">
        <v>0</v>
      </c>
      <c r="AY178" s="140">
        <v>0</v>
      </c>
      <c r="AZ178" s="140">
        <v>0</v>
      </c>
      <c r="BA178" s="140">
        <v>0</v>
      </c>
      <c r="BB178" s="140">
        <v>0</v>
      </c>
      <c r="BC178" s="140">
        <v>0</v>
      </c>
      <c r="BD178" s="140">
        <v>0</v>
      </c>
      <c r="BE178" s="140">
        <v>0</v>
      </c>
      <c r="BF178" s="140">
        <v>0</v>
      </c>
      <c r="BG178" s="140">
        <v>0</v>
      </c>
      <c r="BH178" s="140">
        <v>0</v>
      </c>
      <c r="BI178" s="140">
        <v>0</v>
      </c>
      <c r="BJ178" s="140">
        <v>0</v>
      </c>
      <c r="BK178" s="140">
        <v>0</v>
      </c>
      <c r="BL178" s="140">
        <v>0</v>
      </c>
      <c r="BM178" s="140">
        <v>0</v>
      </c>
      <c r="BN178" s="140">
        <v>0</v>
      </c>
      <c r="BO178" s="140">
        <v>0</v>
      </c>
      <c r="BQ178" s="89"/>
      <c r="BU178" s="89"/>
      <c r="BX178" s="43">
        <v>12</v>
      </c>
      <c r="BY178" s="90">
        <f t="shared" si="11"/>
        <v>1</v>
      </c>
      <c r="CT178" s="90">
        <f t="shared" si="9"/>
        <v>0</v>
      </c>
      <c r="CU178" s="90">
        <f t="shared" si="10"/>
        <v>0</v>
      </c>
    </row>
    <row r="179" spans="1:99" ht="12" customHeight="1">
      <c r="A179" s="43">
        <v>7071</v>
      </c>
      <c r="B179" s="89" t="s">
        <v>312</v>
      </c>
      <c r="C179" s="89" t="s">
        <v>778</v>
      </c>
      <c r="D179" s="89" t="s">
        <v>779</v>
      </c>
      <c r="F179" s="43">
        <v>528520</v>
      </c>
      <c r="G179" s="43">
        <v>175788</v>
      </c>
      <c r="H179" s="89" t="s">
        <v>175</v>
      </c>
      <c r="I179" s="125">
        <v>43837</v>
      </c>
      <c r="J179" s="117">
        <v>43921</v>
      </c>
      <c r="K179" s="140">
        <v>0</v>
      </c>
      <c r="L179" s="140">
        <v>1</v>
      </c>
      <c r="M179" s="140">
        <v>1</v>
      </c>
      <c r="N179" s="140">
        <v>1</v>
      </c>
      <c r="O179" s="140">
        <v>1</v>
      </c>
      <c r="Q179" s="89" t="s">
        <v>780</v>
      </c>
      <c r="R179" s="43" t="s">
        <v>316</v>
      </c>
      <c r="S179" s="125">
        <v>43462</v>
      </c>
      <c r="T179" s="117">
        <v>43656</v>
      </c>
      <c r="U179" s="43" t="s">
        <v>329</v>
      </c>
      <c r="V179" s="43" t="s">
        <v>317</v>
      </c>
      <c r="X179" s="43" t="s">
        <v>318</v>
      </c>
      <c r="Y179" s="43" t="s">
        <v>361</v>
      </c>
      <c r="Z179" s="43" t="s">
        <v>320</v>
      </c>
      <c r="AA179" s="43" t="s">
        <v>353</v>
      </c>
      <c r="AB179" s="144">
        <v>6.0000000521540598E-3</v>
      </c>
      <c r="AC179" s="125">
        <v>43837</v>
      </c>
      <c r="AD179" s="43" t="s">
        <v>329</v>
      </c>
      <c r="AE179" s="117">
        <v>43921</v>
      </c>
      <c r="AF179" s="43" t="s">
        <v>75</v>
      </c>
      <c r="AG179" s="43" t="s">
        <v>322</v>
      </c>
      <c r="AJ179" s="140">
        <v>0</v>
      </c>
      <c r="AK179" s="140">
        <v>0</v>
      </c>
      <c r="AL179" s="140">
        <v>0</v>
      </c>
      <c r="AM179" s="140">
        <v>0</v>
      </c>
      <c r="AN179" s="140">
        <v>0</v>
      </c>
      <c r="AO179" s="140">
        <v>1</v>
      </c>
      <c r="AP179" s="140">
        <v>0</v>
      </c>
      <c r="AQ179" s="140">
        <v>0</v>
      </c>
      <c r="AR179" s="140">
        <v>0</v>
      </c>
      <c r="AS179" s="140">
        <v>0</v>
      </c>
      <c r="AT179" s="140">
        <v>0</v>
      </c>
      <c r="AU179" s="140">
        <v>0</v>
      </c>
      <c r="AV179" s="140">
        <v>0</v>
      </c>
      <c r="AW179" s="140">
        <v>0</v>
      </c>
      <c r="AX179" s="140">
        <v>0</v>
      </c>
      <c r="AY179" s="140">
        <v>0</v>
      </c>
      <c r="AZ179" s="140">
        <v>0</v>
      </c>
      <c r="BA179" s="140">
        <v>0</v>
      </c>
      <c r="BB179" s="140">
        <v>0</v>
      </c>
      <c r="BC179" s="140">
        <v>1</v>
      </c>
      <c r="BD179" s="140">
        <v>0</v>
      </c>
      <c r="BE179" s="140">
        <v>0</v>
      </c>
      <c r="BF179" s="140">
        <v>0</v>
      </c>
      <c r="BG179" s="140">
        <v>0</v>
      </c>
      <c r="BH179" s="140">
        <v>0</v>
      </c>
      <c r="BI179" s="140">
        <v>0</v>
      </c>
      <c r="BJ179" s="140">
        <v>0</v>
      </c>
      <c r="BK179" s="140">
        <v>0</v>
      </c>
      <c r="BL179" s="140">
        <v>0</v>
      </c>
      <c r="BM179" s="140">
        <v>0</v>
      </c>
      <c r="BN179" s="140">
        <v>0</v>
      </c>
      <c r="BO179" s="140">
        <v>0</v>
      </c>
      <c r="BU179" s="89"/>
      <c r="BX179" s="43">
        <v>1</v>
      </c>
      <c r="BY179" s="90">
        <f t="shared" si="11"/>
        <v>1</v>
      </c>
      <c r="CT179" s="90">
        <f t="shared" si="9"/>
        <v>0</v>
      </c>
      <c r="CU179" s="90">
        <f t="shared" si="10"/>
        <v>0</v>
      </c>
    </row>
    <row r="180" spans="1:99" ht="12" customHeight="1">
      <c r="A180" s="43">
        <v>7074</v>
      </c>
      <c r="B180" s="89" t="s">
        <v>312</v>
      </c>
      <c r="C180" s="89" t="s">
        <v>781</v>
      </c>
      <c r="D180" s="89" t="s">
        <v>782</v>
      </c>
      <c r="F180" s="43">
        <v>525914</v>
      </c>
      <c r="G180" s="43">
        <v>174433</v>
      </c>
      <c r="H180" s="89" t="s">
        <v>170</v>
      </c>
      <c r="I180" s="125">
        <v>43555</v>
      </c>
      <c r="J180" s="117">
        <v>43754</v>
      </c>
      <c r="K180" s="140">
        <v>0</v>
      </c>
      <c r="L180" s="140">
        <v>1</v>
      </c>
      <c r="M180" s="140">
        <v>1</v>
      </c>
      <c r="N180" s="140">
        <v>1</v>
      </c>
      <c r="O180" s="140">
        <v>1</v>
      </c>
      <c r="Q180" s="89" t="s">
        <v>783</v>
      </c>
      <c r="R180" s="43" t="s">
        <v>316</v>
      </c>
      <c r="S180" s="125">
        <v>43448</v>
      </c>
      <c r="T180" s="117">
        <v>43503</v>
      </c>
      <c r="V180" s="43" t="s">
        <v>317</v>
      </c>
      <c r="X180" s="43" t="s">
        <v>318</v>
      </c>
      <c r="Y180" s="43" t="s">
        <v>379</v>
      </c>
      <c r="Z180" s="43" t="s">
        <v>320</v>
      </c>
      <c r="AA180" s="43" t="s">
        <v>340</v>
      </c>
      <c r="AB180" s="144">
        <v>3.0000000260770299E-3</v>
      </c>
      <c r="AC180" s="125">
        <v>43555</v>
      </c>
      <c r="AE180" s="117">
        <v>43754</v>
      </c>
      <c r="AF180" s="43" t="s">
        <v>75</v>
      </c>
      <c r="AG180" s="43" t="s">
        <v>322</v>
      </c>
      <c r="AJ180" s="140">
        <v>0</v>
      </c>
      <c r="AK180" s="140">
        <v>0</v>
      </c>
      <c r="AL180" s="140">
        <v>0</v>
      </c>
      <c r="AM180" s="140">
        <v>0</v>
      </c>
      <c r="AN180" s="140">
        <v>0</v>
      </c>
      <c r="AO180" s="140">
        <v>0</v>
      </c>
      <c r="AP180" s="140">
        <v>1</v>
      </c>
      <c r="AQ180" s="140">
        <v>0</v>
      </c>
      <c r="AR180" s="140">
        <v>0</v>
      </c>
      <c r="AS180" s="140">
        <v>0</v>
      </c>
      <c r="AT180" s="140">
        <v>0</v>
      </c>
      <c r="AU180" s="140">
        <v>0</v>
      </c>
      <c r="AV180" s="140">
        <v>0</v>
      </c>
      <c r="AW180" s="140">
        <v>1</v>
      </c>
      <c r="AX180" s="140">
        <v>0</v>
      </c>
      <c r="AY180" s="140">
        <v>0</v>
      </c>
      <c r="AZ180" s="140">
        <v>0</v>
      </c>
      <c r="BA180" s="140">
        <v>0</v>
      </c>
      <c r="BB180" s="140">
        <v>0</v>
      </c>
      <c r="BC180" s="140">
        <v>0</v>
      </c>
      <c r="BD180" s="140">
        <v>0</v>
      </c>
      <c r="BE180" s="140">
        <v>0</v>
      </c>
      <c r="BF180" s="140">
        <v>0</v>
      </c>
      <c r="BG180" s="140">
        <v>0</v>
      </c>
      <c r="BH180" s="140">
        <v>0</v>
      </c>
      <c r="BI180" s="140">
        <v>0</v>
      </c>
      <c r="BJ180" s="140">
        <v>0</v>
      </c>
      <c r="BK180" s="140">
        <v>0</v>
      </c>
      <c r="BL180" s="140">
        <v>0</v>
      </c>
      <c r="BM180" s="140">
        <v>0</v>
      </c>
      <c r="BN180" s="140">
        <v>0</v>
      </c>
      <c r="BO180" s="140">
        <v>0</v>
      </c>
      <c r="BU180" s="89"/>
      <c r="BX180" s="43">
        <v>12</v>
      </c>
      <c r="BY180" s="90">
        <f t="shared" si="11"/>
        <v>1</v>
      </c>
      <c r="CT180" s="90">
        <f t="shared" si="9"/>
        <v>0</v>
      </c>
      <c r="CU180" s="90">
        <f t="shared" si="10"/>
        <v>0</v>
      </c>
    </row>
    <row r="181" spans="1:99" ht="12" customHeight="1">
      <c r="A181" s="43">
        <v>7083</v>
      </c>
      <c r="B181" s="89" t="s">
        <v>312</v>
      </c>
      <c r="C181" s="89" t="s">
        <v>784</v>
      </c>
      <c r="D181" s="89" t="s">
        <v>785</v>
      </c>
      <c r="E181" s="89" t="s">
        <v>346</v>
      </c>
      <c r="F181" s="43">
        <v>528161</v>
      </c>
      <c r="G181" s="43">
        <v>172151</v>
      </c>
      <c r="H181" s="89" t="s">
        <v>167</v>
      </c>
      <c r="I181" s="125">
        <v>43558</v>
      </c>
      <c r="J181" s="117">
        <v>43782</v>
      </c>
      <c r="K181" s="140">
        <v>0</v>
      </c>
      <c r="L181" s="140">
        <v>1</v>
      </c>
      <c r="M181" s="140">
        <v>1</v>
      </c>
      <c r="N181" s="140">
        <v>2</v>
      </c>
      <c r="O181" s="140">
        <v>1</v>
      </c>
      <c r="Q181" s="89" t="s">
        <v>786</v>
      </c>
      <c r="R181" s="43" t="s">
        <v>316</v>
      </c>
      <c r="S181" s="125">
        <v>43458</v>
      </c>
      <c r="T181" s="117">
        <v>43558</v>
      </c>
      <c r="U181" s="43" t="s">
        <v>329</v>
      </c>
      <c r="V181" s="43" t="s">
        <v>317</v>
      </c>
      <c r="X181" s="43" t="s">
        <v>318</v>
      </c>
      <c r="Y181" s="43" t="s">
        <v>379</v>
      </c>
      <c r="Z181" s="43" t="s">
        <v>320</v>
      </c>
      <c r="AA181" s="43" t="s">
        <v>321</v>
      </c>
      <c r="AB181" s="144">
        <v>7.0000002160668399E-3</v>
      </c>
      <c r="AC181" s="125">
        <v>43558</v>
      </c>
      <c r="AD181" s="43" t="s">
        <v>329</v>
      </c>
      <c r="AE181" s="117">
        <v>43782</v>
      </c>
      <c r="AF181" s="43" t="s">
        <v>75</v>
      </c>
      <c r="AG181" s="43" t="s">
        <v>322</v>
      </c>
      <c r="AJ181" s="140">
        <v>0</v>
      </c>
      <c r="AK181" s="140">
        <v>0</v>
      </c>
      <c r="AL181" s="140">
        <v>0</v>
      </c>
      <c r="AM181" s="140">
        <v>0</v>
      </c>
      <c r="AN181" s="140">
        <v>0</v>
      </c>
      <c r="AO181" s="140">
        <v>0</v>
      </c>
      <c r="AP181" s="140">
        <v>0</v>
      </c>
      <c r="AQ181" s="140">
        <v>1</v>
      </c>
      <c r="AR181" s="140">
        <v>0</v>
      </c>
      <c r="AS181" s="140">
        <v>0</v>
      </c>
      <c r="AT181" s="140">
        <v>0</v>
      </c>
      <c r="AU181" s="140">
        <v>0</v>
      </c>
      <c r="AV181" s="140">
        <v>0</v>
      </c>
      <c r="AW181" s="140">
        <v>0</v>
      </c>
      <c r="AX181" s="140">
        <v>1</v>
      </c>
      <c r="AY181" s="140">
        <v>0</v>
      </c>
      <c r="AZ181" s="140">
        <v>0</v>
      </c>
      <c r="BA181" s="140">
        <v>0</v>
      </c>
      <c r="BB181" s="140">
        <v>0</v>
      </c>
      <c r="BC181" s="140">
        <v>0</v>
      </c>
      <c r="BD181" s="140">
        <v>0</v>
      </c>
      <c r="BE181" s="140">
        <v>0</v>
      </c>
      <c r="BF181" s="140">
        <v>0</v>
      </c>
      <c r="BG181" s="140">
        <v>0</v>
      </c>
      <c r="BH181" s="140">
        <v>0</v>
      </c>
      <c r="BI181" s="140">
        <v>0</v>
      </c>
      <c r="BJ181" s="140">
        <v>0</v>
      </c>
      <c r="BK181" s="140">
        <v>0</v>
      </c>
      <c r="BL181" s="140">
        <v>0</v>
      </c>
      <c r="BM181" s="140">
        <v>0</v>
      </c>
      <c r="BN181" s="140">
        <v>0</v>
      </c>
      <c r="BO181" s="140">
        <v>0</v>
      </c>
      <c r="BQ181" s="89"/>
      <c r="BU181" s="89"/>
      <c r="BX181" s="43">
        <v>12</v>
      </c>
      <c r="BY181" s="90">
        <f t="shared" si="11"/>
        <v>1</v>
      </c>
      <c r="CT181" s="90">
        <f t="shared" si="9"/>
        <v>0</v>
      </c>
      <c r="CU181" s="90">
        <f t="shared" si="10"/>
        <v>0</v>
      </c>
    </row>
    <row r="182" spans="1:99" ht="12" customHeight="1">
      <c r="A182" s="43">
        <v>7083</v>
      </c>
      <c r="B182" s="89" t="s">
        <v>312</v>
      </c>
      <c r="C182" s="89" t="s">
        <v>784</v>
      </c>
      <c r="D182" s="89" t="s">
        <v>785</v>
      </c>
      <c r="E182" s="89" t="s">
        <v>730</v>
      </c>
      <c r="F182" s="43">
        <v>528161</v>
      </c>
      <c r="G182" s="43">
        <v>172151</v>
      </c>
      <c r="H182" s="89" t="s">
        <v>167</v>
      </c>
      <c r="I182" s="125">
        <v>43558</v>
      </c>
      <c r="J182" s="117">
        <v>43782</v>
      </c>
      <c r="K182" s="140">
        <v>1</v>
      </c>
      <c r="L182" s="140">
        <v>1</v>
      </c>
      <c r="M182" s="140">
        <v>0</v>
      </c>
      <c r="N182" s="140">
        <v>2</v>
      </c>
      <c r="O182" s="140">
        <v>1</v>
      </c>
      <c r="Q182" s="89" t="s">
        <v>786</v>
      </c>
      <c r="R182" s="43" t="s">
        <v>316</v>
      </c>
      <c r="S182" s="125">
        <v>43458</v>
      </c>
      <c r="T182" s="117">
        <v>43558</v>
      </c>
      <c r="U182" s="43" t="s">
        <v>329</v>
      </c>
      <c r="V182" s="43" t="s">
        <v>317</v>
      </c>
      <c r="X182" s="43" t="s">
        <v>318</v>
      </c>
      <c r="Y182" s="43" t="s">
        <v>379</v>
      </c>
      <c r="Z182" s="43" t="s">
        <v>320</v>
      </c>
      <c r="AA182" s="43" t="s">
        <v>340</v>
      </c>
      <c r="AB182" s="144">
        <v>4.9999998882412902E-3</v>
      </c>
      <c r="AC182" s="125">
        <v>43558</v>
      </c>
      <c r="AD182" s="43" t="s">
        <v>329</v>
      </c>
      <c r="AE182" s="117">
        <v>43782</v>
      </c>
      <c r="AF182" s="43" t="s">
        <v>75</v>
      </c>
      <c r="AG182" s="43" t="s">
        <v>322</v>
      </c>
      <c r="AJ182" s="140">
        <v>0</v>
      </c>
      <c r="AK182" s="140">
        <v>0</v>
      </c>
      <c r="AL182" s="140">
        <v>0</v>
      </c>
      <c r="AM182" s="140">
        <v>0</v>
      </c>
      <c r="AN182" s="140">
        <v>1</v>
      </c>
      <c r="AO182" s="140">
        <v>0</v>
      </c>
      <c r="AP182" s="140">
        <v>-1</v>
      </c>
      <c r="AQ182" s="140">
        <v>0</v>
      </c>
      <c r="AR182" s="140">
        <v>0</v>
      </c>
      <c r="AS182" s="140">
        <v>0</v>
      </c>
      <c r="AT182" s="140">
        <v>0</v>
      </c>
      <c r="AU182" s="140">
        <v>1</v>
      </c>
      <c r="AV182" s="140">
        <v>0</v>
      </c>
      <c r="AW182" s="140">
        <v>-1</v>
      </c>
      <c r="AX182" s="140">
        <v>0</v>
      </c>
      <c r="AY182" s="140">
        <v>0</v>
      </c>
      <c r="AZ182" s="140">
        <v>0</v>
      </c>
      <c r="BA182" s="140">
        <v>0</v>
      </c>
      <c r="BB182" s="140">
        <v>0</v>
      </c>
      <c r="BC182" s="140">
        <v>0</v>
      </c>
      <c r="BD182" s="140">
        <v>0</v>
      </c>
      <c r="BE182" s="140">
        <v>0</v>
      </c>
      <c r="BF182" s="140">
        <v>0</v>
      </c>
      <c r="BG182" s="140">
        <v>0</v>
      </c>
      <c r="BH182" s="140">
        <v>0</v>
      </c>
      <c r="BI182" s="140">
        <v>0</v>
      </c>
      <c r="BJ182" s="140">
        <v>0</v>
      </c>
      <c r="BK182" s="140">
        <v>0</v>
      </c>
      <c r="BL182" s="140">
        <v>0</v>
      </c>
      <c r="BM182" s="140">
        <v>0</v>
      </c>
      <c r="BN182" s="140">
        <v>0</v>
      </c>
      <c r="BO182" s="140">
        <v>0</v>
      </c>
      <c r="BQ182" s="89"/>
      <c r="BU182" s="89"/>
      <c r="BX182" s="43">
        <v>12</v>
      </c>
      <c r="BY182" s="90">
        <f t="shared" si="11"/>
        <v>0</v>
      </c>
      <c r="CT182" s="90">
        <f t="shared" si="9"/>
        <v>0</v>
      </c>
      <c r="CU182" s="90">
        <f t="shared" si="10"/>
        <v>0</v>
      </c>
    </row>
    <row r="183" spans="1:99" ht="12" customHeight="1">
      <c r="A183" s="43">
        <v>7089</v>
      </c>
      <c r="B183" s="89" t="s">
        <v>312</v>
      </c>
      <c r="C183" s="89" t="s">
        <v>787</v>
      </c>
      <c r="D183" s="89" t="s">
        <v>788</v>
      </c>
      <c r="F183" s="43">
        <v>526505</v>
      </c>
      <c r="G183" s="43">
        <v>172046</v>
      </c>
      <c r="H183" s="89" t="s">
        <v>168</v>
      </c>
      <c r="I183" s="125">
        <v>43662</v>
      </c>
      <c r="J183" s="117">
        <v>43921</v>
      </c>
      <c r="K183" s="140">
        <v>0</v>
      </c>
      <c r="L183" s="140">
        <v>1</v>
      </c>
      <c r="M183" s="140">
        <v>1</v>
      </c>
      <c r="N183" s="140">
        <v>1</v>
      </c>
      <c r="O183" s="140">
        <v>1</v>
      </c>
      <c r="Q183" s="89" t="s">
        <v>789</v>
      </c>
      <c r="R183" s="43" t="s">
        <v>316</v>
      </c>
      <c r="S183" s="125">
        <v>43472</v>
      </c>
      <c r="T183" s="117">
        <v>43529</v>
      </c>
      <c r="V183" s="43" t="s">
        <v>317</v>
      </c>
      <c r="X183" s="43" t="s">
        <v>318</v>
      </c>
      <c r="Y183" s="43" t="s">
        <v>336</v>
      </c>
      <c r="Z183" s="43" t="s">
        <v>320</v>
      </c>
      <c r="AA183" s="43" t="s">
        <v>30</v>
      </c>
      <c r="AB183" s="144">
        <v>2.0000000949949E-3</v>
      </c>
      <c r="AC183" s="125">
        <v>43662</v>
      </c>
      <c r="AD183" s="43" t="s">
        <v>329</v>
      </c>
      <c r="AE183" s="117">
        <v>43921</v>
      </c>
      <c r="AF183" s="43" t="s">
        <v>75</v>
      </c>
      <c r="AG183" s="43" t="s">
        <v>322</v>
      </c>
      <c r="AJ183" s="140">
        <v>0</v>
      </c>
      <c r="AK183" s="140">
        <v>0</v>
      </c>
      <c r="AL183" s="140">
        <v>0</v>
      </c>
      <c r="AM183" s="140">
        <v>0</v>
      </c>
      <c r="AN183" s="140">
        <v>0</v>
      </c>
      <c r="AO183" s="140">
        <v>1</v>
      </c>
      <c r="AP183" s="140">
        <v>0</v>
      </c>
      <c r="AQ183" s="140">
        <v>0</v>
      </c>
      <c r="AR183" s="140">
        <v>0</v>
      </c>
      <c r="AS183" s="140">
        <v>0</v>
      </c>
      <c r="AT183" s="140">
        <v>0</v>
      </c>
      <c r="AU183" s="140">
        <v>0</v>
      </c>
      <c r="AV183" s="140">
        <v>1</v>
      </c>
      <c r="AW183" s="140">
        <v>0</v>
      </c>
      <c r="AX183" s="140">
        <v>0</v>
      </c>
      <c r="AY183" s="140">
        <v>0</v>
      </c>
      <c r="AZ183" s="140">
        <v>0</v>
      </c>
      <c r="BA183" s="140">
        <v>0</v>
      </c>
      <c r="BB183" s="140">
        <v>0</v>
      </c>
      <c r="BC183" s="140">
        <v>0</v>
      </c>
      <c r="BD183" s="140">
        <v>0</v>
      </c>
      <c r="BE183" s="140">
        <v>0</v>
      </c>
      <c r="BF183" s="140">
        <v>0</v>
      </c>
      <c r="BG183" s="140">
        <v>0</v>
      </c>
      <c r="BH183" s="140">
        <v>0</v>
      </c>
      <c r="BI183" s="140">
        <v>0</v>
      </c>
      <c r="BJ183" s="140">
        <v>0</v>
      </c>
      <c r="BK183" s="140">
        <v>0</v>
      </c>
      <c r="BL183" s="140">
        <v>0</v>
      </c>
      <c r="BM183" s="140">
        <v>0</v>
      </c>
      <c r="BN183" s="140">
        <v>0</v>
      </c>
      <c r="BO183" s="140">
        <v>0</v>
      </c>
      <c r="BQ183" s="89"/>
      <c r="BU183" s="89"/>
      <c r="BX183" s="43">
        <v>12</v>
      </c>
      <c r="BY183" s="90">
        <f t="shared" si="11"/>
        <v>1</v>
      </c>
      <c r="CT183" s="90">
        <f t="shared" si="9"/>
        <v>0</v>
      </c>
      <c r="CU183" s="90">
        <f t="shared" si="10"/>
        <v>0</v>
      </c>
    </row>
    <row r="184" spans="1:99" ht="12" customHeight="1">
      <c r="A184" s="43">
        <v>7108</v>
      </c>
      <c r="B184" s="89" t="s">
        <v>312</v>
      </c>
      <c r="C184" s="89" t="s">
        <v>790</v>
      </c>
      <c r="D184" s="89" t="s">
        <v>791</v>
      </c>
      <c r="F184" s="43">
        <v>527213</v>
      </c>
      <c r="G184" s="43">
        <v>171527</v>
      </c>
      <c r="H184" s="89" t="s">
        <v>141</v>
      </c>
      <c r="I184" s="125">
        <v>39125</v>
      </c>
      <c r="J184" s="117">
        <v>43558</v>
      </c>
      <c r="K184" s="140">
        <v>1</v>
      </c>
      <c r="L184" s="140">
        <v>1</v>
      </c>
      <c r="M184" s="140">
        <v>0</v>
      </c>
      <c r="N184" s="140">
        <v>1</v>
      </c>
      <c r="O184" s="140">
        <v>0</v>
      </c>
      <c r="Q184" s="89" t="s">
        <v>792</v>
      </c>
      <c r="R184" s="43" t="s">
        <v>793</v>
      </c>
      <c r="S184" s="125">
        <v>43502</v>
      </c>
      <c r="T184" s="117">
        <v>43558</v>
      </c>
      <c r="U184" s="43" t="s">
        <v>329</v>
      </c>
      <c r="V184" s="43" t="s">
        <v>317</v>
      </c>
      <c r="X184" s="43" t="s">
        <v>318</v>
      </c>
      <c r="Y184" s="43" t="s">
        <v>348</v>
      </c>
      <c r="Z184" s="43" t="s">
        <v>320</v>
      </c>
      <c r="AA184" s="43" t="s">
        <v>321</v>
      </c>
      <c r="AB184" s="144">
        <v>4.9999998882412902E-3</v>
      </c>
      <c r="AC184" s="125">
        <v>39125</v>
      </c>
      <c r="AE184" s="117">
        <v>43558</v>
      </c>
      <c r="AF184" s="43" t="s">
        <v>75</v>
      </c>
      <c r="AG184" s="43" t="s">
        <v>322</v>
      </c>
      <c r="AJ184" s="140">
        <v>0</v>
      </c>
      <c r="AK184" s="140">
        <v>0</v>
      </c>
      <c r="AL184" s="140">
        <v>0</v>
      </c>
      <c r="AM184" s="140">
        <v>0</v>
      </c>
      <c r="AN184" s="140">
        <v>0</v>
      </c>
      <c r="AO184" s="140">
        <v>-1</v>
      </c>
      <c r="AP184" s="140">
        <v>0</v>
      </c>
      <c r="AQ184" s="140">
        <v>1</v>
      </c>
      <c r="AR184" s="140">
        <v>0</v>
      </c>
      <c r="AS184" s="140">
        <v>0</v>
      </c>
      <c r="AT184" s="140">
        <v>0</v>
      </c>
      <c r="AU184" s="140">
        <v>0</v>
      </c>
      <c r="AV184" s="140">
        <v>-1</v>
      </c>
      <c r="AW184" s="140">
        <v>0</v>
      </c>
      <c r="AX184" s="140">
        <v>1</v>
      </c>
      <c r="AY184" s="140">
        <v>0</v>
      </c>
      <c r="AZ184" s="140">
        <v>0</v>
      </c>
      <c r="BA184" s="140">
        <v>0</v>
      </c>
      <c r="BB184" s="140">
        <v>0</v>
      </c>
      <c r="BC184" s="140">
        <v>0</v>
      </c>
      <c r="BD184" s="140">
        <v>0</v>
      </c>
      <c r="BE184" s="140">
        <v>0</v>
      </c>
      <c r="BF184" s="140">
        <v>0</v>
      </c>
      <c r="BG184" s="140">
        <v>0</v>
      </c>
      <c r="BH184" s="140">
        <v>0</v>
      </c>
      <c r="BI184" s="140">
        <v>0</v>
      </c>
      <c r="BJ184" s="140">
        <v>0</v>
      </c>
      <c r="BK184" s="140">
        <v>0</v>
      </c>
      <c r="BL184" s="140">
        <v>0</v>
      </c>
      <c r="BM184" s="140">
        <v>0</v>
      </c>
      <c r="BN184" s="140">
        <v>0</v>
      </c>
      <c r="BO184" s="140">
        <v>0</v>
      </c>
      <c r="BQ184" s="89"/>
      <c r="BU184" s="89"/>
      <c r="BX184" s="43">
        <v>12</v>
      </c>
      <c r="BY184" s="90">
        <f t="shared" si="11"/>
        <v>0</v>
      </c>
      <c r="CT184" s="90">
        <f t="shared" si="9"/>
        <v>0</v>
      </c>
      <c r="CU184" s="90">
        <f t="shared" si="10"/>
        <v>0</v>
      </c>
    </row>
    <row r="185" spans="1:99" ht="12" customHeight="1">
      <c r="A185" s="43">
        <v>7154</v>
      </c>
      <c r="B185" s="89" t="s">
        <v>312</v>
      </c>
      <c r="C185" s="89" t="s">
        <v>794</v>
      </c>
      <c r="D185" s="89" t="s">
        <v>795</v>
      </c>
      <c r="F185" s="43">
        <v>529456</v>
      </c>
      <c r="G185" s="43">
        <v>170899</v>
      </c>
      <c r="H185" s="89" t="s">
        <v>171</v>
      </c>
      <c r="I185" s="125">
        <v>43572</v>
      </c>
      <c r="J185" s="117">
        <v>43628</v>
      </c>
      <c r="K185" s="140">
        <v>1</v>
      </c>
      <c r="L185" s="140">
        <v>2</v>
      </c>
      <c r="M185" s="140">
        <v>1</v>
      </c>
      <c r="N185" s="140">
        <v>2</v>
      </c>
      <c r="O185" s="140">
        <v>1</v>
      </c>
      <c r="Q185" s="89" t="s">
        <v>796</v>
      </c>
      <c r="R185" s="43" t="s">
        <v>793</v>
      </c>
      <c r="S185" s="125">
        <v>43572</v>
      </c>
      <c r="T185" s="117">
        <v>43628</v>
      </c>
      <c r="U185" s="43" t="s">
        <v>329</v>
      </c>
      <c r="V185" s="43" t="s">
        <v>317</v>
      </c>
      <c r="X185" s="43" t="s">
        <v>318</v>
      </c>
      <c r="Y185" s="43" t="s">
        <v>348</v>
      </c>
      <c r="Z185" s="43" t="s">
        <v>320</v>
      </c>
      <c r="AA185" s="43" t="s">
        <v>321</v>
      </c>
      <c r="AB185" s="144">
        <v>9.9999997764825804E-3</v>
      </c>
      <c r="AC185" s="125">
        <v>43572</v>
      </c>
      <c r="AD185" s="43" t="s">
        <v>329</v>
      </c>
      <c r="AE185" s="117">
        <v>43628</v>
      </c>
      <c r="AF185" s="43" t="s">
        <v>75</v>
      </c>
      <c r="AG185" s="43" t="s">
        <v>322</v>
      </c>
      <c r="AJ185" s="140">
        <v>0</v>
      </c>
      <c r="AK185" s="140">
        <v>0</v>
      </c>
      <c r="AL185" s="140">
        <v>0</v>
      </c>
      <c r="AM185" s="140">
        <v>0</v>
      </c>
      <c r="AN185" s="140">
        <v>0</v>
      </c>
      <c r="AO185" s="140">
        <v>2</v>
      </c>
      <c r="AP185" s="140">
        <v>-1</v>
      </c>
      <c r="AQ185" s="140">
        <v>0</v>
      </c>
      <c r="AR185" s="140">
        <v>0</v>
      </c>
      <c r="AS185" s="140">
        <v>0</v>
      </c>
      <c r="AT185" s="140">
        <v>0</v>
      </c>
      <c r="AU185" s="140">
        <v>0</v>
      </c>
      <c r="AV185" s="140">
        <v>2</v>
      </c>
      <c r="AW185" s="140">
        <v>-1</v>
      </c>
      <c r="AX185" s="140">
        <v>0</v>
      </c>
      <c r="AY185" s="140">
        <v>0</v>
      </c>
      <c r="AZ185" s="140">
        <v>0</v>
      </c>
      <c r="BA185" s="140">
        <v>0</v>
      </c>
      <c r="BB185" s="140">
        <v>0</v>
      </c>
      <c r="BC185" s="140">
        <v>0</v>
      </c>
      <c r="BD185" s="140">
        <v>0</v>
      </c>
      <c r="BE185" s="140">
        <v>0</v>
      </c>
      <c r="BF185" s="140">
        <v>0</v>
      </c>
      <c r="BG185" s="140">
        <v>0</v>
      </c>
      <c r="BH185" s="140">
        <v>0</v>
      </c>
      <c r="BI185" s="140">
        <v>0</v>
      </c>
      <c r="BJ185" s="140">
        <v>0</v>
      </c>
      <c r="BK185" s="140">
        <v>0</v>
      </c>
      <c r="BL185" s="140">
        <v>0</v>
      </c>
      <c r="BM185" s="140">
        <v>0</v>
      </c>
      <c r="BN185" s="140">
        <v>0</v>
      </c>
      <c r="BO185" s="140">
        <v>0</v>
      </c>
      <c r="BQ185" s="89"/>
      <c r="BU185" s="89"/>
      <c r="BX185" s="43">
        <v>12</v>
      </c>
      <c r="BY185" s="90">
        <f t="shared" si="11"/>
        <v>1</v>
      </c>
      <c r="CT185" s="90">
        <f t="shared" si="9"/>
        <v>0</v>
      </c>
      <c r="CU185" s="90">
        <f t="shared" si="10"/>
        <v>0</v>
      </c>
    </row>
    <row r="186" spans="1:99" ht="12" customHeight="1">
      <c r="A186" s="43">
        <v>7172</v>
      </c>
      <c r="B186" s="89" t="s">
        <v>312</v>
      </c>
      <c r="C186" s="89" t="s">
        <v>797</v>
      </c>
      <c r="D186" s="89" t="s">
        <v>798</v>
      </c>
      <c r="F186" s="43">
        <v>527191</v>
      </c>
      <c r="G186" s="43">
        <v>171592</v>
      </c>
      <c r="H186" s="89" t="s">
        <v>141</v>
      </c>
      <c r="I186" s="125">
        <v>43738</v>
      </c>
      <c r="J186" s="117">
        <v>43769</v>
      </c>
      <c r="K186" s="140">
        <v>1</v>
      </c>
      <c r="L186" s="140">
        <v>4</v>
      </c>
      <c r="M186" s="140">
        <v>3</v>
      </c>
      <c r="N186" s="140">
        <v>4</v>
      </c>
      <c r="O186" s="140">
        <v>3</v>
      </c>
      <c r="Q186" s="89" t="s">
        <v>799</v>
      </c>
      <c r="R186" s="43" t="s">
        <v>316</v>
      </c>
      <c r="S186" s="125">
        <v>43621</v>
      </c>
      <c r="T186" s="117">
        <v>43677</v>
      </c>
      <c r="U186" s="43" t="s">
        <v>329</v>
      </c>
      <c r="V186" s="43" t="s">
        <v>317</v>
      </c>
      <c r="X186" s="43" t="s">
        <v>318</v>
      </c>
      <c r="Y186" s="43" t="s">
        <v>348</v>
      </c>
      <c r="Z186" s="43" t="s">
        <v>320</v>
      </c>
      <c r="AA186" s="43" t="s">
        <v>20</v>
      </c>
      <c r="AB186" s="144">
        <v>1.4000000432133701E-2</v>
      </c>
      <c r="AC186" s="125">
        <v>43738</v>
      </c>
      <c r="AD186" s="43" t="s">
        <v>329</v>
      </c>
      <c r="AE186" s="117">
        <v>43769</v>
      </c>
      <c r="AF186" s="43" t="s">
        <v>75</v>
      </c>
      <c r="AG186" s="43" t="s">
        <v>322</v>
      </c>
      <c r="AJ186" s="140">
        <v>0</v>
      </c>
      <c r="AK186" s="140">
        <v>0</v>
      </c>
      <c r="AL186" s="140">
        <v>0</v>
      </c>
      <c r="AM186" s="140">
        <v>0</v>
      </c>
      <c r="AN186" s="140">
        <v>1</v>
      </c>
      <c r="AO186" s="140">
        <v>1</v>
      </c>
      <c r="AP186" s="140">
        <v>1</v>
      </c>
      <c r="AQ186" s="140">
        <v>1</v>
      </c>
      <c r="AR186" s="140">
        <v>0</v>
      </c>
      <c r="AS186" s="140">
        <v>-1</v>
      </c>
      <c r="AT186" s="140">
        <v>0</v>
      </c>
      <c r="AU186" s="140">
        <v>1</v>
      </c>
      <c r="AV186" s="140">
        <v>1</v>
      </c>
      <c r="AW186" s="140">
        <v>1</v>
      </c>
      <c r="AX186" s="140">
        <v>1</v>
      </c>
      <c r="AY186" s="140">
        <v>0</v>
      </c>
      <c r="AZ186" s="140">
        <v>0</v>
      </c>
      <c r="BA186" s="140">
        <v>0</v>
      </c>
      <c r="BB186" s="140">
        <v>0</v>
      </c>
      <c r="BC186" s="140">
        <v>0</v>
      </c>
      <c r="BD186" s="140">
        <v>0</v>
      </c>
      <c r="BE186" s="140">
        <v>0</v>
      </c>
      <c r="BF186" s="140">
        <v>0</v>
      </c>
      <c r="BG186" s="140">
        <v>-1</v>
      </c>
      <c r="BH186" s="140">
        <v>0</v>
      </c>
      <c r="BI186" s="140">
        <v>0</v>
      </c>
      <c r="BJ186" s="140">
        <v>0</v>
      </c>
      <c r="BK186" s="140">
        <v>0</v>
      </c>
      <c r="BL186" s="140">
        <v>0</v>
      </c>
      <c r="BM186" s="140">
        <v>0</v>
      </c>
      <c r="BN186" s="140">
        <v>0</v>
      </c>
      <c r="BO186" s="140">
        <v>0</v>
      </c>
      <c r="BQ186" s="89"/>
      <c r="BU186" s="89"/>
      <c r="BX186" s="43">
        <v>12</v>
      </c>
      <c r="BY186" s="90">
        <f t="shared" si="11"/>
        <v>3</v>
      </c>
      <c r="CT186" s="90">
        <f t="shared" si="9"/>
        <v>0</v>
      </c>
      <c r="CU186" s="90">
        <f t="shared" si="10"/>
        <v>0</v>
      </c>
    </row>
    <row r="187" spans="1:99" ht="12" customHeight="1">
      <c r="A187" s="43">
        <v>7185</v>
      </c>
      <c r="B187" s="89" t="s">
        <v>312</v>
      </c>
      <c r="C187" s="89" t="s">
        <v>800</v>
      </c>
      <c r="D187" s="89" t="s">
        <v>801</v>
      </c>
      <c r="F187" s="43">
        <v>528265</v>
      </c>
      <c r="G187" s="43">
        <v>172556</v>
      </c>
      <c r="H187" s="89" t="s">
        <v>167</v>
      </c>
      <c r="I187" s="125">
        <v>43677</v>
      </c>
      <c r="J187" s="117">
        <v>43692</v>
      </c>
      <c r="K187" s="140">
        <v>1</v>
      </c>
      <c r="L187" s="140">
        <v>0</v>
      </c>
      <c r="M187" s="140">
        <v>-1</v>
      </c>
      <c r="N187" s="140">
        <v>0</v>
      </c>
      <c r="O187" s="140">
        <v>-1</v>
      </c>
      <c r="Q187" s="89" t="s">
        <v>802</v>
      </c>
      <c r="R187" s="43" t="s">
        <v>803</v>
      </c>
      <c r="S187" s="125">
        <v>43621</v>
      </c>
      <c r="T187" s="117">
        <v>43677</v>
      </c>
      <c r="U187" s="43" t="s">
        <v>329</v>
      </c>
      <c r="V187" s="43" t="s">
        <v>317</v>
      </c>
      <c r="X187" s="43" t="s">
        <v>318</v>
      </c>
      <c r="Y187" s="43" t="s">
        <v>336</v>
      </c>
      <c r="Z187" s="43" t="s">
        <v>320</v>
      </c>
      <c r="AA187" s="43" t="s">
        <v>39</v>
      </c>
      <c r="AB187" s="144">
        <v>2.19999998807907E-2</v>
      </c>
      <c r="AC187" s="125">
        <v>43677</v>
      </c>
      <c r="AD187" s="43" t="s">
        <v>329</v>
      </c>
      <c r="AE187" s="117">
        <v>43692</v>
      </c>
      <c r="AF187" s="43" t="s">
        <v>75</v>
      </c>
      <c r="AG187" s="43" t="s">
        <v>322</v>
      </c>
      <c r="AJ187" s="140">
        <v>0</v>
      </c>
      <c r="AK187" s="140">
        <v>0</v>
      </c>
      <c r="AL187" s="140">
        <v>0</v>
      </c>
      <c r="AM187" s="140">
        <v>0</v>
      </c>
      <c r="AN187" s="140">
        <v>0</v>
      </c>
      <c r="AO187" s="140">
        <v>0</v>
      </c>
      <c r="AP187" s="140">
        <v>0</v>
      </c>
      <c r="AQ187" s="140">
        <v>-1</v>
      </c>
      <c r="AR187" s="140">
        <v>0</v>
      </c>
      <c r="AS187" s="140">
        <v>0</v>
      </c>
      <c r="AT187" s="140">
        <v>0</v>
      </c>
      <c r="AU187" s="140">
        <v>0</v>
      </c>
      <c r="AV187" s="140">
        <v>0</v>
      </c>
      <c r="AW187" s="140">
        <v>0</v>
      </c>
      <c r="AX187" s="140">
        <v>0</v>
      </c>
      <c r="AY187" s="140">
        <v>0</v>
      </c>
      <c r="AZ187" s="140">
        <v>0</v>
      </c>
      <c r="BA187" s="140">
        <v>0</v>
      </c>
      <c r="BB187" s="140">
        <v>0</v>
      </c>
      <c r="BC187" s="140">
        <v>0</v>
      </c>
      <c r="BD187" s="140">
        <v>0</v>
      </c>
      <c r="BE187" s="140">
        <v>-1</v>
      </c>
      <c r="BF187" s="140">
        <v>0</v>
      </c>
      <c r="BG187" s="140">
        <v>0</v>
      </c>
      <c r="BH187" s="140">
        <v>0</v>
      </c>
      <c r="BI187" s="140">
        <v>0</v>
      </c>
      <c r="BJ187" s="140">
        <v>0</v>
      </c>
      <c r="BK187" s="140">
        <v>0</v>
      </c>
      <c r="BL187" s="140">
        <v>0</v>
      </c>
      <c r="BM187" s="140">
        <v>0</v>
      </c>
      <c r="BN187" s="140">
        <v>0</v>
      </c>
      <c r="BO187" s="140">
        <v>0</v>
      </c>
      <c r="BQ187" s="89"/>
      <c r="BU187" s="89"/>
      <c r="BX187" s="43">
        <v>12</v>
      </c>
      <c r="BY187" s="90">
        <f t="shared" si="11"/>
        <v>-1</v>
      </c>
      <c r="CT187" s="90">
        <f t="shared" si="9"/>
        <v>0</v>
      </c>
      <c r="CU187" s="90">
        <f t="shared" si="10"/>
        <v>0</v>
      </c>
    </row>
    <row r="188" spans="1:99" ht="12" customHeight="1">
      <c r="A188" s="43">
        <v>7228</v>
      </c>
      <c r="B188" s="89" t="s">
        <v>312</v>
      </c>
      <c r="C188" s="89" t="s">
        <v>804</v>
      </c>
      <c r="D188" s="89" t="s">
        <v>805</v>
      </c>
      <c r="F188" s="43">
        <v>528615</v>
      </c>
      <c r="G188" s="43">
        <v>175239</v>
      </c>
      <c r="H188" s="89" t="s">
        <v>175</v>
      </c>
      <c r="I188" s="125">
        <v>31048</v>
      </c>
      <c r="J188" s="117">
        <v>43712</v>
      </c>
      <c r="K188" s="140">
        <v>1</v>
      </c>
      <c r="L188" s="140">
        <v>3</v>
      </c>
      <c r="M188" s="140">
        <v>2</v>
      </c>
      <c r="N188" s="140">
        <v>3</v>
      </c>
      <c r="O188" s="140">
        <v>2</v>
      </c>
      <c r="Q188" s="89" t="s">
        <v>806</v>
      </c>
      <c r="R188" s="43" t="s">
        <v>793</v>
      </c>
      <c r="S188" s="125">
        <v>43690</v>
      </c>
      <c r="T188" s="117">
        <v>43712</v>
      </c>
      <c r="U188" s="43" t="s">
        <v>329</v>
      </c>
      <c r="V188" s="43" t="s">
        <v>317</v>
      </c>
      <c r="X188" s="43" t="s">
        <v>318</v>
      </c>
      <c r="Y188" s="43" t="s">
        <v>348</v>
      </c>
      <c r="Z188" s="43" t="s">
        <v>320</v>
      </c>
      <c r="AA188" s="43" t="s">
        <v>20</v>
      </c>
      <c r="AB188" s="144">
        <v>2.8999999165535001E-2</v>
      </c>
      <c r="AC188" s="125">
        <v>31048</v>
      </c>
      <c r="AE188" s="117">
        <v>43712</v>
      </c>
      <c r="AF188" s="43" t="s">
        <v>75</v>
      </c>
      <c r="AG188" s="43" t="s">
        <v>322</v>
      </c>
      <c r="AJ188" s="140">
        <v>0</v>
      </c>
      <c r="AK188" s="140">
        <v>0</v>
      </c>
      <c r="AL188" s="140">
        <v>0</v>
      </c>
      <c r="AM188" s="140">
        <v>0</v>
      </c>
      <c r="AN188" s="140">
        <v>0</v>
      </c>
      <c r="AO188" s="140">
        <v>0</v>
      </c>
      <c r="AP188" s="140">
        <v>3</v>
      </c>
      <c r="AQ188" s="140">
        <v>0</v>
      </c>
      <c r="AR188" s="140">
        <v>0</v>
      </c>
      <c r="AS188" s="140">
        <v>-1</v>
      </c>
      <c r="AT188" s="140">
        <v>0</v>
      </c>
      <c r="AU188" s="140">
        <v>0</v>
      </c>
      <c r="AV188" s="140">
        <v>0</v>
      </c>
      <c r="AW188" s="140">
        <v>3</v>
      </c>
      <c r="AX188" s="140">
        <v>0</v>
      </c>
      <c r="AY188" s="140">
        <v>0</v>
      </c>
      <c r="AZ188" s="140">
        <v>0</v>
      </c>
      <c r="BA188" s="140">
        <v>0</v>
      </c>
      <c r="BB188" s="140">
        <v>0</v>
      </c>
      <c r="BC188" s="140">
        <v>0</v>
      </c>
      <c r="BD188" s="140">
        <v>0</v>
      </c>
      <c r="BE188" s="140">
        <v>0</v>
      </c>
      <c r="BF188" s="140">
        <v>0</v>
      </c>
      <c r="BG188" s="140">
        <v>-1</v>
      </c>
      <c r="BH188" s="140">
        <v>0</v>
      </c>
      <c r="BI188" s="140">
        <v>0</v>
      </c>
      <c r="BJ188" s="140">
        <v>0</v>
      </c>
      <c r="BK188" s="140">
        <v>0</v>
      </c>
      <c r="BL188" s="140">
        <v>0</v>
      </c>
      <c r="BM188" s="140">
        <v>0</v>
      </c>
      <c r="BN188" s="140">
        <v>0</v>
      </c>
      <c r="BO188" s="140">
        <v>0</v>
      </c>
      <c r="BQ188" s="89"/>
      <c r="BU188" s="89"/>
      <c r="BX188" s="43">
        <v>12</v>
      </c>
      <c r="BY188" s="90">
        <f t="shared" si="11"/>
        <v>2</v>
      </c>
      <c r="CT188" s="90">
        <f t="shared" si="9"/>
        <v>0</v>
      </c>
      <c r="CU188" s="90">
        <f t="shared" si="10"/>
        <v>0</v>
      </c>
    </row>
    <row r="189" spans="1:99" ht="12" customHeight="1">
      <c r="A189" s="43">
        <v>7238</v>
      </c>
      <c r="B189" s="89" t="s">
        <v>312</v>
      </c>
      <c r="C189" s="89" t="s">
        <v>807</v>
      </c>
      <c r="D189" s="89" t="s">
        <v>808</v>
      </c>
      <c r="F189" s="43">
        <v>527146</v>
      </c>
      <c r="G189" s="43">
        <v>176147</v>
      </c>
      <c r="H189" s="89" t="s">
        <v>147</v>
      </c>
      <c r="I189" s="125">
        <v>43677</v>
      </c>
      <c r="J189" s="117">
        <v>43754</v>
      </c>
      <c r="K189" s="140">
        <v>1</v>
      </c>
      <c r="L189" s="140">
        <v>2</v>
      </c>
      <c r="M189" s="140">
        <v>1</v>
      </c>
      <c r="N189" s="140">
        <v>2</v>
      </c>
      <c r="O189" s="140">
        <v>1</v>
      </c>
      <c r="Q189" s="89" t="s">
        <v>809</v>
      </c>
      <c r="R189" s="43" t="s">
        <v>793</v>
      </c>
      <c r="S189" s="125">
        <v>43706</v>
      </c>
      <c r="T189" s="117">
        <v>43754</v>
      </c>
      <c r="U189" s="43" t="s">
        <v>329</v>
      </c>
      <c r="V189" s="43" t="s">
        <v>317</v>
      </c>
      <c r="X189" s="43" t="s">
        <v>318</v>
      </c>
      <c r="Y189" s="43" t="s">
        <v>336</v>
      </c>
      <c r="Z189" s="43" t="s">
        <v>320</v>
      </c>
      <c r="AA189" s="43" t="s">
        <v>20</v>
      </c>
      <c r="AB189" s="144">
        <v>1.09999999403954E-2</v>
      </c>
      <c r="AC189" s="125">
        <v>43677</v>
      </c>
      <c r="AD189" s="43" t="s">
        <v>329</v>
      </c>
      <c r="AE189" s="117">
        <v>43754</v>
      </c>
      <c r="AF189" s="43" t="s">
        <v>75</v>
      </c>
      <c r="AG189" s="43" t="s">
        <v>322</v>
      </c>
      <c r="AJ189" s="140">
        <v>0</v>
      </c>
      <c r="AK189" s="140">
        <v>0</v>
      </c>
      <c r="AL189" s="140">
        <v>0</v>
      </c>
      <c r="AM189" s="140">
        <v>0</v>
      </c>
      <c r="AN189" s="140">
        <v>0</v>
      </c>
      <c r="AO189" s="140">
        <v>1</v>
      </c>
      <c r="AP189" s="140">
        <v>1</v>
      </c>
      <c r="AQ189" s="140">
        <v>-1</v>
      </c>
      <c r="AR189" s="140">
        <v>0</v>
      </c>
      <c r="AS189" s="140">
        <v>0</v>
      </c>
      <c r="AT189" s="140">
        <v>0</v>
      </c>
      <c r="AU189" s="140">
        <v>0</v>
      </c>
      <c r="AV189" s="140">
        <v>1</v>
      </c>
      <c r="AW189" s="140">
        <v>1</v>
      </c>
      <c r="AX189" s="140">
        <v>0</v>
      </c>
      <c r="AY189" s="140">
        <v>0</v>
      </c>
      <c r="AZ189" s="140">
        <v>0</v>
      </c>
      <c r="BA189" s="140">
        <v>0</v>
      </c>
      <c r="BB189" s="140">
        <v>0</v>
      </c>
      <c r="BC189" s="140">
        <v>0</v>
      </c>
      <c r="BD189" s="140">
        <v>0</v>
      </c>
      <c r="BE189" s="140">
        <v>-1</v>
      </c>
      <c r="BF189" s="140">
        <v>0</v>
      </c>
      <c r="BG189" s="140">
        <v>0</v>
      </c>
      <c r="BH189" s="140">
        <v>0</v>
      </c>
      <c r="BI189" s="140">
        <v>0</v>
      </c>
      <c r="BJ189" s="140">
        <v>0</v>
      </c>
      <c r="BK189" s="140">
        <v>0</v>
      </c>
      <c r="BL189" s="140">
        <v>0</v>
      </c>
      <c r="BM189" s="140">
        <v>0</v>
      </c>
      <c r="BN189" s="140">
        <v>0</v>
      </c>
      <c r="BO189" s="140">
        <v>0</v>
      </c>
      <c r="BQ189" s="89"/>
      <c r="BU189" s="89"/>
      <c r="BX189" s="43">
        <v>12</v>
      </c>
      <c r="BY189" s="90">
        <f t="shared" si="11"/>
        <v>1</v>
      </c>
      <c r="CT189" s="90">
        <f t="shared" si="9"/>
        <v>0</v>
      </c>
      <c r="CU189" s="90">
        <f t="shared" si="10"/>
        <v>0</v>
      </c>
    </row>
    <row r="190" spans="1:99" ht="12" customHeight="1">
      <c r="A190" s="43">
        <v>7279</v>
      </c>
      <c r="B190" s="89" t="s">
        <v>312</v>
      </c>
      <c r="C190" s="89" t="s">
        <v>810</v>
      </c>
      <c r="D190" s="89" t="s">
        <v>811</v>
      </c>
      <c r="F190" s="43">
        <v>527206</v>
      </c>
      <c r="G190" s="43">
        <v>171462</v>
      </c>
      <c r="H190" s="89" t="s">
        <v>141</v>
      </c>
      <c r="I190" s="125">
        <v>43803</v>
      </c>
      <c r="J190" s="117">
        <v>43921</v>
      </c>
      <c r="K190" s="140">
        <v>1</v>
      </c>
      <c r="L190" s="140">
        <v>4</v>
      </c>
      <c r="M190" s="140">
        <v>3</v>
      </c>
      <c r="N190" s="140">
        <v>4</v>
      </c>
      <c r="O190" s="140">
        <v>3</v>
      </c>
      <c r="Q190" s="89" t="s">
        <v>812</v>
      </c>
      <c r="R190" s="43" t="s">
        <v>316</v>
      </c>
      <c r="S190" s="125">
        <v>43769</v>
      </c>
      <c r="T190" s="117">
        <v>43803</v>
      </c>
      <c r="U190" s="43" t="s">
        <v>329</v>
      </c>
      <c r="V190" s="43" t="s">
        <v>317</v>
      </c>
      <c r="X190" s="43" t="s">
        <v>318</v>
      </c>
      <c r="Y190" s="43" t="s">
        <v>348</v>
      </c>
      <c r="Z190" s="43" t="s">
        <v>320</v>
      </c>
      <c r="AA190" s="43" t="s">
        <v>20</v>
      </c>
      <c r="AB190" s="144">
        <v>1.4000000432133701E-2</v>
      </c>
      <c r="AC190" s="125">
        <v>43803</v>
      </c>
      <c r="AD190" s="43" t="s">
        <v>329</v>
      </c>
      <c r="AE190" s="117">
        <v>43921</v>
      </c>
      <c r="AF190" s="43" t="s">
        <v>75</v>
      </c>
      <c r="AG190" s="43" t="s">
        <v>322</v>
      </c>
      <c r="AJ190" s="140">
        <v>0</v>
      </c>
      <c r="AK190" s="140">
        <v>0</v>
      </c>
      <c r="AL190" s="140">
        <v>0</v>
      </c>
      <c r="AM190" s="140">
        <v>0</v>
      </c>
      <c r="AN190" s="140">
        <v>1</v>
      </c>
      <c r="AO190" s="140">
        <v>1</v>
      </c>
      <c r="AP190" s="140">
        <v>1</v>
      </c>
      <c r="AQ190" s="140">
        <v>1</v>
      </c>
      <c r="AR190" s="140">
        <v>0</v>
      </c>
      <c r="AS190" s="140">
        <v>-1</v>
      </c>
      <c r="AT190" s="140">
        <v>0</v>
      </c>
      <c r="AU190" s="140">
        <v>1</v>
      </c>
      <c r="AV190" s="140">
        <v>1</v>
      </c>
      <c r="AW190" s="140">
        <v>1</v>
      </c>
      <c r="AX190" s="140">
        <v>1</v>
      </c>
      <c r="AY190" s="140">
        <v>0</v>
      </c>
      <c r="AZ190" s="140">
        <v>0</v>
      </c>
      <c r="BA190" s="140">
        <v>0</v>
      </c>
      <c r="BB190" s="140">
        <v>0</v>
      </c>
      <c r="BC190" s="140">
        <v>0</v>
      </c>
      <c r="BD190" s="140">
        <v>0</v>
      </c>
      <c r="BE190" s="140">
        <v>0</v>
      </c>
      <c r="BF190" s="140">
        <v>0</v>
      </c>
      <c r="BG190" s="140">
        <v>-1</v>
      </c>
      <c r="BH190" s="140">
        <v>0</v>
      </c>
      <c r="BI190" s="140">
        <v>0</v>
      </c>
      <c r="BJ190" s="140">
        <v>0</v>
      </c>
      <c r="BK190" s="140">
        <v>0</v>
      </c>
      <c r="BL190" s="140">
        <v>0</v>
      </c>
      <c r="BM190" s="140">
        <v>0</v>
      </c>
      <c r="BN190" s="140">
        <v>0</v>
      </c>
      <c r="BO190" s="140">
        <v>0</v>
      </c>
      <c r="BQ190" s="89"/>
      <c r="BU190" s="89"/>
      <c r="BX190" s="43">
        <v>12</v>
      </c>
      <c r="BY190" s="90">
        <f t="shared" si="11"/>
        <v>3</v>
      </c>
      <c r="CT190" s="90">
        <f t="shared" si="9"/>
        <v>0</v>
      </c>
      <c r="CU190" s="90">
        <f t="shared" si="10"/>
        <v>0</v>
      </c>
    </row>
    <row r="191" spans="1:99" ht="12" customHeight="1">
      <c r="A191" s="43">
        <v>35</v>
      </c>
      <c r="B191" s="89" t="s">
        <v>813</v>
      </c>
      <c r="C191" s="89" t="s">
        <v>814</v>
      </c>
      <c r="D191" s="89" t="s">
        <v>815</v>
      </c>
      <c r="F191" s="43">
        <v>527443</v>
      </c>
      <c r="G191" s="43">
        <v>175002</v>
      </c>
      <c r="H191" s="89" t="s">
        <v>174</v>
      </c>
      <c r="I191" s="125">
        <v>43753</v>
      </c>
      <c r="K191" s="140">
        <v>0</v>
      </c>
      <c r="L191" s="140">
        <v>2</v>
      </c>
      <c r="M191" s="140">
        <v>2</v>
      </c>
      <c r="N191" s="140">
        <v>2</v>
      </c>
      <c r="O191" s="140">
        <v>2</v>
      </c>
      <c r="Q191" s="89" t="s">
        <v>816</v>
      </c>
      <c r="R191" s="43" t="s">
        <v>316</v>
      </c>
      <c r="S191" s="125">
        <v>42578</v>
      </c>
      <c r="T191" s="117">
        <v>42664</v>
      </c>
      <c r="V191" s="43" t="s">
        <v>317</v>
      </c>
      <c r="X191" s="43" t="s">
        <v>318</v>
      </c>
      <c r="Y191" s="43" t="s">
        <v>361</v>
      </c>
      <c r="Z191" s="43" t="s">
        <v>320</v>
      </c>
      <c r="AA191" s="43" t="s">
        <v>353</v>
      </c>
      <c r="AB191" s="144">
        <v>6.0000000521540598E-3</v>
      </c>
      <c r="AC191" s="125">
        <v>43753</v>
      </c>
      <c r="AD191" s="43" t="s">
        <v>329</v>
      </c>
      <c r="AF191" s="43" t="s">
        <v>75</v>
      </c>
      <c r="AG191" s="43" t="s">
        <v>322</v>
      </c>
      <c r="AJ191" s="140">
        <v>2</v>
      </c>
      <c r="AK191" s="140">
        <v>0</v>
      </c>
      <c r="AL191" s="140">
        <v>0</v>
      </c>
      <c r="AM191" s="140">
        <v>0</v>
      </c>
      <c r="AN191" s="140">
        <v>0</v>
      </c>
      <c r="AO191" s="140">
        <v>0</v>
      </c>
      <c r="AP191" s="140">
        <v>2</v>
      </c>
      <c r="AQ191" s="140">
        <v>0</v>
      </c>
      <c r="AR191" s="140">
        <v>0</v>
      </c>
      <c r="AS191" s="140">
        <v>0</v>
      </c>
      <c r="AT191" s="140">
        <v>0</v>
      </c>
      <c r="AU191" s="140">
        <v>0</v>
      </c>
      <c r="AV191" s="140">
        <v>0</v>
      </c>
      <c r="AW191" s="140">
        <v>2</v>
      </c>
      <c r="AX191" s="140">
        <v>0</v>
      </c>
      <c r="AY191" s="140">
        <v>0</v>
      </c>
      <c r="AZ191" s="140">
        <v>0</v>
      </c>
      <c r="BA191" s="140">
        <v>0</v>
      </c>
      <c r="BB191" s="140">
        <v>0</v>
      </c>
      <c r="BC191" s="140">
        <v>0</v>
      </c>
      <c r="BD191" s="140">
        <v>0</v>
      </c>
      <c r="BE191" s="140">
        <v>0</v>
      </c>
      <c r="BF191" s="140">
        <v>0</v>
      </c>
      <c r="BG191" s="140">
        <v>0</v>
      </c>
      <c r="BH191" s="140">
        <v>0</v>
      </c>
      <c r="BI191" s="140">
        <v>0</v>
      </c>
      <c r="BJ191" s="140">
        <v>0</v>
      </c>
      <c r="BK191" s="140">
        <v>0</v>
      </c>
      <c r="BL191" s="140">
        <v>0</v>
      </c>
      <c r="BM191" s="140">
        <v>0</v>
      </c>
      <c r="BN191" s="140">
        <v>0</v>
      </c>
      <c r="BO191" s="140">
        <v>0</v>
      </c>
      <c r="BP191" s="43" t="s">
        <v>139</v>
      </c>
      <c r="BX191" s="43">
        <v>3</v>
      </c>
      <c r="BZ191" s="90">
        <f>$M191/2</f>
        <v>1</v>
      </c>
      <c r="CA191" s="90">
        <f>$M191/2</f>
        <v>1</v>
      </c>
      <c r="CT191" s="90">
        <f t="shared" si="9"/>
        <v>2</v>
      </c>
      <c r="CU191" s="90">
        <f t="shared" si="10"/>
        <v>2</v>
      </c>
    </row>
    <row r="192" spans="1:99" ht="12" customHeight="1">
      <c r="A192" s="43">
        <v>68</v>
      </c>
      <c r="B192" s="89" t="s">
        <v>813</v>
      </c>
      <c r="C192" s="89" t="s">
        <v>817</v>
      </c>
      <c r="D192" s="89" t="s">
        <v>818</v>
      </c>
      <c r="F192" s="43">
        <v>526960</v>
      </c>
      <c r="G192" s="43">
        <v>175223</v>
      </c>
      <c r="H192" s="89" t="s">
        <v>170</v>
      </c>
      <c r="I192" s="125">
        <v>42825</v>
      </c>
      <c r="K192" s="140">
        <v>0</v>
      </c>
      <c r="L192" s="140">
        <v>8</v>
      </c>
      <c r="M192" s="140">
        <v>8</v>
      </c>
      <c r="N192" s="140">
        <v>8</v>
      </c>
      <c r="O192" s="140">
        <v>8</v>
      </c>
      <c r="Q192" s="89" t="s">
        <v>819</v>
      </c>
      <c r="R192" s="43" t="s">
        <v>316</v>
      </c>
      <c r="S192" s="125">
        <v>41702</v>
      </c>
      <c r="T192" s="117">
        <v>42116</v>
      </c>
      <c r="V192" s="43" t="s">
        <v>317</v>
      </c>
      <c r="X192" s="43" t="s">
        <v>318</v>
      </c>
      <c r="Y192" s="43" t="s">
        <v>361</v>
      </c>
      <c r="Z192" s="43" t="s">
        <v>320</v>
      </c>
      <c r="AA192" s="43" t="s">
        <v>353</v>
      </c>
      <c r="AB192" s="144">
        <v>2.8999999165535001E-2</v>
      </c>
      <c r="AC192" s="125">
        <v>42825</v>
      </c>
      <c r="AF192" s="43" t="s">
        <v>75</v>
      </c>
      <c r="AG192" s="43" t="s">
        <v>322</v>
      </c>
      <c r="AJ192" s="140">
        <v>8</v>
      </c>
      <c r="AK192" s="140">
        <v>0</v>
      </c>
      <c r="AL192" s="140">
        <v>0</v>
      </c>
      <c r="AM192" s="140">
        <v>0</v>
      </c>
      <c r="AN192" s="140">
        <v>0</v>
      </c>
      <c r="AO192" s="140">
        <v>0</v>
      </c>
      <c r="AP192" s="140">
        <v>8</v>
      </c>
      <c r="AQ192" s="140">
        <v>0</v>
      </c>
      <c r="AR192" s="140">
        <v>0</v>
      </c>
      <c r="AS192" s="140">
        <v>0</v>
      </c>
      <c r="AT192" s="140">
        <v>0</v>
      </c>
      <c r="AU192" s="140">
        <v>0</v>
      </c>
      <c r="AV192" s="140">
        <v>0</v>
      </c>
      <c r="AW192" s="140">
        <v>8</v>
      </c>
      <c r="AX192" s="140">
        <v>0</v>
      </c>
      <c r="AY192" s="140">
        <v>0</v>
      </c>
      <c r="AZ192" s="140">
        <v>0</v>
      </c>
      <c r="BA192" s="140">
        <v>0</v>
      </c>
      <c r="BB192" s="140">
        <v>0</v>
      </c>
      <c r="BC192" s="140">
        <v>0</v>
      </c>
      <c r="BD192" s="140">
        <v>0</v>
      </c>
      <c r="BE192" s="140">
        <v>0</v>
      </c>
      <c r="BF192" s="140">
        <v>0</v>
      </c>
      <c r="BG192" s="140">
        <v>0</v>
      </c>
      <c r="BH192" s="140">
        <v>0</v>
      </c>
      <c r="BI192" s="140">
        <v>0</v>
      </c>
      <c r="BJ192" s="140">
        <v>0</v>
      </c>
      <c r="BK192" s="140">
        <v>0</v>
      </c>
      <c r="BL192" s="140">
        <v>0</v>
      </c>
      <c r="BM192" s="140">
        <v>0</v>
      </c>
      <c r="BN192" s="140">
        <v>0</v>
      </c>
      <c r="BO192" s="140">
        <v>0</v>
      </c>
      <c r="BX192" s="43">
        <v>2</v>
      </c>
      <c r="BZ192" s="90">
        <f>M192</f>
        <v>8</v>
      </c>
      <c r="CT192" s="90">
        <f t="shared" si="9"/>
        <v>8</v>
      </c>
      <c r="CU192" s="90">
        <f t="shared" si="10"/>
        <v>8</v>
      </c>
    </row>
    <row r="193" spans="1:99" ht="12" customHeight="1">
      <c r="A193" s="43">
        <v>109</v>
      </c>
      <c r="B193" s="89" t="s">
        <v>813</v>
      </c>
      <c r="C193" s="89" t="s">
        <v>820</v>
      </c>
      <c r="D193" s="89" t="s">
        <v>821</v>
      </c>
      <c r="F193" s="43">
        <v>527416</v>
      </c>
      <c r="G193" s="43">
        <v>177323</v>
      </c>
      <c r="H193" s="89" t="s">
        <v>177</v>
      </c>
      <c r="I193" s="125">
        <v>43921</v>
      </c>
      <c r="K193" s="140">
        <v>0</v>
      </c>
      <c r="L193" s="140">
        <v>1</v>
      </c>
      <c r="M193" s="140">
        <v>1</v>
      </c>
      <c r="N193" s="140">
        <v>1</v>
      </c>
      <c r="O193" s="140">
        <v>1</v>
      </c>
      <c r="Q193" s="89" t="s">
        <v>822</v>
      </c>
      <c r="R193" s="43" t="s">
        <v>620</v>
      </c>
      <c r="S193" s="125">
        <v>43664</v>
      </c>
      <c r="T193" s="117">
        <v>43706</v>
      </c>
      <c r="U193" s="43" t="s">
        <v>329</v>
      </c>
      <c r="V193" s="43" t="s">
        <v>317</v>
      </c>
      <c r="X193" s="43" t="s">
        <v>318</v>
      </c>
      <c r="Y193" s="43" t="s">
        <v>336</v>
      </c>
      <c r="Z193" s="43" t="s">
        <v>320</v>
      </c>
      <c r="AA193" s="43" t="s">
        <v>33</v>
      </c>
      <c r="AB193" s="144">
        <v>8.0000003799796104E-3</v>
      </c>
      <c r="AC193" s="125">
        <v>43921</v>
      </c>
      <c r="AD193" s="43" t="s">
        <v>329</v>
      </c>
      <c r="AF193" s="43" t="s">
        <v>75</v>
      </c>
      <c r="AG193" s="43" t="s">
        <v>322</v>
      </c>
      <c r="AJ193" s="140">
        <v>0</v>
      </c>
      <c r="AK193" s="140">
        <v>0</v>
      </c>
      <c r="AL193" s="140">
        <v>0</v>
      </c>
      <c r="AM193" s="140">
        <v>0</v>
      </c>
      <c r="AN193" s="140">
        <v>0</v>
      </c>
      <c r="AO193" s="140">
        <v>0</v>
      </c>
      <c r="AP193" s="140">
        <v>1</v>
      </c>
      <c r="AQ193" s="140">
        <v>0</v>
      </c>
      <c r="AR193" s="140">
        <v>0</v>
      </c>
      <c r="AS193" s="140">
        <v>0</v>
      </c>
      <c r="AT193" s="140">
        <v>0</v>
      </c>
      <c r="AU193" s="140">
        <v>0</v>
      </c>
      <c r="AV193" s="140">
        <v>0</v>
      </c>
      <c r="AW193" s="140">
        <v>1</v>
      </c>
      <c r="AX193" s="140">
        <v>0</v>
      </c>
      <c r="AY193" s="140">
        <v>0</v>
      </c>
      <c r="AZ193" s="140">
        <v>0</v>
      </c>
      <c r="BA193" s="140">
        <v>0</v>
      </c>
      <c r="BB193" s="140">
        <v>0</v>
      </c>
      <c r="BC193" s="140">
        <v>0</v>
      </c>
      <c r="BD193" s="140">
        <v>0</v>
      </c>
      <c r="BE193" s="140">
        <v>0</v>
      </c>
      <c r="BF193" s="140">
        <v>0</v>
      </c>
      <c r="BG193" s="140">
        <v>0</v>
      </c>
      <c r="BH193" s="140">
        <v>0</v>
      </c>
      <c r="BI193" s="140">
        <v>0</v>
      </c>
      <c r="BJ193" s="140">
        <v>0</v>
      </c>
      <c r="BK193" s="140">
        <v>0</v>
      </c>
      <c r="BL193" s="140">
        <v>0</v>
      </c>
      <c r="BM193" s="140">
        <v>0</v>
      </c>
      <c r="BN193" s="140">
        <v>0</v>
      </c>
      <c r="BO193" s="140">
        <v>0</v>
      </c>
      <c r="BV193" s="43" t="s">
        <v>329</v>
      </c>
      <c r="BX193" s="43">
        <v>14</v>
      </c>
      <c r="BZ193" s="90">
        <f t="shared" ref="BZ193:CA195" si="12">$M193/2</f>
        <v>0.5</v>
      </c>
      <c r="CA193" s="90">
        <f t="shared" si="12"/>
        <v>0.5</v>
      </c>
      <c r="CT193" s="90">
        <f t="shared" si="9"/>
        <v>1</v>
      </c>
      <c r="CU193" s="90">
        <f t="shared" si="10"/>
        <v>1</v>
      </c>
    </row>
    <row r="194" spans="1:99" ht="12" customHeight="1">
      <c r="A194" s="43">
        <v>116</v>
      </c>
      <c r="B194" s="89" t="s">
        <v>813</v>
      </c>
      <c r="C194" s="89" t="s">
        <v>823</v>
      </c>
      <c r="D194" s="89" t="s">
        <v>314</v>
      </c>
      <c r="F194" s="43">
        <v>524382</v>
      </c>
      <c r="G194" s="43">
        <v>175284</v>
      </c>
      <c r="H194" s="89" t="s">
        <v>178</v>
      </c>
      <c r="I194" s="125">
        <v>43921</v>
      </c>
      <c r="K194" s="140">
        <v>0</v>
      </c>
      <c r="L194" s="140">
        <v>3</v>
      </c>
      <c r="M194" s="140">
        <v>3</v>
      </c>
      <c r="N194" s="140">
        <v>3</v>
      </c>
      <c r="O194" s="140">
        <v>3</v>
      </c>
      <c r="Q194" s="89" t="s">
        <v>824</v>
      </c>
      <c r="R194" s="43" t="s">
        <v>316</v>
      </c>
      <c r="S194" s="125">
        <v>43851</v>
      </c>
      <c r="T194" s="117">
        <v>43903</v>
      </c>
      <c r="U194" s="43" t="s">
        <v>329</v>
      </c>
      <c r="V194" s="43" t="s">
        <v>317</v>
      </c>
      <c r="X194" s="43" t="s">
        <v>318</v>
      </c>
      <c r="Y194" s="43" t="s">
        <v>361</v>
      </c>
      <c r="Z194" s="43" t="s">
        <v>320</v>
      </c>
      <c r="AA194" s="43" t="s">
        <v>353</v>
      </c>
      <c r="AB194" s="144">
        <v>2.5000000372528999E-2</v>
      </c>
      <c r="AC194" s="125">
        <v>43921</v>
      </c>
      <c r="AD194" s="43" t="s">
        <v>329</v>
      </c>
      <c r="AF194" s="43" t="s">
        <v>75</v>
      </c>
      <c r="AG194" s="43" t="s">
        <v>322</v>
      </c>
      <c r="AJ194" s="140">
        <v>0</v>
      </c>
      <c r="AK194" s="140">
        <v>0</v>
      </c>
      <c r="AL194" s="140">
        <v>0</v>
      </c>
      <c r="AM194" s="140">
        <v>0</v>
      </c>
      <c r="AN194" s="140">
        <v>0</v>
      </c>
      <c r="AO194" s="140">
        <v>0</v>
      </c>
      <c r="AP194" s="140">
        <v>2</v>
      </c>
      <c r="AQ194" s="140">
        <v>1</v>
      </c>
      <c r="AR194" s="140">
        <v>0</v>
      </c>
      <c r="AS194" s="140">
        <v>0</v>
      </c>
      <c r="AT194" s="140">
        <v>0</v>
      </c>
      <c r="AU194" s="140">
        <v>0</v>
      </c>
      <c r="AV194" s="140">
        <v>0</v>
      </c>
      <c r="AW194" s="140">
        <v>2</v>
      </c>
      <c r="AX194" s="140">
        <v>1</v>
      </c>
      <c r="AY194" s="140">
        <v>0</v>
      </c>
      <c r="AZ194" s="140">
        <v>0</v>
      </c>
      <c r="BA194" s="140">
        <v>0</v>
      </c>
      <c r="BB194" s="140">
        <v>0</v>
      </c>
      <c r="BC194" s="140">
        <v>0</v>
      </c>
      <c r="BD194" s="140">
        <v>0</v>
      </c>
      <c r="BE194" s="140">
        <v>0</v>
      </c>
      <c r="BF194" s="140">
        <v>0</v>
      </c>
      <c r="BG194" s="140">
        <v>0</v>
      </c>
      <c r="BH194" s="140">
        <v>0</v>
      </c>
      <c r="BI194" s="140">
        <v>0</v>
      </c>
      <c r="BJ194" s="140">
        <v>0</v>
      </c>
      <c r="BK194" s="140">
        <v>0</v>
      </c>
      <c r="BL194" s="140">
        <v>0</v>
      </c>
      <c r="BM194" s="140">
        <v>0</v>
      </c>
      <c r="BN194" s="140">
        <v>0</v>
      </c>
      <c r="BO194" s="140">
        <v>0</v>
      </c>
      <c r="BX194" s="43">
        <v>3</v>
      </c>
      <c r="BZ194" s="90">
        <f t="shared" si="12"/>
        <v>1.5</v>
      </c>
      <c r="CA194" s="90">
        <f t="shared" si="12"/>
        <v>1.5</v>
      </c>
      <c r="CT194" s="90">
        <f t="shared" ref="CT194:CT257" si="13">SUM(BZ194:CD194)</f>
        <v>3</v>
      </c>
      <c r="CU194" s="90">
        <f t="shared" ref="CU194:CU257" si="14">SUM(BZ194:CI194)</f>
        <v>3</v>
      </c>
    </row>
    <row r="195" spans="1:99" ht="12" customHeight="1">
      <c r="A195" s="43">
        <v>170</v>
      </c>
      <c r="B195" s="89" t="s">
        <v>813</v>
      </c>
      <c r="C195" s="89" t="s">
        <v>825</v>
      </c>
      <c r="D195" s="89" t="s">
        <v>826</v>
      </c>
      <c r="F195" s="43">
        <v>528164</v>
      </c>
      <c r="G195" s="43">
        <v>176634</v>
      </c>
      <c r="H195" s="89" t="s">
        <v>148</v>
      </c>
      <c r="I195" s="125">
        <v>43921</v>
      </c>
      <c r="K195" s="140">
        <v>0</v>
      </c>
      <c r="L195" s="140">
        <v>9</v>
      </c>
      <c r="M195" s="140">
        <v>9</v>
      </c>
      <c r="N195" s="140">
        <v>9</v>
      </c>
      <c r="O195" s="140">
        <v>9</v>
      </c>
      <c r="Q195" s="89" t="s">
        <v>827</v>
      </c>
      <c r="R195" s="43" t="s">
        <v>406</v>
      </c>
      <c r="S195" s="125">
        <v>43620</v>
      </c>
      <c r="T195" s="117">
        <v>43642</v>
      </c>
      <c r="U195" s="43" t="s">
        <v>329</v>
      </c>
      <c r="V195" s="43" t="s">
        <v>317</v>
      </c>
      <c r="X195" s="43" t="s">
        <v>318</v>
      </c>
      <c r="Y195" s="43" t="s">
        <v>361</v>
      </c>
      <c r="Z195" s="43" t="s">
        <v>320</v>
      </c>
      <c r="AA195" s="43" t="s">
        <v>353</v>
      </c>
      <c r="AB195" s="144">
        <v>1.30000002682209E-2</v>
      </c>
      <c r="AC195" s="125">
        <v>43921</v>
      </c>
      <c r="AD195" s="43" t="s">
        <v>329</v>
      </c>
      <c r="AF195" s="43" t="s">
        <v>75</v>
      </c>
      <c r="AG195" s="43" t="s">
        <v>322</v>
      </c>
      <c r="AJ195" s="140">
        <v>0</v>
      </c>
      <c r="AK195" s="140">
        <v>0</v>
      </c>
      <c r="AL195" s="140">
        <v>0</v>
      </c>
      <c r="AM195" s="140">
        <v>0</v>
      </c>
      <c r="AN195" s="140">
        <v>0</v>
      </c>
      <c r="AO195" s="140">
        <v>3</v>
      </c>
      <c r="AP195" s="140">
        <v>6</v>
      </c>
      <c r="AQ195" s="140">
        <v>0</v>
      </c>
      <c r="AR195" s="140">
        <v>0</v>
      </c>
      <c r="AS195" s="140">
        <v>0</v>
      </c>
      <c r="AT195" s="140">
        <v>0</v>
      </c>
      <c r="AU195" s="140">
        <v>0</v>
      </c>
      <c r="AV195" s="140">
        <v>3</v>
      </c>
      <c r="AW195" s="140">
        <v>6</v>
      </c>
      <c r="AX195" s="140">
        <v>0</v>
      </c>
      <c r="AY195" s="140">
        <v>0</v>
      </c>
      <c r="AZ195" s="140">
        <v>0</v>
      </c>
      <c r="BA195" s="140">
        <v>0</v>
      </c>
      <c r="BB195" s="140">
        <v>0</v>
      </c>
      <c r="BC195" s="140">
        <v>0</v>
      </c>
      <c r="BD195" s="140">
        <v>0</v>
      </c>
      <c r="BE195" s="140">
        <v>0</v>
      </c>
      <c r="BF195" s="140">
        <v>0</v>
      </c>
      <c r="BG195" s="140">
        <v>0</v>
      </c>
      <c r="BH195" s="140">
        <v>0</v>
      </c>
      <c r="BI195" s="140">
        <v>0</v>
      </c>
      <c r="BJ195" s="140">
        <v>0</v>
      </c>
      <c r="BK195" s="140">
        <v>0</v>
      </c>
      <c r="BL195" s="140">
        <v>0</v>
      </c>
      <c r="BM195" s="140">
        <v>0</v>
      </c>
      <c r="BN195" s="140">
        <v>0</v>
      </c>
      <c r="BO195" s="140">
        <v>0</v>
      </c>
      <c r="BX195" s="43">
        <v>3</v>
      </c>
      <c r="BZ195" s="90">
        <f t="shared" si="12"/>
        <v>4.5</v>
      </c>
      <c r="CA195" s="90">
        <f t="shared" si="12"/>
        <v>4.5</v>
      </c>
      <c r="CT195" s="90">
        <f t="shared" si="13"/>
        <v>9</v>
      </c>
      <c r="CU195" s="90">
        <f t="shared" si="14"/>
        <v>9</v>
      </c>
    </row>
    <row r="196" spans="1:99" ht="12" customHeight="1">
      <c r="A196" s="43">
        <v>180</v>
      </c>
      <c r="B196" s="89" t="s">
        <v>813</v>
      </c>
      <c r="C196" s="89" t="s">
        <v>828</v>
      </c>
      <c r="D196" s="89" t="s">
        <v>829</v>
      </c>
      <c r="F196" s="43">
        <v>527950</v>
      </c>
      <c r="G196" s="43">
        <v>176519</v>
      </c>
      <c r="H196" s="89" t="s">
        <v>147</v>
      </c>
      <c r="I196" s="125">
        <v>43555</v>
      </c>
      <c r="K196" s="140">
        <v>1</v>
      </c>
      <c r="L196" s="140">
        <v>31</v>
      </c>
      <c r="M196" s="140">
        <v>30</v>
      </c>
      <c r="N196" s="140">
        <v>39</v>
      </c>
      <c r="O196" s="140">
        <v>38</v>
      </c>
      <c r="P196" s="43" t="s">
        <v>329</v>
      </c>
      <c r="Q196" s="89" t="s">
        <v>830</v>
      </c>
      <c r="R196" s="43" t="s">
        <v>392</v>
      </c>
      <c r="S196" s="125">
        <v>42583</v>
      </c>
      <c r="T196" s="117">
        <v>42989</v>
      </c>
      <c r="V196" s="43" t="s">
        <v>317</v>
      </c>
      <c r="X196" s="43" t="s">
        <v>318</v>
      </c>
      <c r="Y196" s="43" t="s">
        <v>361</v>
      </c>
      <c r="Z196" s="43" t="s">
        <v>361</v>
      </c>
      <c r="AA196" s="43" t="s">
        <v>320</v>
      </c>
      <c r="AB196" s="144">
        <v>0.104000002145767</v>
      </c>
      <c r="AC196" s="125">
        <v>43555</v>
      </c>
      <c r="AF196" s="43" t="s">
        <v>75</v>
      </c>
      <c r="AG196" s="43" t="s">
        <v>322</v>
      </c>
      <c r="AJ196" s="140">
        <v>31</v>
      </c>
      <c r="AK196" s="140">
        <v>0</v>
      </c>
      <c r="AL196" s="140">
        <v>0</v>
      </c>
      <c r="AM196" s="140">
        <v>0</v>
      </c>
      <c r="AN196" s="140">
        <v>0</v>
      </c>
      <c r="AO196" s="140">
        <v>14</v>
      </c>
      <c r="AP196" s="140">
        <v>15</v>
      </c>
      <c r="AQ196" s="140">
        <v>1</v>
      </c>
      <c r="AR196" s="140">
        <v>0</v>
      </c>
      <c r="AS196" s="140">
        <v>0</v>
      </c>
      <c r="AT196" s="140">
        <v>0</v>
      </c>
      <c r="AU196" s="140">
        <v>0</v>
      </c>
      <c r="AV196" s="140">
        <v>14</v>
      </c>
      <c r="AW196" s="140">
        <v>15</v>
      </c>
      <c r="AX196" s="140">
        <v>2</v>
      </c>
      <c r="AY196" s="140">
        <v>0</v>
      </c>
      <c r="AZ196" s="140">
        <v>0</v>
      </c>
      <c r="BA196" s="140">
        <v>0</v>
      </c>
      <c r="BB196" s="140">
        <v>0</v>
      </c>
      <c r="BC196" s="140">
        <v>0</v>
      </c>
      <c r="BD196" s="140">
        <v>0</v>
      </c>
      <c r="BE196" s="140">
        <v>-1</v>
      </c>
      <c r="BF196" s="140">
        <v>0</v>
      </c>
      <c r="BG196" s="140">
        <v>0</v>
      </c>
      <c r="BH196" s="140">
        <v>0</v>
      </c>
      <c r="BI196" s="140">
        <v>0</v>
      </c>
      <c r="BJ196" s="140">
        <v>0</v>
      </c>
      <c r="BK196" s="140">
        <v>0</v>
      </c>
      <c r="BL196" s="140">
        <v>0</v>
      </c>
      <c r="BM196" s="140">
        <v>0</v>
      </c>
      <c r="BN196" s="140">
        <v>0</v>
      </c>
      <c r="BO196" s="140">
        <v>0</v>
      </c>
      <c r="BX196" s="43">
        <v>4</v>
      </c>
      <c r="CT196" s="90">
        <f t="shared" si="13"/>
        <v>0</v>
      </c>
      <c r="CU196" s="90">
        <f t="shared" si="14"/>
        <v>0</v>
      </c>
    </row>
    <row r="197" spans="1:99" ht="12" customHeight="1">
      <c r="A197" s="43">
        <v>180</v>
      </c>
      <c r="B197" s="89" t="s">
        <v>813</v>
      </c>
      <c r="C197" s="89" t="s">
        <v>828</v>
      </c>
      <c r="D197" s="89" t="s">
        <v>829</v>
      </c>
      <c r="F197" s="43">
        <v>527950</v>
      </c>
      <c r="G197" s="43">
        <v>176519</v>
      </c>
      <c r="H197" s="89" t="s">
        <v>147</v>
      </c>
      <c r="I197" s="125">
        <v>43555</v>
      </c>
      <c r="K197" s="140">
        <v>0</v>
      </c>
      <c r="L197" s="140">
        <v>4</v>
      </c>
      <c r="M197" s="140">
        <v>4</v>
      </c>
      <c r="N197" s="140">
        <v>39</v>
      </c>
      <c r="O197" s="140">
        <v>38</v>
      </c>
      <c r="P197" s="43" t="s">
        <v>329</v>
      </c>
      <c r="Q197" s="89" t="s">
        <v>830</v>
      </c>
      <c r="R197" s="43" t="s">
        <v>392</v>
      </c>
      <c r="S197" s="125">
        <v>42583</v>
      </c>
      <c r="T197" s="117">
        <v>42989</v>
      </c>
      <c r="V197" s="43" t="s">
        <v>317</v>
      </c>
      <c r="X197" s="43" t="s">
        <v>318</v>
      </c>
      <c r="Y197" s="43" t="s">
        <v>361</v>
      </c>
      <c r="Z197" s="43" t="s">
        <v>361</v>
      </c>
      <c r="AA197" s="43" t="s">
        <v>320</v>
      </c>
      <c r="AB197" s="144">
        <v>1.4000000432133701E-2</v>
      </c>
      <c r="AC197" s="125">
        <v>43555</v>
      </c>
      <c r="AF197" s="43" t="s">
        <v>54</v>
      </c>
      <c r="AG197" s="43" t="s">
        <v>399</v>
      </c>
      <c r="AJ197" s="140">
        <v>4</v>
      </c>
      <c r="AK197" s="140">
        <v>4</v>
      </c>
      <c r="AL197" s="140">
        <v>0</v>
      </c>
      <c r="AM197" s="140">
        <v>0</v>
      </c>
      <c r="AN197" s="140">
        <v>0</v>
      </c>
      <c r="AO197" s="140">
        <v>2</v>
      </c>
      <c r="AP197" s="140">
        <v>2</v>
      </c>
      <c r="AQ197" s="140">
        <v>0</v>
      </c>
      <c r="AR197" s="140">
        <v>0</v>
      </c>
      <c r="AS197" s="140">
        <v>0</v>
      </c>
      <c r="AT197" s="140">
        <v>0</v>
      </c>
      <c r="AU197" s="140">
        <v>0</v>
      </c>
      <c r="AV197" s="140">
        <v>2</v>
      </c>
      <c r="AW197" s="140">
        <v>2</v>
      </c>
      <c r="AX197" s="140">
        <v>0</v>
      </c>
      <c r="AY197" s="140">
        <v>0</v>
      </c>
      <c r="AZ197" s="140">
        <v>0</v>
      </c>
      <c r="BA197" s="140">
        <v>0</v>
      </c>
      <c r="BB197" s="140">
        <v>0</v>
      </c>
      <c r="BC197" s="140">
        <v>0</v>
      </c>
      <c r="BD197" s="140">
        <v>0</v>
      </c>
      <c r="BE197" s="140">
        <v>0</v>
      </c>
      <c r="BF197" s="140">
        <v>0</v>
      </c>
      <c r="BG197" s="140">
        <v>0</v>
      </c>
      <c r="BH197" s="140">
        <v>0</v>
      </c>
      <c r="BI197" s="140">
        <v>0</v>
      </c>
      <c r="BJ197" s="140">
        <v>0</v>
      </c>
      <c r="BK197" s="140">
        <v>0</v>
      </c>
      <c r="BL197" s="140">
        <v>0</v>
      </c>
      <c r="BM197" s="140">
        <v>0</v>
      </c>
      <c r="BN197" s="140">
        <v>0</v>
      </c>
      <c r="BO197" s="140">
        <v>0</v>
      </c>
      <c r="BX197" s="43">
        <v>4</v>
      </c>
      <c r="CT197" s="90">
        <f t="shared" si="13"/>
        <v>0</v>
      </c>
      <c r="CU197" s="90">
        <f t="shared" si="14"/>
        <v>0</v>
      </c>
    </row>
    <row r="198" spans="1:99" ht="12" customHeight="1">
      <c r="A198" s="43">
        <v>180</v>
      </c>
      <c r="B198" s="89" t="s">
        <v>813</v>
      </c>
      <c r="C198" s="89" t="s">
        <v>828</v>
      </c>
      <c r="D198" s="89" t="s">
        <v>829</v>
      </c>
      <c r="F198" s="43">
        <v>527950</v>
      </c>
      <c r="G198" s="43">
        <v>176519</v>
      </c>
      <c r="H198" s="89" t="s">
        <v>147</v>
      </c>
      <c r="I198" s="125">
        <v>43555</v>
      </c>
      <c r="K198" s="140">
        <v>0</v>
      </c>
      <c r="L198" s="140">
        <v>4</v>
      </c>
      <c r="M198" s="140">
        <v>4</v>
      </c>
      <c r="N198" s="140">
        <v>39</v>
      </c>
      <c r="O198" s="140">
        <v>38</v>
      </c>
      <c r="P198" s="43" t="s">
        <v>329</v>
      </c>
      <c r="Q198" s="89" t="s">
        <v>830</v>
      </c>
      <c r="R198" s="43" t="s">
        <v>392</v>
      </c>
      <c r="S198" s="125">
        <v>42583</v>
      </c>
      <c r="T198" s="117">
        <v>42989</v>
      </c>
      <c r="V198" s="43" t="s">
        <v>317</v>
      </c>
      <c r="X198" s="43" t="s">
        <v>318</v>
      </c>
      <c r="Y198" s="43" t="s">
        <v>361</v>
      </c>
      <c r="Z198" s="43" t="s">
        <v>361</v>
      </c>
      <c r="AA198" s="43" t="s">
        <v>320</v>
      </c>
      <c r="AB198" s="144">
        <v>1.4000000432133701E-2</v>
      </c>
      <c r="AC198" s="125">
        <v>43555</v>
      </c>
      <c r="AF198" s="43" t="s">
        <v>54</v>
      </c>
      <c r="AG198" s="43" t="s">
        <v>831</v>
      </c>
      <c r="AJ198" s="140">
        <v>4</v>
      </c>
      <c r="AK198" s="140">
        <v>4</v>
      </c>
      <c r="AL198" s="140">
        <v>1</v>
      </c>
      <c r="AM198" s="140">
        <v>1</v>
      </c>
      <c r="AN198" s="140">
        <v>0</v>
      </c>
      <c r="AO198" s="140">
        <v>2</v>
      </c>
      <c r="AP198" s="140">
        <v>2</v>
      </c>
      <c r="AQ198" s="140">
        <v>0</v>
      </c>
      <c r="AR198" s="140">
        <v>0</v>
      </c>
      <c r="AS198" s="140">
        <v>0</v>
      </c>
      <c r="AT198" s="140">
        <v>0</v>
      </c>
      <c r="AU198" s="140">
        <v>0</v>
      </c>
      <c r="AV198" s="140">
        <v>2</v>
      </c>
      <c r="AW198" s="140">
        <v>2</v>
      </c>
      <c r="AX198" s="140">
        <v>0</v>
      </c>
      <c r="AY198" s="140">
        <v>0</v>
      </c>
      <c r="AZ198" s="140">
        <v>0</v>
      </c>
      <c r="BA198" s="140">
        <v>0</v>
      </c>
      <c r="BB198" s="140">
        <v>0</v>
      </c>
      <c r="BC198" s="140">
        <v>0</v>
      </c>
      <c r="BD198" s="140">
        <v>0</v>
      </c>
      <c r="BE198" s="140">
        <v>0</v>
      </c>
      <c r="BF198" s="140">
        <v>0</v>
      </c>
      <c r="BG198" s="140">
        <v>0</v>
      </c>
      <c r="BH198" s="140">
        <v>0</v>
      </c>
      <c r="BI198" s="140">
        <v>0</v>
      </c>
      <c r="BJ198" s="140">
        <v>0</v>
      </c>
      <c r="BK198" s="140">
        <v>0</v>
      </c>
      <c r="BL198" s="140">
        <v>0</v>
      </c>
      <c r="BM198" s="140">
        <v>0</v>
      </c>
      <c r="BN198" s="140">
        <v>0</v>
      </c>
      <c r="BO198" s="140">
        <v>0</v>
      </c>
      <c r="BX198" s="43">
        <v>4</v>
      </c>
      <c r="CT198" s="90">
        <f t="shared" si="13"/>
        <v>0</v>
      </c>
      <c r="CU198" s="90">
        <f t="shared" si="14"/>
        <v>0</v>
      </c>
    </row>
    <row r="199" spans="1:99" ht="12" customHeight="1">
      <c r="A199" s="43">
        <v>215</v>
      </c>
      <c r="B199" s="89" t="s">
        <v>813</v>
      </c>
      <c r="C199" s="89" t="s">
        <v>832</v>
      </c>
      <c r="D199" s="89" t="s">
        <v>833</v>
      </c>
      <c r="F199" s="43">
        <v>528736</v>
      </c>
      <c r="G199" s="43">
        <v>174223</v>
      </c>
      <c r="H199" s="89" t="s">
        <v>138</v>
      </c>
      <c r="I199" s="125">
        <v>43190</v>
      </c>
      <c r="K199" s="140">
        <v>0</v>
      </c>
      <c r="L199" s="140">
        <v>94</v>
      </c>
      <c r="M199" s="140">
        <v>94</v>
      </c>
      <c r="N199" s="140">
        <v>94</v>
      </c>
      <c r="O199" s="140">
        <v>94</v>
      </c>
      <c r="P199" s="43" t="s">
        <v>329</v>
      </c>
      <c r="Q199" s="89" t="s">
        <v>834</v>
      </c>
      <c r="R199" s="43" t="s">
        <v>406</v>
      </c>
      <c r="S199" s="125">
        <v>42976</v>
      </c>
      <c r="T199" s="117">
        <v>43004</v>
      </c>
      <c r="V199" s="43" t="s">
        <v>317</v>
      </c>
      <c r="X199" s="43" t="s">
        <v>318</v>
      </c>
      <c r="Y199" s="43" t="s">
        <v>361</v>
      </c>
      <c r="Z199" s="43" t="s">
        <v>361</v>
      </c>
      <c r="AA199" s="43" t="s">
        <v>320</v>
      </c>
      <c r="AB199" s="144">
        <v>0.10000000149011599</v>
      </c>
      <c r="AC199" s="125">
        <v>43190</v>
      </c>
      <c r="AF199" s="43" t="s">
        <v>75</v>
      </c>
      <c r="AG199" s="43" t="s">
        <v>322</v>
      </c>
      <c r="AJ199" s="140">
        <v>0</v>
      </c>
      <c r="AK199" s="140">
        <v>0</v>
      </c>
      <c r="AL199" s="140">
        <v>0</v>
      </c>
      <c r="AM199" s="140">
        <v>0</v>
      </c>
      <c r="AN199" s="140">
        <v>0</v>
      </c>
      <c r="AO199" s="140">
        <v>28</v>
      </c>
      <c r="AP199" s="140">
        <v>49</v>
      </c>
      <c r="AQ199" s="140">
        <v>17</v>
      </c>
      <c r="AR199" s="140">
        <v>0</v>
      </c>
      <c r="AS199" s="140">
        <v>0</v>
      </c>
      <c r="AT199" s="140">
        <v>0</v>
      </c>
      <c r="AU199" s="140">
        <v>0</v>
      </c>
      <c r="AV199" s="140">
        <v>28</v>
      </c>
      <c r="AW199" s="140">
        <v>49</v>
      </c>
      <c r="AX199" s="140">
        <v>17</v>
      </c>
      <c r="AY199" s="140">
        <v>0</v>
      </c>
      <c r="AZ199" s="140">
        <v>0</v>
      </c>
      <c r="BA199" s="140">
        <v>0</v>
      </c>
      <c r="BB199" s="140">
        <v>0</v>
      </c>
      <c r="BC199" s="140">
        <v>0</v>
      </c>
      <c r="BD199" s="140">
        <v>0</v>
      </c>
      <c r="BE199" s="140">
        <v>0</v>
      </c>
      <c r="BF199" s="140">
        <v>0</v>
      </c>
      <c r="BG199" s="140">
        <v>0</v>
      </c>
      <c r="BH199" s="140">
        <v>0</v>
      </c>
      <c r="BI199" s="140">
        <v>0</v>
      </c>
      <c r="BJ199" s="140">
        <v>0</v>
      </c>
      <c r="BK199" s="140">
        <v>0</v>
      </c>
      <c r="BL199" s="140">
        <v>0</v>
      </c>
      <c r="BM199" s="140">
        <v>0</v>
      </c>
      <c r="BN199" s="140">
        <v>0</v>
      </c>
      <c r="BO199" s="140">
        <v>0</v>
      </c>
      <c r="BX199" s="43">
        <v>4</v>
      </c>
      <c r="BZ199" s="90">
        <f>M199</f>
        <v>94</v>
      </c>
      <c r="CT199" s="90">
        <f t="shared" si="13"/>
        <v>94</v>
      </c>
      <c r="CU199" s="90">
        <f t="shared" si="14"/>
        <v>94</v>
      </c>
    </row>
    <row r="200" spans="1:99" ht="12" customHeight="1">
      <c r="A200" s="43">
        <v>244</v>
      </c>
      <c r="B200" s="89" t="s">
        <v>813</v>
      </c>
      <c r="C200" s="89" t="s">
        <v>835</v>
      </c>
      <c r="D200" s="89" t="s">
        <v>836</v>
      </c>
      <c r="F200" s="43">
        <v>526455</v>
      </c>
      <c r="G200" s="43">
        <v>175748</v>
      </c>
      <c r="H200" s="89" t="s">
        <v>177</v>
      </c>
      <c r="I200" s="125">
        <v>42487</v>
      </c>
      <c r="K200" s="140">
        <v>2</v>
      </c>
      <c r="L200" s="140">
        <v>18</v>
      </c>
      <c r="M200" s="140">
        <v>16</v>
      </c>
      <c r="N200" s="140">
        <v>18</v>
      </c>
      <c r="O200" s="140">
        <v>16</v>
      </c>
      <c r="P200" s="43" t="s">
        <v>329</v>
      </c>
      <c r="Q200" s="89" t="s">
        <v>837</v>
      </c>
      <c r="R200" s="43" t="s">
        <v>392</v>
      </c>
      <c r="S200" s="125">
        <v>41253</v>
      </c>
      <c r="T200" s="117">
        <v>41394</v>
      </c>
      <c r="V200" s="43" t="s">
        <v>317</v>
      </c>
      <c r="X200" s="43" t="s">
        <v>318</v>
      </c>
      <c r="Y200" s="43" t="s">
        <v>379</v>
      </c>
      <c r="Z200" s="43" t="s">
        <v>379</v>
      </c>
      <c r="AA200" s="43" t="s">
        <v>320</v>
      </c>
      <c r="AB200" s="144">
        <v>1.4999999664723899E-2</v>
      </c>
      <c r="AC200" s="125">
        <v>42487</v>
      </c>
      <c r="AF200" s="43" t="s">
        <v>75</v>
      </c>
      <c r="AG200" s="43" t="s">
        <v>322</v>
      </c>
      <c r="AH200" s="43" t="s">
        <v>838</v>
      </c>
      <c r="AJ200" s="140">
        <v>0</v>
      </c>
      <c r="AK200" s="140">
        <v>0</v>
      </c>
      <c r="AL200" s="140">
        <v>0</v>
      </c>
      <c r="AM200" s="140">
        <v>0</v>
      </c>
      <c r="AN200" s="140">
        <v>0</v>
      </c>
      <c r="AO200" s="140">
        <v>0</v>
      </c>
      <c r="AP200" s="140">
        <v>14</v>
      </c>
      <c r="AQ200" s="140">
        <v>2</v>
      </c>
      <c r="AR200" s="140">
        <v>0</v>
      </c>
      <c r="AS200" s="140">
        <v>0</v>
      </c>
      <c r="AT200" s="140">
        <v>0</v>
      </c>
      <c r="AU200" s="140">
        <v>0</v>
      </c>
      <c r="AV200" s="140">
        <v>0</v>
      </c>
      <c r="AW200" s="140">
        <v>14</v>
      </c>
      <c r="AX200" s="140">
        <v>2</v>
      </c>
      <c r="AY200" s="140">
        <v>0</v>
      </c>
      <c r="AZ200" s="140">
        <v>0</v>
      </c>
      <c r="BA200" s="140">
        <v>0</v>
      </c>
      <c r="BB200" s="140">
        <v>0</v>
      </c>
      <c r="BC200" s="140">
        <v>0</v>
      </c>
      <c r="BD200" s="140">
        <v>0</v>
      </c>
      <c r="BE200" s="140">
        <v>0</v>
      </c>
      <c r="BF200" s="140">
        <v>0</v>
      </c>
      <c r="BG200" s="140">
        <v>0</v>
      </c>
      <c r="BH200" s="140">
        <v>0</v>
      </c>
      <c r="BI200" s="140">
        <v>0</v>
      </c>
      <c r="BJ200" s="140">
        <v>0</v>
      </c>
      <c r="BK200" s="140">
        <v>0</v>
      </c>
      <c r="BL200" s="140">
        <v>0</v>
      </c>
      <c r="BM200" s="140">
        <v>0</v>
      </c>
      <c r="BN200" s="140">
        <v>0</v>
      </c>
      <c r="BO200" s="140">
        <v>0</v>
      </c>
      <c r="BV200" s="43" t="s">
        <v>329</v>
      </c>
      <c r="BX200" s="43">
        <v>13</v>
      </c>
      <c r="BZ200" s="90">
        <f>M200</f>
        <v>16</v>
      </c>
      <c r="CT200" s="90">
        <f t="shared" si="13"/>
        <v>16</v>
      </c>
      <c r="CU200" s="90">
        <f t="shared" si="14"/>
        <v>16</v>
      </c>
    </row>
    <row r="201" spans="1:99" ht="12" customHeight="1">
      <c r="A201" s="43">
        <v>322</v>
      </c>
      <c r="B201" s="89" t="s">
        <v>813</v>
      </c>
      <c r="C201" s="89" t="s">
        <v>839</v>
      </c>
      <c r="D201" s="89" t="s">
        <v>840</v>
      </c>
      <c r="F201" s="43">
        <v>527020</v>
      </c>
      <c r="G201" s="43">
        <v>176330</v>
      </c>
      <c r="H201" s="89" t="s">
        <v>177</v>
      </c>
      <c r="I201" s="125">
        <v>43592</v>
      </c>
      <c r="K201" s="140">
        <v>0</v>
      </c>
      <c r="L201" s="140">
        <v>71</v>
      </c>
      <c r="M201" s="140">
        <v>71</v>
      </c>
      <c r="N201" s="140">
        <v>71</v>
      </c>
      <c r="O201" s="140">
        <v>71</v>
      </c>
      <c r="P201" s="43" t="s">
        <v>329</v>
      </c>
      <c r="Q201" s="89" t="s">
        <v>841</v>
      </c>
      <c r="R201" s="43" t="s">
        <v>360</v>
      </c>
      <c r="S201" s="125">
        <v>42779</v>
      </c>
      <c r="T201" s="117">
        <v>43045</v>
      </c>
      <c r="V201" s="43" t="s">
        <v>317</v>
      </c>
      <c r="X201" s="43" t="s">
        <v>318</v>
      </c>
      <c r="Y201" s="43" t="s">
        <v>361</v>
      </c>
      <c r="Z201" s="43" t="s">
        <v>361</v>
      </c>
      <c r="AA201" s="43" t="s">
        <v>320</v>
      </c>
      <c r="AB201" s="144">
        <v>0.23700000345706901</v>
      </c>
      <c r="AC201" s="125">
        <v>43592</v>
      </c>
      <c r="AD201" s="43" t="s">
        <v>329</v>
      </c>
      <c r="AF201" s="43" t="s">
        <v>55</v>
      </c>
      <c r="AG201" s="43" t="s">
        <v>526</v>
      </c>
      <c r="AJ201" s="140">
        <v>71</v>
      </c>
      <c r="AK201" s="140">
        <v>0</v>
      </c>
      <c r="AL201" s="140">
        <v>8</v>
      </c>
      <c r="AM201" s="140">
        <v>8</v>
      </c>
      <c r="AN201" s="140">
        <v>0</v>
      </c>
      <c r="AO201" s="140">
        <v>15</v>
      </c>
      <c r="AP201" s="140">
        <v>39</v>
      </c>
      <c r="AQ201" s="140">
        <v>9</v>
      </c>
      <c r="AR201" s="140">
        <v>8</v>
      </c>
      <c r="AS201" s="140">
        <v>0</v>
      </c>
      <c r="AT201" s="140">
        <v>0</v>
      </c>
      <c r="AU201" s="140">
        <v>0</v>
      </c>
      <c r="AV201" s="140">
        <v>15</v>
      </c>
      <c r="AW201" s="140">
        <v>39</v>
      </c>
      <c r="AX201" s="140">
        <v>9</v>
      </c>
      <c r="AY201" s="140">
        <v>8</v>
      </c>
      <c r="AZ201" s="140">
        <v>0</v>
      </c>
      <c r="BA201" s="140">
        <v>0</v>
      </c>
      <c r="BB201" s="140">
        <v>0</v>
      </c>
      <c r="BC201" s="140">
        <v>0</v>
      </c>
      <c r="BD201" s="140">
        <v>0</v>
      </c>
      <c r="BE201" s="140">
        <v>0</v>
      </c>
      <c r="BF201" s="140">
        <v>0</v>
      </c>
      <c r="BG201" s="140">
        <v>0</v>
      </c>
      <c r="BH201" s="140">
        <v>0</v>
      </c>
      <c r="BI201" s="140">
        <v>0</v>
      </c>
      <c r="BJ201" s="140">
        <v>0</v>
      </c>
      <c r="BK201" s="140">
        <v>0</v>
      </c>
      <c r="BL201" s="140">
        <v>0</v>
      </c>
      <c r="BM201" s="140">
        <v>0</v>
      </c>
      <c r="BN201" s="140">
        <v>0</v>
      </c>
      <c r="BO201" s="140">
        <v>0</v>
      </c>
      <c r="BX201" s="43">
        <v>4</v>
      </c>
      <c r="CA201" s="90">
        <f>M201</f>
        <v>71</v>
      </c>
      <c r="CT201" s="90">
        <f t="shared" si="13"/>
        <v>71</v>
      </c>
      <c r="CU201" s="90">
        <f t="shared" si="14"/>
        <v>71</v>
      </c>
    </row>
    <row r="202" spans="1:99" ht="12" customHeight="1">
      <c r="A202" s="43">
        <v>340</v>
      </c>
      <c r="B202" s="89" t="s">
        <v>813</v>
      </c>
      <c r="C202" s="89" t="s">
        <v>842</v>
      </c>
      <c r="D202" s="89" t="s">
        <v>843</v>
      </c>
      <c r="F202" s="43">
        <v>528898</v>
      </c>
      <c r="G202" s="43">
        <v>171088</v>
      </c>
      <c r="H202" s="89" t="s">
        <v>171</v>
      </c>
      <c r="I202" s="125">
        <v>43921</v>
      </c>
      <c r="K202" s="140">
        <v>0</v>
      </c>
      <c r="L202" s="140">
        <v>2</v>
      </c>
      <c r="M202" s="140">
        <v>2</v>
      </c>
      <c r="N202" s="140">
        <v>2</v>
      </c>
      <c r="O202" s="140">
        <v>2</v>
      </c>
      <c r="Q202" s="89" t="s">
        <v>844</v>
      </c>
      <c r="R202" s="43" t="s">
        <v>443</v>
      </c>
      <c r="S202" s="125">
        <v>43651</v>
      </c>
      <c r="T202" s="117">
        <v>43693</v>
      </c>
      <c r="U202" s="43" t="s">
        <v>329</v>
      </c>
      <c r="V202" s="43" t="s">
        <v>317</v>
      </c>
      <c r="X202" s="43" t="s">
        <v>318</v>
      </c>
      <c r="Y202" s="43" t="s">
        <v>336</v>
      </c>
      <c r="Z202" s="43" t="s">
        <v>320</v>
      </c>
      <c r="AA202" s="43" t="s">
        <v>33</v>
      </c>
      <c r="AB202" s="144">
        <v>4.9999998882412902E-3</v>
      </c>
      <c r="AC202" s="125">
        <v>43921</v>
      </c>
      <c r="AD202" s="43" t="s">
        <v>329</v>
      </c>
      <c r="AF202" s="43" t="s">
        <v>75</v>
      </c>
      <c r="AG202" s="43" t="s">
        <v>322</v>
      </c>
      <c r="AJ202" s="140">
        <v>0</v>
      </c>
      <c r="AK202" s="140">
        <v>0</v>
      </c>
      <c r="AL202" s="140">
        <v>0</v>
      </c>
      <c r="AM202" s="140">
        <v>0</v>
      </c>
      <c r="AN202" s="140">
        <v>0</v>
      </c>
      <c r="AO202" s="140">
        <v>2</v>
      </c>
      <c r="AP202" s="140">
        <v>0</v>
      </c>
      <c r="AQ202" s="140">
        <v>0</v>
      </c>
      <c r="AR202" s="140">
        <v>0</v>
      </c>
      <c r="AS202" s="140">
        <v>0</v>
      </c>
      <c r="AT202" s="140">
        <v>0</v>
      </c>
      <c r="AU202" s="140">
        <v>0</v>
      </c>
      <c r="AV202" s="140">
        <v>2</v>
      </c>
      <c r="AW202" s="140">
        <v>0</v>
      </c>
      <c r="AX202" s="140">
        <v>0</v>
      </c>
      <c r="AY202" s="140">
        <v>0</v>
      </c>
      <c r="AZ202" s="140">
        <v>0</v>
      </c>
      <c r="BA202" s="140">
        <v>0</v>
      </c>
      <c r="BB202" s="140">
        <v>0</v>
      </c>
      <c r="BC202" s="140">
        <v>0</v>
      </c>
      <c r="BD202" s="140">
        <v>0</v>
      </c>
      <c r="BE202" s="140">
        <v>0</v>
      </c>
      <c r="BF202" s="140">
        <v>0</v>
      </c>
      <c r="BG202" s="140">
        <v>0</v>
      </c>
      <c r="BH202" s="140">
        <v>0</v>
      </c>
      <c r="BI202" s="140">
        <v>0</v>
      </c>
      <c r="BJ202" s="140">
        <v>0</v>
      </c>
      <c r="BK202" s="140">
        <v>0</v>
      </c>
      <c r="BL202" s="140">
        <v>0</v>
      </c>
      <c r="BM202" s="140">
        <v>0</v>
      </c>
      <c r="BN202" s="140">
        <v>0</v>
      </c>
      <c r="BO202" s="140">
        <v>0</v>
      </c>
      <c r="BX202" s="43">
        <v>14</v>
      </c>
      <c r="BZ202" s="90">
        <f>$M202/2</f>
        <v>1</v>
      </c>
      <c r="CA202" s="90">
        <f>$M202/2</f>
        <v>1</v>
      </c>
      <c r="CT202" s="90">
        <f t="shared" si="13"/>
        <v>2</v>
      </c>
      <c r="CU202" s="90">
        <f t="shared" si="14"/>
        <v>2</v>
      </c>
    </row>
    <row r="203" spans="1:99" ht="12" customHeight="1">
      <c r="A203" s="43">
        <v>364</v>
      </c>
      <c r="B203" s="89" t="s">
        <v>813</v>
      </c>
      <c r="C203" s="89" t="s">
        <v>845</v>
      </c>
      <c r="D203" s="89" t="s">
        <v>846</v>
      </c>
      <c r="F203" s="43">
        <v>524358</v>
      </c>
      <c r="G203" s="43">
        <v>175314</v>
      </c>
      <c r="H203" s="89" t="s">
        <v>178</v>
      </c>
      <c r="I203" s="125">
        <v>41765</v>
      </c>
      <c r="K203" s="140">
        <v>0</v>
      </c>
      <c r="L203" s="140">
        <v>1</v>
      </c>
      <c r="M203" s="140">
        <v>1</v>
      </c>
      <c r="N203" s="140">
        <v>1</v>
      </c>
      <c r="O203" s="140">
        <v>1</v>
      </c>
      <c r="Q203" s="89" t="s">
        <v>847</v>
      </c>
      <c r="R203" s="43" t="s">
        <v>316</v>
      </c>
      <c r="S203" s="125">
        <v>41093</v>
      </c>
      <c r="T203" s="117">
        <v>41201</v>
      </c>
      <c r="V203" s="43" t="s">
        <v>317</v>
      </c>
      <c r="X203" s="43" t="s">
        <v>318</v>
      </c>
      <c r="Y203" s="43" t="s">
        <v>361</v>
      </c>
      <c r="Z203" s="43" t="s">
        <v>320</v>
      </c>
      <c r="AA203" s="43" t="s">
        <v>353</v>
      </c>
      <c r="AB203" s="144">
        <v>1.30000002682209E-2</v>
      </c>
      <c r="AC203" s="125">
        <v>41765</v>
      </c>
      <c r="AF203" s="43" t="s">
        <v>75</v>
      </c>
      <c r="AG203" s="43" t="s">
        <v>322</v>
      </c>
      <c r="AJ203" s="140">
        <v>0</v>
      </c>
      <c r="AK203" s="140">
        <v>0</v>
      </c>
      <c r="AL203" s="140">
        <v>0</v>
      </c>
      <c r="AM203" s="140">
        <v>0</v>
      </c>
      <c r="AN203" s="140">
        <v>0</v>
      </c>
      <c r="AO203" s="140">
        <v>0</v>
      </c>
      <c r="AP203" s="140">
        <v>0</v>
      </c>
      <c r="AQ203" s="140">
        <v>1</v>
      </c>
      <c r="AR203" s="140">
        <v>0</v>
      </c>
      <c r="AS203" s="140">
        <v>0</v>
      </c>
      <c r="AT203" s="140">
        <v>0</v>
      </c>
      <c r="AU203" s="140">
        <v>0</v>
      </c>
      <c r="AV203" s="140">
        <v>0</v>
      </c>
      <c r="AW203" s="140">
        <v>0</v>
      </c>
      <c r="AX203" s="140">
        <v>0</v>
      </c>
      <c r="AY203" s="140">
        <v>0</v>
      </c>
      <c r="AZ203" s="140">
        <v>0</v>
      </c>
      <c r="BA203" s="140">
        <v>0</v>
      </c>
      <c r="BB203" s="140">
        <v>0</v>
      </c>
      <c r="BC203" s="140">
        <v>0</v>
      </c>
      <c r="BD203" s="140">
        <v>0</v>
      </c>
      <c r="BE203" s="140">
        <v>1</v>
      </c>
      <c r="BF203" s="140">
        <v>0</v>
      </c>
      <c r="BG203" s="140">
        <v>0</v>
      </c>
      <c r="BH203" s="140">
        <v>0</v>
      </c>
      <c r="BI203" s="140">
        <v>0</v>
      </c>
      <c r="BJ203" s="140">
        <v>0</v>
      </c>
      <c r="BK203" s="140">
        <v>0</v>
      </c>
      <c r="BL203" s="140">
        <v>0</v>
      </c>
      <c r="BM203" s="140">
        <v>0</v>
      </c>
      <c r="BN203" s="140">
        <v>0</v>
      </c>
      <c r="BO203" s="140">
        <v>0</v>
      </c>
      <c r="BX203" s="43">
        <v>2</v>
      </c>
      <c r="BZ203" s="90">
        <f>M203</f>
        <v>1</v>
      </c>
      <c r="CT203" s="90">
        <f t="shared" si="13"/>
        <v>1</v>
      </c>
      <c r="CU203" s="90">
        <f t="shared" si="14"/>
        <v>1</v>
      </c>
    </row>
    <row r="204" spans="1:99" ht="12" customHeight="1">
      <c r="A204" s="43">
        <v>365</v>
      </c>
      <c r="B204" s="89" t="s">
        <v>813</v>
      </c>
      <c r="C204" s="89" t="s">
        <v>848</v>
      </c>
      <c r="D204" s="89" t="s">
        <v>849</v>
      </c>
      <c r="E204" s="89" t="s">
        <v>850</v>
      </c>
      <c r="F204" s="43">
        <v>530104</v>
      </c>
      <c r="G204" s="43">
        <v>177808</v>
      </c>
      <c r="H204" s="89" t="s">
        <v>148</v>
      </c>
      <c r="I204" s="125">
        <v>42228</v>
      </c>
      <c r="K204" s="140">
        <v>0</v>
      </c>
      <c r="L204" s="140">
        <v>57</v>
      </c>
      <c r="M204" s="140">
        <v>57</v>
      </c>
      <c r="N204" s="140">
        <v>57</v>
      </c>
      <c r="O204" s="140">
        <v>57</v>
      </c>
      <c r="P204" s="43" t="s">
        <v>329</v>
      </c>
      <c r="Q204" s="89" t="s">
        <v>851</v>
      </c>
      <c r="R204" s="43" t="s">
        <v>406</v>
      </c>
      <c r="S204" s="125">
        <v>41920</v>
      </c>
      <c r="T204" s="117">
        <v>42016</v>
      </c>
      <c r="V204" s="43" t="s">
        <v>317</v>
      </c>
      <c r="X204" s="43" t="s">
        <v>318</v>
      </c>
      <c r="Y204" s="43" t="s">
        <v>361</v>
      </c>
      <c r="Z204" s="43" t="s">
        <v>361</v>
      </c>
      <c r="AA204" s="43" t="s">
        <v>320</v>
      </c>
      <c r="AB204" s="144">
        <v>1.4000000432133701E-2</v>
      </c>
      <c r="AC204" s="125">
        <v>42228</v>
      </c>
      <c r="AF204" s="43" t="s">
        <v>54</v>
      </c>
      <c r="AG204" s="43" t="s">
        <v>399</v>
      </c>
      <c r="AH204" s="43" t="s">
        <v>852</v>
      </c>
      <c r="AJ204" s="140">
        <v>57</v>
      </c>
      <c r="AK204" s="140">
        <v>0</v>
      </c>
      <c r="AL204" s="140">
        <v>6</v>
      </c>
      <c r="AM204" s="140">
        <v>0</v>
      </c>
      <c r="AN204" s="140">
        <v>0</v>
      </c>
      <c r="AO204" s="140">
        <v>35</v>
      </c>
      <c r="AP204" s="140">
        <v>22</v>
      </c>
      <c r="AQ204" s="140">
        <v>0</v>
      </c>
      <c r="AR204" s="140">
        <v>0</v>
      </c>
      <c r="AS204" s="140">
        <v>0</v>
      </c>
      <c r="AT204" s="140">
        <v>0</v>
      </c>
      <c r="AU204" s="140">
        <v>0</v>
      </c>
      <c r="AV204" s="140">
        <v>35</v>
      </c>
      <c r="AW204" s="140">
        <v>22</v>
      </c>
      <c r="AX204" s="140">
        <v>0</v>
      </c>
      <c r="AY204" s="140">
        <v>0</v>
      </c>
      <c r="AZ204" s="140">
        <v>0</v>
      </c>
      <c r="BA204" s="140">
        <v>0</v>
      </c>
      <c r="BB204" s="140">
        <v>0</v>
      </c>
      <c r="BC204" s="140">
        <v>0</v>
      </c>
      <c r="BD204" s="140">
        <v>0</v>
      </c>
      <c r="BE204" s="140">
        <v>0</v>
      </c>
      <c r="BF204" s="140">
        <v>0</v>
      </c>
      <c r="BG204" s="140">
        <v>0</v>
      </c>
      <c r="BH204" s="140">
        <v>0</v>
      </c>
      <c r="BI204" s="140">
        <v>0</v>
      </c>
      <c r="BJ204" s="140">
        <v>0</v>
      </c>
      <c r="BK204" s="140">
        <v>0</v>
      </c>
      <c r="BL204" s="140">
        <v>0</v>
      </c>
      <c r="BM204" s="140">
        <v>0</v>
      </c>
      <c r="BN204" s="140">
        <v>0</v>
      </c>
      <c r="BO204" s="140">
        <v>0</v>
      </c>
      <c r="BQ204" s="43" t="s">
        <v>329</v>
      </c>
      <c r="BX204" s="43">
        <v>21</v>
      </c>
      <c r="CA204" s="90">
        <f>M204</f>
        <v>57</v>
      </c>
      <c r="CT204" s="90">
        <f t="shared" si="13"/>
        <v>57</v>
      </c>
      <c r="CU204" s="90">
        <f t="shared" si="14"/>
        <v>57</v>
      </c>
    </row>
    <row r="205" spans="1:99" ht="12" customHeight="1">
      <c r="A205" s="43">
        <v>365</v>
      </c>
      <c r="B205" s="89" t="s">
        <v>813</v>
      </c>
      <c r="C205" s="89" t="s">
        <v>853</v>
      </c>
      <c r="D205" s="89" t="s">
        <v>849</v>
      </c>
      <c r="F205" s="43">
        <v>530104</v>
      </c>
      <c r="G205" s="43">
        <v>177808</v>
      </c>
      <c r="H205" s="89" t="s">
        <v>148</v>
      </c>
      <c r="I205" s="125">
        <v>42228</v>
      </c>
      <c r="K205" s="140">
        <v>0</v>
      </c>
      <c r="L205" s="140">
        <v>437</v>
      </c>
      <c r="M205" s="140">
        <v>437</v>
      </c>
      <c r="N205" s="140">
        <v>437</v>
      </c>
      <c r="O205" s="140">
        <v>437</v>
      </c>
      <c r="P205" s="43" t="s">
        <v>329</v>
      </c>
      <c r="Q205" s="89" t="s">
        <v>854</v>
      </c>
      <c r="R205" s="43" t="s">
        <v>406</v>
      </c>
      <c r="S205" s="125">
        <v>42536</v>
      </c>
      <c r="T205" s="117">
        <v>42542</v>
      </c>
      <c r="V205" s="43" t="s">
        <v>317</v>
      </c>
      <c r="X205" s="43" t="s">
        <v>318</v>
      </c>
      <c r="Y205" s="43" t="s">
        <v>361</v>
      </c>
      <c r="Z205" s="43" t="s">
        <v>361</v>
      </c>
      <c r="AA205" s="43" t="s">
        <v>320</v>
      </c>
      <c r="AB205" s="144">
        <v>0.25200000405311601</v>
      </c>
      <c r="AC205" s="125">
        <v>42228</v>
      </c>
      <c r="AF205" s="43" t="s">
        <v>75</v>
      </c>
      <c r="AG205" s="43" t="s">
        <v>322</v>
      </c>
      <c r="AH205" s="43" t="s">
        <v>852</v>
      </c>
      <c r="AJ205" s="140">
        <v>0</v>
      </c>
      <c r="AK205" s="140">
        <v>44</v>
      </c>
      <c r="AL205" s="140">
        <v>0</v>
      </c>
      <c r="AM205" s="140">
        <v>395</v>
      </c>
      <c r="AN205" s="140">
        <v>0</v>
      </c>
      <c r="AO205" s="140">
        <v>117</v>
      </c>
      <c r="AP205" s="140">
        <v>181</v>
      </c>
      <c r="AQ205" s="140">
        <v>129</v>
      </c>
      <c r="AR205" s="140">
        <v>10</v>
      </c>
      <c r="AS205" s="140">
        <v>0</v>
      </c>
      <c r="AT205" s="140">
        <v>0</v>
      </c>
      <c r="AU205" s="140">
        <v>0</v>
      </c>
      <c r="AV205" s="140">
        <v>117</v>
      </c>
      <c r="AW205" s="140">
        <v>181</v>
      </c>
      <c r="AX205" s="140">
        <v>129</v>
      </c>
      <c r="AY205" s="140">
        <v>10</v>
      </c>
      <c r="AZ205" s="140">
        <v>0</v>
      </c>
      <c r="BA205" s="140">
        <v>0</v>
      </c>
      <c r="BB205" s="140">
        <v>0</v>
      </c>
      <c r="BC205" s="140">
        <v>0</v>
      </c>
      <c r="BD205" s="140">
        <v>0</v>
      </c>
      <c r="BE205" s="140">
        <v>0</v>
      </c>
      <c r="BF205" s="140">
        <v>0</v>
      </c>
      <c r="BG205" s="140">
        <v>0</v>
      </c>
      <c r="BH205" s="140">
        <v>0</v>
      </c>
      <c r="BI205" s="140">
        <v>0</v>
      </c>
      <c r="BJ205" s="140">
        <v>0</v>
      </c>
      <c r="BK205" s="140">
        <v>0</v>
      </c>
      <c r="BL205" s="140">
        <v>0</v>
      </c>
      <c r="BM205" s="140">
        <v>0</v>
      </c>
      <c r="BN205" s="140">
        <v>0</v>
      </c>
      <c r="BO205" s="140">
        <v>0</v>
      </c>
      <c r="BQ205" s="43" t="s">
        <v>329</v>
      </c>
      <c r="BX205" s="43">
        <v>21</v>
      </c>
      <c r="CA205" s="90">
        <f>M205</f>
        <v>437</v>
      </c>
      <c r="CT205" s="90">
        <f t="shared" si="13"/>
        <v>437</v>
      </c>
      <c r="CU205" s="90">
        <f t="shared" si="14"/>
        <v>437</v>
      </c>
    </row>
    <row r="206" spans="1:99" ht="12" customHeight="1">
      <c r="A206" s="43">
        <v>457</v>
      </c>
      <c r="B206" s="89" t="s">
        <v>813</v>
      </c>
      <c r="C206" s="89" t="s">
        <v>855</v>
      </c>
      <c r="D206" s="89" t="s">
        <v>856</v>
      </c>
      <c r="F206" s="43">
        <v>529185</v>
      </c>
      <c r="G206" s="43">
        <v>170570</v>
      </c>
      <c r="H206" s="89" t="s">
        <v>171</v>
      </c>
      <c r="I206" s="125">
        <v>43766</v>
      </c>
      <c r="K206" s="140">
        <v>0</v>
      </c>
      <c r="L206" s="140">
        <v>1</v>
      </c>
      <c r="M206" s="140">
        <v>1</v>
      </c>
      <c r="N206" s="140">
        <v>1</v>
      </c>
      <c r="O206" s="140">
        <v>1</v>
      </c>
      <c r="Q206" s="89" t="s">
        <v>857</v>
      </c>
      <c r="R206" s="43" t="s">
        <v>316</v>
      </c>
      <c r="S206" s="125">
        <v>42900</v>
      </c>
      <c r="T206" s="117">
        <v>43032</v>
      </c>
      <c r="V206" s="43" t="s">
        <v>317</v>
      </c>
      <c r="X206" s="43" t="s">
        <v>318</v>
      </c>
      <c r="Y206" s="43" t="s">
        <v>361</v>
      </c>
      <c r="Z206" s="43" t="s">
        <v>320</v>
      </c>
      <c r="AA206" s="43" t="s">
        <v>353</v>
      </c>
      <c r="AB206" s="144">
        <v>1.60000007599592E-2</v>
      </c>
      <c r="AC206" s="125">
        <v>43766</v>
      </c>
      <c r="AD206" s="43" t="s">
        <v>329</v>
      </c>
      <c r="AF206" s="43" t="s">
        <v>75</v>
      </c>
      <c r="AG206" s="43" t="s">
        <v>322</v>
      </c>
      <c r="AJ206" s="140">
        <v>0</v>
      </c>
      <c r="AK206" s="140">
        <v>0</v>
      </c>
      <c r="AL206" s="140">
        <v>0</v>
      </c>
      <c r="AM206" s="140">
        <v>0</v>
      </c>
      <c r="AN206" s="140">
        <v>0</v>
      </c>
      <c r="AO206" s="140">
        <v>1</v>
      </c>
      <c r="AP206" s="140">
        <v>0</v>
      </c>
      <c r="AQ206" s="140">
        <v>0</v>
      </c>
      <c r="AR206" s="140">
        <v>0</v>
      </c>
      <c r="AS206" s="140">
        <v>0</v>
      </c>
      <c r="AT206" s="140">
        <v>0</v>
      </c>
      <c r="AU206" s="140">
        <v>0</v>
      </c>
      <c r="AV206" s="140">
        <v>0</v>
      </c>
      <c r="AW206" s="140">
        <v>0</v>
      </c>
      <c r="AX206" s="140">
        <v>0</v>
      </c>
      <c r="AY206" s="140">
        <v>0</v>
      </c>
      <c r="AZ206" s="140">
        <v>0</v>
      </c>
      <c r="BA206" s="140">
        <v>0</v>
      </c>
      <c r="BB206" s="140">
        <v>0</v>
      </c>
      <c r="BC206" s="140">
        <v>1</v>
      </c>
      <c r="BD206" s="140">
        <v>0</v>
      </c>
      <c r="BE206" s="140">
        <v>0</v>
      </c>
      <c r="BF206" s="140">
        <v>0</v>
      </c>
      <c r="BG206" s="140">
        <v>0</v>
      </c>
      <c r="BH206" s="140">
        <v>0</v>
      </c>
      <c r="BI206" s="140">
        <v>0</v>
      </c>
      <c r="BJ206" s="140">
        <v>0</v>
      </c>
      <c r="BK206" s="140">
        <v>0</v>
      </c>
      <c r="BL206" s="140">
        <v>0</v>
      </c>
      <c r="BM206" s="140">
        <v>0</v>
      </c>
      <c r="BN206" s="140">
        <v>0</v>
      </c>
      <c r="BO206" s="140">
        <v>0</v>
      </c>
      <c r="BX206" s="43">
        <v>3</v>
      </c>
      <c r="BZ206" s="90">
        <f>$M206/2</f>
        <v>0.5</v>
      </c>
      <c r="CA206" s="90">
        <f>$M206/2</f>
        <v>0.5</v>
      </c>
      <c r="CT206" s="90">
        <f t="shared" si="13"/>
        <v>1</v>
      </c>
      <c r="CU206" s="90">
        <f t="shared" si="14"/>
        <v>1</v>
      </c>
    </row>
    <row r="207" spans="1:99" ht="12" customHeight="1">
      <c r="A207" s="43">
        <v>463</v>
      </c>
      <c r="B207" s="89" t="s">
        <v>813</v>
      </c>
      <c r="C207" s="89" t="s">
        <v>858</v>
      </c>
      <c r="D207" s="89" t="s">
        <v>859</v>
      </c>
      <c r="F207" s="43">
        <v>527418</v>
      </c>
      <c r="G207" s="43">
        <v>176670</v>
      </c>
      <c r="H207" s="89" t="s">
        <v>177</v>
      </c>
      <c r="I207" s="125">
        <v>43555</v>
      </c>
      <c r="K207" s="140">
        <v>0</v>
      </c>
      <c r="L207" s="140">
        <v>2</v>
      </c>
      <c r="M207" s="140">
        <v>2</v>
      </c>
      <c r="N207" s="140">
        <v>2</v>
      </c>
      <c r="O207" s="140">
        <v>2</v>
      </c>
      <c r="Q207" s="89" t="s">
        <v>860</v>
      </c>
      <c r="R207" s="43" t="s">
        <v>316</v>
      </c>
      <c r="S207" s="125">
        <v>43133</v>
      </c>
      <c r="T207" s="117">
        <v>43285</v>
      </c>
      <c r="V207" s="43" t="s">
        <v>317</v>
      </c>
      <c r="X207" s="43" t="s">
        <v>318</v>
      </c>
      <c r="Y207" s="43" t="s">
        <v>361</v>
      </c>
      <c r="Z207" s="43" t="s">
        <v>320</v>
      </c>
      <c r="AA207" s="43" t="s">
        <v>353</v>
      </c>
      <c r="AB207" s="144">
        <v>3.7999998778104803E-2</v>
      </c>
      <c r="AC207" s="125">
        <v>43555</v>
      </c>
      <c r="AF207" s="43" t="s">
        <v>75</v>
      </c>
      <c r="AG207" s="43" t="s">
        <v>322</v>
      </c>
      <c r="AJ207" s="140">
        <v>0</v>
      </c>
      <c r="AK207" s="140">
        <v>0</v>
      </c>
      <c r="AL207" s="140">
        <v>0</v>
      </c>
      <c r="AM207" s="140">
        <v>0</v>
      </c>
      <c r="AN207" s="140">
        <v>0</v>
      </c>
      <c r="AO207" s="140">
        <v>0</v>
      </c>
      <c r="AP207" s="140">
        <v>0</v>
      </c>
      <c r="AQ207" s="140">
        <v>2</v>
      </c>
      <c r="AR207" s="140">
        <v>0</v>
      </c>
      <c r="AS207" s="140">
        <v>0</v>
      </c>
      <c r="AT207" s="140">
        <v>0</v>
      </c>
      <c r="AU207" s="140">
        <v>0</v>
      </c>
      <c r="AV207" s="140">
        <v>0</v>
      </c>
      <c r="AW207" s="140">
        <v>0</v>
      </c>
      <c r="AX207" s="140">
        <v>0</v>
      </c>
      <c r="AY207" s="140">
        <v>0</v>
      </c>
      <c r="AZ207" s="140">
        <v>0</v>
      </c>
      <c r="BA207" s="140">
        <v>0</v>
      </c>
      <c r="BB207" s="140">
        <v>0</v>
      </c>
      <c r="BC207" s="140">
        <v>0</v>
      </c>
      <c r="BD207" s="140">
        <v>0</v>
      </c>
      <c r="BE207" s="140">
        <v>2</v>
      </c>
      <c r="BF207" s="140">
        <v>0</v>
      </c>
      <c r="BG207" s="140">
        <v>0</v>
      </c>
      <c r="BH207" s="140">
        <v>0</v>
      </c>
      <c r="BI207" s="140">
        <v>0</v>
      </c>
      <c r="BJ207" s="140">
        <v>0</v>
      </c>
      <c r="BK207" s="140">
        <v>0</v>
      </c>
      <c r="BL207" s="140">
        <v>0</v>
      </c>
      <c r="BM207" s="140">
        <v>0</v>
      </c>
      <c r="BN207" s="140">
        <v>0</v>
      </c>
      <c r="BO207" s="140">
        <v>0</v>
      </c>
      <c r="BX207" s="43">
        <v>2</v>
      </c>
      <c r="BZ207" s="90">
        <f>M207</f>
        <v>2</v>
      </c>
      <c r="CT207" s="90">
        <f t="shared" si="13"/>
        <v>2</v>
      </c>
      <c r="CU207" s="90">
        <f t="shared" si="14"/>
        <v>2</v>
      </c>
    </row>
    <row r="208" spans="1:99" ht="12" customHeight="1">
      <c r="A208" s="43">
        <v>466</v>
      </c>
      <c r="B208" s="89" t="s">
        <v>813</v>
      </c>
      <c r="C208" s="89" t="s">
        <v>861</v>
      </c>
      <c r="D208" s="89" t="s">
        <v>862</v>
      </c>
      <c r="F208" s="43">
        <v>528790</v>
      </c>
      <c r="G208" s="43">
        <v>173785</v>
      </c>
      <c r="H208" s="89" t="s">
        <v>138</v>
      </c>
      <c r="I208" s="125">
        <v>43921</v>
      </c>
      <c r="K208" s="140">
        <v>1</v>
      </c>
      <c r="L208" s="140">
        <v>2</v>
      </c>
      <c r="M208" s="140">
        <v>1</v>
      </c>
      <c r="N208" s="140">
        <v>2</v>
      </c>
      <c r="O208" s="140">
        <v>1</v>
      </c>
      <c r="Q208" s="89" t="s">
        <v>863</v>
      </c>
      <c r="R208" s="43" t="s">
        <v>316</v>
      </c>
      <c r="S208" s="125">
        <v>43124</v>
      </c>
      <c r="T208" s="117">
        <v>43180</v>
      </c>
      <c r="V208" s="43" t="s">
        <v>317</v>
      </c>
      <c r="X208" s="43" t="s">
        <v>318</v>
      </c>
      <c r="Y208" s="43" t="s">
        <v>348</v>
      </c>
      <c r="Z208" s="43" t="s">
        <v>320</v>
      </c>
      <c r="AA208" s="43" t="s">
        <v>321</v>
      </c>
      <c r="AB208" s="144">
        <v>6.0000000521540598E-3</v>
      </c>
      <c r="AC208" s="125">
        <v>43921</v>
      </c>
      <c r="AD208" s="43" t="s">
        <v>329</v>
      </c>
      <c r="AF208" s="43" t="s">
        <v>75</v>
      </c>
      <c r="AG208" s="43" t="s">
        <v>322</v>
      </c>
      <c r="AJ208" s="140">
        <v>0</v>
      </c>
      <c r="AK208" s="140">
        <v>0</v>
      </c>
      <c r="AL208" s="140">
        <v>0</v>
      </c>
      <c r="AM208" s="140">
        <v>0</v>
      </c>
      <c r="AN208" s="140">
        <v>0</v>
      </c>
      <c r="AO208" s="140">
        <v>2</v>
      </c>
      <c r="AP208" s="140">
        <v>0</v>
      </c>
      <c r="AQ208" s="140">
        <v>0</v>
      </c>
      <c r="AR208" s="140">
        <v>-1</v>
      </c>
      <c r="AS208" s="140">
        <v>0</v>
      </c>
      <c r="AT208" s="140">
        <v>0</v>
      </c>
      <c r="AU208" s="140">
        <v>0</v>
      </c>
      <c r="AV208" s="140">
        <v>2</v>
      </c>
      <c r="AW208" s="140">
        <v>0</v>
      </c>
      <c r="AX208" s="140">
        <v>0</v>
      </c>
      <c r="AY208" s="140">
        <v>-1</v>
      </c>
      <c r="AZ208" s="140">
        <v>0</v>
      </c>
      <c r="BA208" s="140">
        <v>0</v>
      </c>
      <c r="BB208" s="140">
        <v>0</v>
      </c>
      <c r="BC208" s="140">
        <v>0</v>
      </c>
      <c r="BD208" s="140">
        <v>0</v>
      </c>
      <c r="BE208" s="140">
        <v>0</v>
      </c>
      <c r="BF208" s="140">
        <v>0</v>
      </c>
      <c r="BG208" s="140">
        <v>0</v>
      </c>
      <c r="BH208" s="140">
        <v>0</v>
      </c>
      <c r="BI208" s="140">
        <v>0</v>
      </c>
      <c r="BJ208" s="140">
        <v>0</v>
      </c>
      <c r="BK208" s="140">
        <v>0</v>
      </c>
      <c r="BL208" s="140">
        <v>0</v>
      </c>
      <c r="BM208" s="140">
        <v>0</v>
      </c>
      <c r="BN208" s="140">
        <v>0</v>
      </c>
      <c r="BO208" s="140">
        <v>0</v>
      </c>
      <c r="BX208" s="43">
        <v>14</v>
      </c>
      <c r="BZ208" s="90">
        <f>$M208/2</f>
        <v>0.5</v>
      </c>
      <c r="CA208" s="90">
        <f>$M208/2</f>
        <v>0.5</v>
      </c>
      <c r="CT208" s="90">
        <f t="shared" si="13"/>
        <v>1</v>
      </c>
      <c r="CU208" s="90">
        <f t="shared" si="14"/>
        <v>1</v>
      </c>
    </row>
    <row r="209" spans="1:99" ht="12" customHeight="1">
      <c r="A209" s="43">
        <v>494</v>
      </c>
      <c r="B209" s="89" t="s">
        <v>813</v>
      </c>
      <c r="C209" s="89" t="s">
        <v>864</v>
      </c>
      <c r="D209" s="89" t="s">
        <v>865</v>
      </c>
      <c r="F209" s="43">
        <v>524885</v>
      </c>
      <c r="G209" s="43">
        <v>174590</v>
      </c>
      <c r="H209" s="89" t="s">
        <v>169</v>
      </c>
      <c r="I209" s="125">
        <v>42830</v>
      </c>
      <c r="K209" s="140">
        <v>0</v>
      </c>
      <c r="L209" s="140">
        <v>8</v>
      </c>
      <c r="M209" s="140">
        <v>8</v>
      </c>
      <c r="N209" s="140">
        <v>8</v>
      </c>
      <c r="O209" s="140">
        <v>8</v>
      </c>
      <c r="Q209" s="89" t="s">
        <v>866</v>
      </c>
      <c r="R209" s="43" t="s">
        <v>316</v>
      </c>
      <c r="S209" s="125">
        <v>41864</v>
      </c>
      <c r="T209" s="117">
        <v>42181</v>
      </c>
      <c r="V209" s="43" t="s">
        <v>317</v>
      </c>
      <c r="X209" s="43" t="s">
        <v>318</v>
      </c>
      <c r="Y209" s="43" t="s">
        <v>319</v>
      </c>
      <c r="Z209" s="43" t="s">
        <v>320</v>
      </c>
      <c r="AA209" s="43" t="s">
        <v>36</v>
      </c>
      <c r="AB209" s="144">
        <v>3.9999999105930301E-2</v>
      </c>
      <c r="AC209" s="125">
        <v>42830</v>
      </c>
      <c r="AF209" s="43" t="s">
        <v>75</v>
      </c>
      <c r="AG209" s="43" t="s">
        <v>322</v>
      </c>
      <c r="AJ209" s="140">
        <v>0</v>
      </c>
      <c r="AK209" s="140">
        <v>0</v>
      </c>
      <c r="AL209" s="140">
        <v>0</v>
      </c>
      <c r="AM209" s="140">
        <v>0</v>
      </c>
      <c r="AN209" s="140">
        <v>0</v>
      </c>
      <c r="AO209" s="140">
        <v>2</v>
      </c>
      <c r="AP209" s="140">
        <v>4</v>
      </c>
      <c r="AQ209" s="140">
        <v>2</v>
      </c>
      <c r="AR209" s="140">
        <v>0</v>
      </c>
      <c r="AS209" s="140">
        <v>0</v>
      </c>
      <c r="AT209" s="140">
        <v>0</v>
      </c>
      <c r="AU209" s="140">
        <v>0</v>
      </c>
      <c r="AV209" s="140">
        <v>2</v>
      </c>
      <c r="AW209" s="140">
        <v>4</v>
      </c>
      <c r="AX209" s="140">
        <v>2</v>
      </c>
      <c r="AY209" s="140">
        <v>0</v>
      </c>
      <c r="AZ209" s="140">
        <v>0</v>
      </c>
      <c r="BA209" s="140">
        <v>0</v>
      </c>
      <c r="BB209" s="140">
        <v>0</v>
      </c>
      <c r="BC209" s="140">
        <v>0</v>
      </c>
      <c r="BD209" s="140">
        <v>0</v>
      </c>
      <c r="BE209" s="140">
        <v>0</v>
      </c>
      <c r="BF209" s="140">
        <v>0</v>
      </c>
      <c r="BG209" s="140">
        <v>0</v>
      </c>
      <c r="BH209" s="140">
        <v>0</v>
      </c>
      <c r="BI209" s="140">
        <v>0</v>
      </c>
      <c r="BJ209" s="140">
        <v>0</v>
      </c>
      <c r="BK209" s="140">
        <v>0</v>
      </c>
      <c r="BL209" s="140">
        <v>0</v>
      </c>
      <c r="BM209" s="140">
        <v>0</v>
      </c>
      <c r="BN209" s="140">
        <v>0</v>
      </c>
      <c r="BO209" s="140">
        <v>0</v>
      </c>
      <c r="BX209" s="43">
        <v>13</v>
      </c>
      <c r="BZ209" s="90">
        <f t="shared" ref="BZ209:BZ222" si="15">M209</f>
        <v>8</v>
      </c>
      <c r="CT209" s="90">
        <f t="shared" si="13"/>
        <v>8</v>
      </c>
      <c r="CU209" s="90">
        <f t="shared" si="14"/>
        <v>8</v>
      </c>
    </row>
    <row r="210" spans="1:99" ht="12" customHeight="1">
      <c r="A210" s="43">
        <v>999</v>
      </c>
      <c r="B210" s="89" t="s">
        <v>813</v>
      </c>
      <c r="C210" s="89" t="s">
        <v>867</v>
      </c>
      <c r="D210" s="89" t="s">
        <v>868</v>
      </c>
      <c r="F210" s="43">
        <v>528491</v>
      </c>
      <c r="G210" s="43">
        <v>173293</v>
      </c>
      <c r="H210" s="89" t="s">
        <v>173</v>
      </c>
      <c r="I210" s="125">
        <v>43290</v>
      </c>
      <c r="K210" s="140">
        <v>1</v>
      </c>
      <c r="L210" s="140">
        <v>5</v>
      </c>
      <c r="M210" s="140">
        <v>4</v>
      </c>
      <c r="N210" s="140">
        <v>5</v>
      </c>
      <c r="O210" s="140">
        <v>4</v>
      </c>
      <c r="Q210" s="89" t="s">
        <v>869</v>
      </c>
      <c r="R210" s="43" t="s">
        <v>316</v>
      </c>
      <c r="S210" s="125">
        <v>42073</v>
      </c>
      <c r="T210" s="117">
        <v>42195</v>
      </c>
      <c r="V210" s="43" t="s">
        <v>317</v>
      </c>
      <c r="X210" s="43" t="s">
        <v>318</v>
      </c>
      <c r="Y210" s="43" t="s">
        <v>379</v>
      </c>
      <c r="Z210" s="43" t="s">
        <v>320</v>
      </c>
      <c r="AA210" s="43" t="s">
        <v>340</v>
      </c>
      <c r="AB210" s="144">
        <v>1.09999999403954E-2</v>
      </c>
      <c r="AC210" s="125">
        <v>43290</v>
      </c>
      <c r="AF210" s="43" t="s">
        <v>75</v>
      </c>
      <c r="AG210" s="43" t="s">
        <v>322</v>
      </c>
      <c r="AJ210" s="140">
        <v>5</v>
      </c>
      <c r="AK210" s="140">
        <v>0</v>
      </c>
      <c r="AL210" s="140">
        <v>0</v>
      </c>
      <c r="AM210" s="140">
        <v>0</v>
      </c>
      <c r="AN210" s="140">
        <v>0</v>
      </c>
      <c r="AO210" s="140">
        <v>3</v>
      </c>
      <c r="AP210" s="140">
        <v>1</v>
      </c>
      <c r="AQ210" s="140">
        <v>0</v>
      </c>
      <c r="AR210" s="140">
        <v>0</v>
      </c>
      <c r="AS210" s="140">
        <v>0</v>
      </c>
      <c r="AT210" s="140">
        <v>0</v>
      </c>
      <c r="AU210" s="140">
        <v>0</v>
      </c>
      <c r="AV210" s="140">
        <v>3</v>
      </c>
      <c r="AW210" s="140">
        <v>1</v>
      </c>
      <c r="AX210" s="140">
        <v>0</v>
      </c>
      <c r="AY210" s="140">
        <v>0</v>
      </c>
      <c r="AZ210" s="140">
        <v>0</v>
      </c>
      <c r="BA210" s="140">
        <v>0</v>
      </c>
      <c r="BB210" s="140">
        <v>0</v>
      </c>
      <c r="BC210" s="140">
        <v>0</v>
      </c>
      <c r="BD210" s="140">
        <v>0</v>
      </c>
      <c r="BE210" s="140">
        <v>0</v>
      </c>
      <c r="BF210" s="140">
        <v>0</v>
      </c>
      <c r="BG210" s="140">
        <v>0</v>
      </c>
      <c r="BH210" s="140">
        <v>0</v>
      </c>
      <c r="BI210" s="140">
        <v>0</v>
      </c>
      <c r="BJ210" s="140">
        <v>0</v>
      </c>
      <c r="BK210" s="140">
        <v>0</v>
      </c>
      <c r="BL210" s="140">
        <v>0</v>
      </c>
      <c r="BM210" s="140">
        <v>0</v>
      </c>
      <c r="BN210" s="140">
        <v>0</v>
      </c>
      <c r="BO210" s="140">
        <v>0</v>
      </c>
      <c r="BP210" s="43" t="s">
        <v>138</v>
      </c>
      <c r="BX210" s="43">
        <v>13</v>
      </c>
      <c r="BZ210" s="90">
        <f t="shared" si="15"/>
        <v>4</v>
      </c>
      <c r="CT210" s="90">
        <f t="shared" si="13"/>
        <v>4</v>
      </c>
      <c r="CU210" s="90">
        <f t="shared" si="14"/>
        <v>4</v>
      </c>
    </row>
    <row r="211" spans="1:99" ht="12" customHeight="1">
      <c r="A211" s="43">
        <v>1453</v>
      </c>
      <c r="B211" s="89" t="s">
        <v>813</v>
      </c>
      <c r="C211" s="89" t="s">
        <v>870</v>
      </c>
      <c r="D211" s="89" t="s">
        <v>871</v>
      </c>
      <c r="F211" s="43">
        <v>527906</v>
      </c>
      <c r="G211" s="43">
        <v>172486</v>
      </c>
      <c r="H211" s="89" t="s">
        <v>173</v>
      </c>
      <c r="I211" s="125">
        <v>43640</v>
      </c>
      <c r="K211" s="140">
        <v>0</v>
      </c>
      <c r="L211" s="140">
        <v>1</v>
      </c>
      <c r="M211" s="140">
        <v>1</v>
      </c>
      <c r="N211" s="140">
        <v>1</v>
      </c>
      <c r="O211" s="140">
        <v>1</v>
      </c>
      <c r="Q211" s="89" t="s">
        <v>872</v>
      </c>
      <c r="R211" s="43" t="s">
        <v>316</v>
      </c>
      <c r="S211" s="125">
        <v>43522</v>
      </c>
      <c r="T211" s="117">
        <v>43595</v>
      </c>
      <c r="U211" s="43" t="s">
        <v>329</v>
      </c>
      <c r="V211" s="43" t="s">
        <v>317</v>
      </c>
      <c r="X211" s="43" t="s">
        <v>318</v>
      </c>
      <c r="Y211" s="43" t="s">
        <v>319</v>
      </c>
      <c r="Z211" s="43" t="s">
        <v>320</v>
      </c>
      <c r="AA211" s="43" t="s">
        <v>340</v>
      </c>
      <c r="AB211" s="144">
        <v>4.9999998882412902E-3</v>
      </c>
      <c r="AC211" s="125">
        <v>43640</v>
      </c>
      <c r="AD211" s="43" t="s">
        <v>329</v>
      </c>
      <c r="AF211" s="43" t="s">
        <v>75</v>
      </c>
      <c r="AG211" s="43" t="s">
        <v>322</v>
      </c>
      <c r="AJ211" s="140">
        <v>0</v>
      </c>
      <c r="AK211" s="140">
        <v>0</v>
      </c>
      <c r="AL211" s="140">
        <v>0</v>
      </c>
      <c r="AM211" s="140">
        <v>0</v>
      </c>
      <c r="AN211" s="140">
        <v>0</v>
      </c>
      <c r="AO211" s="140">
        <v>1</v>
      </c>
      <c r="AP211" s="140">
        <v>0</v>
      </c>
      <c r="AQ211" s="140">
        <v>0</v>
      </c>
      <c r="AR211" s="140">
        <v>0</v>
      </c>
      <c r="AS211" s="140">
        <v>0</v>
      </c>
      <c r="AT211" s="140">
        <v>0</v>
      </c>
      <c r="AU211" s="140">
        <v>0</v>
      </c>
      <c r="AV211" s="140">
        <v>1</v>
      </c>
      <c r="AW211" s="140">
        <v>0</v>
      </c>
      <c r="AX211" s="140">
        <v>0</v>
      </c>
      <c r="AY211" s="140">
        <v>0</v>
      </c>
      <c r="AZ211" s="140">
        <v>0</v>
      </c>
      <c r="BA211" s="140">
        <v>0</v>
      </c>
      <c r="BB211" s="140">
        <v>0</v>
      </c>
      <c r="BC211" s="140">
        <v>0</v>
      </c>
      <c r="BD211" s="140">
        <v>0</v>
      </c>
      <c r="BE211" s="140">
        <v>0</v>
      </c>
      <c r="BF211" s="140">
        <v>0</v>
      </c>
      <c r="BG211" s="140">
        <v>0</v>
      </c>
      <c r="BH211" s="140">
        <v>0</v>
      </c>
      <c r="BI211" s="140">
        <v>0</v>
      </c>
      <c r="BJ211" s="140">
        <v>0</v>
      </c>
      <c r="BK211" s="140">
        <v>0</v>
      </c>
      <c r="BL211" s="140">
        <v>0</v>
      </c>
      <c r="BM211" s="140">
        <v>0</v>
      </c>
      <c r="BN211" s="140">
        <v>0</v>
      </c>
      <c r="BO211" s="140">
        <v>0</v>
      </c>
      <c r="BX211" s="43">
        <v>13</v>
      </c>
      <c r="BZ211" s="90">
        <f t="shared" si="15"/>
        <v>1</v>
      </c>
      <c r="CT211" s="90">
        <f t="shared" si="13"/>
        <v>1</v>
      </c>
      <c r="CU211" s="90">
        <f t="shared" si="14"/>
        <v>1</v>
      </c>
    </row>
    <row r="212" spans="1:99" ht="12" customHeight="1">
      <c r="A212" s="43">
        <v>1467</v>
      </c>
      <c r="B212" s="89" t="s">
        <v>813</v>
      </c>
      <c r="C212" s="89" t="s">
        <v>873</v>
      </c>
      <c r="D212" s="89" t="s">
        <v>874</v>
      </c>
      <c r="F212" s="43">
        <v>526473</v>
      </c>
      <c r="G212" s="43">
        <v>175600</v>
      </c>
      <c r="H212" s="89" t="s">
        <v>177</v>
      </c>
      <c r="I212" s="125">
        <v>43555</v>
      </c>
      <c r="K212" s="140">
        <v>2</v>
      </c>
      <c r="L212" s="140">
        <v>8</v>
      </c>
      <c r="M212" s="140">
        <v>6</v>
      </c>
      <c r="N212" s="140">
        <v>8</v>
      </c>
      <c r="O212" s="140">
        <v>6</v>
      </c>
      <c r="Q212" s="89" t="s">
        <v>875</v>
      </c>
      <c r="R212" s="43" t="s">
        <v>316</v>
      </c>
      <c r="S212" s="125">
        <v>43367</v>
      </c>
      <c r="T212" s="117">
        <v>43493</v>
      </c>
      <c r="V212" s="43" t="s">
        <v>317</v>
      </c>
      <c r="X212" s="43" t="s">
        <v>318</v>
      </c>
      <c r="Y212" s="43" t="s">
        <v>361</v>
      </c>
      <c r="Z212" s="43" t="s">
        <v>320</v>
      </c>
      <c r="AA212" s="43" t="s">
        <v>353</v>
      </c>
      <c r="AB212" s="144">
        <v>1.7000000923872001E-2</v>
      </c>
      <c r="AC212" s="125">
        <v>43555</v>
      </c>
      <c r="AF212" s="43" t="s">
        <v>75</v>
      </c>
      <c r="AG212" s="43" t="s">
        <v>322</v>
      </c>
      <c r="AJ212" s="140">
        <v>0</v>
      </c>
      <c r="AK212" s="140">
        <v>0</v>
      </c>
      <c r="AL212" s="140">
        <v>0</v>
      </c>
      <c r="AM212" s="140">
        <v>0</v>
      </c>
      <c r="AN212" s="140">
        <v>0</v>
      </c>
      <c r="AO212" s="140">
        <v>5</v>
      </c>
      <c r="AP212" s="140">
        <v>0</v>
      </c>
      <c r="AQ212" s="140">
        <v>1</v>
      </c>
      <c r="AR212" s="140">
        <v>0</v>
      </c>
      <c r="AS212" s="140">
        <v>0</v>
      </c>
      <c r="AT212" s="140">
        <v>0</v>
      </c>
      <c r="AU212" s="140">
        <v>0</v>
      </c>
      <c r="AV212" s="140">
        <v>5</v>
      </c>
      <c r="AW212" s="140">
        <v>0</v>
      </c>
      <c r="AX212" s="140">
        <v>1</v>
      </c>
      <c r="AY212" s="140">
        <v>0</v>
      </c>
      <c r="AZ212" s="140">
        <v>0</v>
      </c>
      <c r="BA212" s="140">
        <v>0</v>
      </c>
      <c r="BB212" s="140">
        <v>0</v>
      </c>
      <c r="BC212" s="140">
        <v>0</v>
      </c>
      <c r="BD212" s="140">
        <v>0</v>
      </c>
      <c r="BE212" s="140">
        <v>0</v>
      </c>
      <c r="BF212" s="140">
        <v>0</v>
      </c>
      <c r="BG212" s="140">
        <v>0</v>
      </c>
      <c r="BH212" s="140">
        <v>0</v>
      </c>
      <c r="BI212" s="140">
        <v>0</v>
      </c>
      <c r="BJ212" s="140">
        <v>0</v>
      </c>
      <c r="BK212" s="140">
        <v>0</v>
      </c>
      <c r="BL212" s="140">
        <v>0</v>
      </c>
      <c r="BM212" s="140">
        <v>0</v>
      </c>
      <c r="BN212" s="140">
        <v>0</v>
      </c>
      <c r="BO212" s="140">
        <v>0</v>
      </c>
      <c r="BV212" s="43" t="s">
        <v>329</v>
      </c>
      <c r="BX212" s="43">
        <v>2</v>
      </c>
      <c r="BZ212" s="90">
        <f t="shared" si="15"/>
        <v>6</v>
      </c>
      <c r="CT212" s="90">
        <f t="shared" si="13"/>
        <v>6</v>
      </c>
      <c r="CU212" s="90">
        <f t="shared" si="14"/>
        <v>6</v>
      </c>
    </row>
    <row r="213" spans="1:99" ht="12" customHeight="1">
      <c r="A213" s="43">
        <v>1515</v>
      </c>
      <c r="B213" s="89" t="s">
        <v>813</v>
      </c>
      <c r="C213" s="89" t="s">
        <v>876</v>
      </c>
      <c r="D213" s="89" t="s">
        <v>877</v>
      </c>
      <c r="F213" s="43">
        <v>527960</v>
      </c>
      <c r="G213" s="43">
        <v>174047</v>
      </c>
      <c r="H213" s="89" t="s">
        <v>138</v>
      </c>
      <c r="I213" s="125">
        <v>42755</v>
      </c>
      <c r="K213" s="140">
        <v>1</v>
      </c>
      <c r="L213" s="140">
        <v>1</v>
      </c>
      <c r="M213" s="140">
        <v>0</v>
      </c>
      <c r="N213" s="140">
        <v>1</v>
      </c>
      <c r="O213" s="140">
        <v>0</v>
      </c>
      <c r="Q213" s="89" t="s">
        <v>878</v>
      </c>
      <c r="R213" s="43" t="s">
        <v>316</v>
      </c>
      <c r="S213" s="125">
        <v>42506</v>
      </c>
      <c r="T213" s="117">
        <v>42562</v>
      </c>
      <c r="V213" s="43" t="s">
        <v>317</v>
      </c>
      <c r="X213" s="43" t="s">
        <v>318</v>
      </c>
      <c r="Y213" s="43" t="s">
        <v>361</v>
      </c>
      <c r="Z213" s="43" t="s">
        <v>320</v>
      </c>
      <c r="AA213" s="43" t="s">
        <v>353</v>
      </c>
      <c r="AB213" s="144">
        <v>5.6000001728534698E-2</v>
      </c>
      <c r="AC213" s="125">
        <v>42755</v>
      </c>
      <c r="AF213" s="43" t="s">
        <v>75</v>
      </c>
      <c r="AG213" s="43" t="s">
        <v>322</v>
      </c>
      <c r="AJ213" s="140">
        <v>1</v>
      </c>
      <c r="AK213" s="140">
        <v>0</v>
      </c>
      <c r="AL213" s="140">
        <v>0</v>
      </c>
      <c r="AM213" s="140">
        <v>0</v>
      </c>
      <c r="AN213" s="140">
        <v>0</v>
      </c>
      <c r="AO213" s="140">
        <v>0</v>
      </c>
      <c r="AP213" s="140">
        <v>0</v>
      </c>
      <c r="AQ213" s="140">
        <v>0</v>
      </c>
      <c r="AR213" s="140">
        <v>-1</v>
      </c>
      <c r="AS213" s="140">
        <v>1</v>
      </c>
      <c r="AT213" s="140">
        <v>0</v>
      </c>
      <c r="AU213" s="140">
        <v>0</v>
      </c>
      <c r="AV213" s="140">
        <v>0</v>
      </c>
      <c r="AW213" s="140">
        <v>0</v>
      </c>
      <c r="AX213" s="140">
        <v>0</v>
      </c>
      <c r="AY213" s="140">
        <v>0</v>
      </c>
      <c r="AZ213" s="140">
        <v>0</v>
      </c>
      <c r="BA213" s="140">
        <v>0</v>
      </c>
      <c r="BB213" s="140">
        <v>0</v>
      </c>
      <c r="BC213" s="140">
        <v>0</v>
      </c>
      <c r="BD213" s="140">
        <v>0</v>
      </c>
      <c r="BE213" s="140">
        <v>0</v>
      </c>
      <c r="BF213" s="140">
        <v>-1</v>
      </c>
      <c r="BG213" s="140">
        <v>1</v>
      </c>
      <c r="BH213" s="140">
        <v>0</v>
      </c>
      <c r="BI213" s="140">
        <v>0</v>
      </c>
      <c r="BJ213" s="140">
        <v>0</v>
      </c>
      <c r="BK213" s="140">
        <v>0</v>
      </c>
      <c r="BL213" s="140">
        <v>0</v>
      </c>
      <c r="BM213" s="140">
        <v>0</v>
      </c>
      <c r="BN213" s="140">
        <v>0</v>
      </c>
      <c r="BO213" s="140">
        <v>0</v>
      </c>
      <c r="BX213" s="43">
        <v>2</v>
      </c>
      <c r="BZ213" s="90">
        <f t="shared" si="15"/>
        <v>0</v>
      </c>
      <c r="CT213" s="90">
        <f t="shared" si="13"/>
        <v>0</v>
      </c>
      <c r="CU213" s="90">
        <f t="shared" si="14"/>
        <v>0</v>
      </c>
    </row>
    <row r="214" spans="1:99" ht="12" customHeight="1">
      <c r="A214" s="43">
        <v>1882</v>
      </c>
      <c r="B214" s="89" t="s">
        <v>813</v>
      </c>
      <c r="C214" s="89" t="s">
        <v>879</v>
      </c>
      <c r="D214" s="89" t="s">
        <v>880</v>
      </c>
      <c r="F214" s="43">
        <v>525371</v>
      </c>
      <c r="G214" s="43">
        <v>174659</v>
      </c>
      <c r="H214" s="89" t="s">
        <v>176</v>
      </c>
      <c r="I214" s="125">
        <v>43191</v>
      </c>
      <c r="K214" s="140">
        <v>0</v>
      </c>
      <c r="L214" s="140">
        <v>1</v>
      </c>
      <c r="M214" s="140">
        <v>1</v>
      </c>
      <c r="N214" s="140">
        <v>1</v>
      </c>
      <c r="O214" s="140">
        <v>1</v>
      </c>
      <c r="Q214" s="89" t="s">
        <v>881</v>
      </c>
      <c r="R214" s="43" t="s">
        <v>360</v>
      </c>
      <c r="S214" s="125">
        <v>43536</v>
      </c>
      <c r="T214" s="117">
        <v>43600</v>
      </c>
      <c r="U214" s="43" t="s">
        <v>329</v>
      </c>
      <c r="V214" s="43" t="s">
        <v>317</v>
      </c>
      <c r="X214" s="43" t="s">
        <v>318</v>
      </c>
      <c r="Y214" s="43" t="s">
        <v>336</v>
      </c>
      <c r="Z214" s="43" t="s">
        <v>320</v>
      </c>
      <c r="AA214" s="43" t="s">
        <v>36</v>
      </c>
      <c r="AB214" s="144">
        <v>4.9999998882412902E-3</v>
      </c>
      <c r="AC214" s="125">
        <v>43191</v>
      </c>
      <c r="AF214" s="43" t="s">
        <v>75</v>
      </c>
      <c r="AG214" s="43" t="s">
        <v>322</v>
      </c>
      <c r="AJ214" s="140">
        <v>0</v>
      </c>
      <c r="AK214" s="140">
        <v>0</v>
      </c>
      <c r="AL214" s="140">
        <v>0</v>
      </c>
      <c r="AM214" s="140">
        <v>0</v>
      </c>
      <c r="AN214" s="140">
        <v>0</v>
      </c>
      <c r="AO214" s="140">
        <v>1</v>
      </c>
      <c r="AP214" s="140">
        <v>0</v>
      </c>
      <c r="AQ214" s="140">
        <v>0</v>
      </c>
      <c r="AR214" s="140">
        <v>0</v>
      </c>
      <c r="AS214" s="140">
        <v>0</v>
      </c>
      <c r="AT214" s="140">
        <v>0</v>
      </c>
      <c r="AU214" s="140">
        <v>0</v>
      </c>
      <c r="AV214" s="140">
        <v>1</v>
      </c>
      <c r="AW214" s="140">
        <v>0</v>
      </c>
      <c r="AX214" s="140">
        <v>0</v>
      </c>
      <c r="AY214" s="140">
        <v>0</v>
      </c>
      <c r="AZ214" s="140">
        <v>0</v>
      </c>
      <c r="BA214" s="140">
        <v>0</v>
      </c>
      <c r="BB214" s="140">
        <v>0</v>
      </c>
      <c r="BC214" s="140">
        <v>0</v>
      </c>
      <c r="BD214" s="140">
        <v>0</v>
      </c>
      <c r="BE214" s="140">
        <v>0</v>
      </c>
      <c r="BF214" s="140">
        <v>0</v>
      </c>
      <c r="BG214" s="140">
        <v>0</v>
      </c>
      <c r="BH214" s="140">
        <v>0</v>
      </c>
      <c r="BI214" s="140">
        <v>0</v>
      </c>
      <c r="BJ214" s="140">
        <v>0</v>
      </c>
      <c r="BK214" s="140">
        <v>0</v>
      </c>
      <c r="BL214" s="140">
        <v>0</v>
      </c>
      <c r="BM214" s="140">
        <v>0</v>
      </c>
      <c r="BN214" s="140">
        <v>0</v>
      </c>
      <c r="BO214" s="140">
        <v>0</v>
      </c>
      <c r="BP214" s="43" t="s">
        <v>142</v>
      </c>
      <c r="BR214" s="43" t="s">
        <v>329</v>
      </c>
      <c r="BX214" s="43">
        <v>13</v>
      </c>
      <c r="BZ214" s="90">
        <f t="shared" si="15"/>
        <v>1</v>
      </c>
      <c r="CT214" s="90">
        <f t="shared" si="13"/>
        <v>1</v>
      </c>
      <c r="CU214" s="90">
        <f t="shared" si="14"/>
        <v>1</v>
      </c>
    </row>
    <row r="215" spans="1:99" ht="12" customHeight="1">
      <c r="A215" s="43">
        <v>1912</v>
      </c>
      <c r="B215" s="89" t="s">
        <v>813</v>
      </c>
      <c r="C215" s="89" t="s">
        <v>882</v>
      </c>
      <c r="D215" s="89" t="s">
        <v>883</v>
      </c>
      <c r="F215" s="43">
        <v>528924</v>
      </c>
      <c r="G215" s="43">
        <v>173571</v>
      </c>
      <c r="H215" s="89" t="s">
        <v>138</v>
      </c>
      <c r="I215" s="125">
        <v>43332</v>
      </c>
      <c r="K215" s="140">
        <v>0</v>
      </c>
      <c r="L215" s="140">
        <v>8</v>
      </c>
      <c r="M215" s="140">
        <v>8</v>
      </c>
      <c r="N215" s="140">
        <v>8</v>
      </c>
      <c r="O215" s="140">
        <v>8</v>
      </c>
      <c r="Q215" s="89" t="s">
        <v>884</v>
      </c>
      <c r="R215" s="43" t="s">
        <v>316</v>
      </c>
      <c r="S215" s="125">
        <v>42879</v>
      </c>
      <c r="T215" s="117">
        <v>43003</v>
      </c>
      <c r="V215" s="43" t="s">
        <v>317</v>
      </c>
      <c r="X215" s="43" t="s">
        <v>318</v>
      </c>
      <c r="Y215" s="43" t="s">
        <v>361</v>
      </c>
      <c r="Z215" s="43" t="s">
        <v>320</v>
      </c>
      <c r="AA215" s="43" t="s">
        <v>353</v>
      </c>
      <c r="AB215" s="144">
        <v>6.8999998271465302E-2</v>
      </c>
      <c r="AC215" s="125">
        <v>43332</v>
      </c>
      <c r="AF215" s="43" t="s">
        <v>75</v>
      </c>
      <c r="AG215" s="43" t="s">
        <v>322</v>
      </c>
      <c r="AJ215" s="140">
        <v>8</v>
      </c>
      <c r="AK215" s="140">
        <v>0</v>
      </c>
      <c r="AL215" s="140">
        <v>0</v>
      </c>
      <c r="AM215" s="140">
        <v>0</v>
      </c>
      <c r="AN215" s="140">
        <v>0</v>
      </c>
      <c r="AO215" s="140">
        <v>0</v>
      </c>
      <c r="AP215" s="140">
        <v>0</v>
      </c>
      <c r="AQ215" s="140">
        <v>0</v>
      </c>
      <c r="AR215" s="140">
        <v>8</v>
      </c>
      <c r="AS215" s="140">
        <v>0</v>
      </c>
      <c r="AT215" s="140">
        <v>0</v>
      </c>
      <c r="AU215" s="140">
        <v>0</v>
      </c>
      <c r="AV215" s="140">
        <v>0</v>
      </c>
      <c r="AW215" s="140">
        <v>0</v>
      </c>
      <c r="AX215" s="140">
        <v>0</v>
      </c>
      <c r="AY215" s="140">
        <v>0</v>
      </c>
      <c r="AZ215" s="140">
        <v>0</v>
      </c>
      <c r="BA215" s="140">
        <v>0</v>
      </c>
      <c r="BB215" s="140">
        <v>0</v>
      </c>
      <c r="BC215" s="140">
        <v>0</v>
      </c>
      <c r="BD215" s="140">
        <v>0</v>
      </c>
      <c r="BE215" s="140">
        <v>0</v>
      </c>
      <c r="BF215" s="140">
        <v>8</v>
      </c>
      <c r="BG215" s="140">
        <v>0</v>
      </c>
      <c r="BH215" s="140">
        <v>0</v>
      </c>
      <c r="BI215" s="140">
        <v>0</v>
      </c>
      <c r="BJ215" s="140">
        <v>0</v>
      </c>
      <c r="BK215" s="140">
        <v>0</v>
      </c>
      <c r="BL215" s="140">
        <v>0</v>
      </c>
      <c r="BM215" s="140">
        <v>0</v>
      </c>
      <c r="BN215" s="140">
        <v>0</v>
      </c>
      <c r="BO215" s="140">
        <v>0</v>
      </c>
      <c r="BX215" s="43">
        <v>2</v>
      </c>
      <c r="BZ215" s="90">
        <f t="shared" si="15"/>
        <v>8</v>
      </c>
      <c r="CT215" s="90">
        <f t="shared" si="13"/>
        <v>8</v>
      </c>
      <c r="CU215" s="90">
        <f t="shared" si="14"/>
        <v>8</v>
      </c>
    </row>
    <row r="216" spans="1:99" ht="12" customHeight="1">
      <c r="A216" s="43">
        <v>1924</v>
      </c>
      <c r="B216" s="89" t="s">
        <v>813</v>
      </c>
      <c r="C216" s="89" t="s">
        <v>885</v>
      </c>
      <c r="D216" s="89" t="s">
        <v>886</v>
      </c>
      <c r="F216" s="43">
        <v>521176</v>
      </c>
      <c r="G216" s="43">
        <v>174253</v>
      </c>
      <c r="H216" s="89" t="s">
        <v>149</v>
      </c>
      <c r="I216" s="125">
        <v>42825</v>
      </c>
      <c r="K216" s="140">
        <v>1</v>
      </c>
      <c r="L216" s="140">
        <v>1</v>
      </c>
      <c r="M216" s="140">
        <v>0</v>
      </c>
      <c r="N216" s="140">
        <v>1</v>
      </c>
      <c r="O216" s="140">
        <v>0</v>
      </c>
      <c r="Q216" s="89" t="s">
        <v>887</v>
      </c>
      <c r="R216" s="43" t="s">
        <v>316</v>
      </c>
      <c r="S216" s="125">
        <v>42557</v>
      </c>
      <c r="T216" s="117">
        <v>42613</v>
      </c>
      <c r="V216" s="43" t="s">
        <v>317</v>
      </c>
      <c r="X216" s="43" t="s">
        <v>318</v>
      </c>
      <c r="Y216" s="43" t="s">
        <v>361</v>
      </c>
      <c r="Z216" s="43" t="s">
        <v>320</v>
      </c>
      <c r="AA216" s="43" t="s">
        <v>353</v>
      </c>
      <c r="AB216" s="144">
        <v>0.123000003397465</v>
      </c>
      <c r="AC216" s="125">
        <v>42825</v>
      </c>
      <c r="AF216" s="43" t="s">
        <v>75</v>
      </c>
      <c r="AG216" s="43" t="s">
        <v>322</v>
      </c>
      <c r="AJ216" s="140">
        <v>0</v>
      </c>
      <c r="AK216" s="140">
        <v>0</v>
      </c>
      <c r="AL216" s="140">
        <v>0</v>
      </c>
      <c r="AM216" s="140">
        <v>0</v>
      </c>
      <c r="AN216" s="140">
        <v>0</v>
      </c>
      <c r="AO216" s="140">
        <v>0</v>
      </c>
      <c r="AP216" s="140">
        <v>0</v>
      </c>
      <c r="AQ216" s="140">
        <v>0</v>
      </c>
      <c r="AR216" s="140">
        <v>-1</v>
      </c>
      <c r="AS216" s="140">
        <v>1</v>
      </c>
      <c r="AT216" s="140">
        <v>0</v>
      </c>
      <c r="AU216" s="140">
        <v>0</v>
      </c>
      <c r="AV216" s="140">
        <v>0</v>
      </c>
      <c r="AW216" s="140">
        <v>0</v>
      </c>
      <c r="AX216" s="140">
        <v>0</v>
      </c>
      <c r="AY216" s="140">
        <v>0</v>
      </c>
      <c r="AZ216" s="140">
        <v>0</v>
      </c>
      <c r="BA216" s="140">
        <v>0</v>
      </c>
      <c r="BB216" s="140">
        <v>0</v>
      </c>
      <c r="BC216" s="140">
        <v>0</v>
      </c>
      <c r="BD216" s="140">
        <v>0</v>
      </c>
      <c r="BE216" s="140">
        <v>0</v>
      </c>
      <c r="BF216" s="140">
        <v>-1</v>
      </c>
      <c r="BG216" s="140">
        <v>1</v>
      </c>
      <c r="BH216" s="140">
        <v>0</v>
      </c>
      <c r="BI216" s="140">
        <v>0</v>
      </c>
      <c r="BJ216" s="140">
        <v>0</v>
      </c>
      <c r="BK216" s="140">
        <v>0</v>
      </c>
      <c r="BL216" s="140">
        <v>0</v>
      </c>
      <c r="BM216" s="140">
        <v>0</v>
      </c>
      <c r="BN216" s="140">
        <v>0</v>
      </c>
      <c r="BO216" s="140">
        <v>0</v>
      </c>
      <c r="BX216" s="43">
        <v>2</v>
      </c>
      <c r="BZ216" s="90">
        <f t="shared" si="15"/>
        <v>0</v>
      </c>
      <c r="CT216" s="90">
        <f t="shared" si="13"/>
        <v>0</v>
      </c>
      <c r="CU216" s="90">
        <f t="shared" si="14"/>
        <v>0</v>
      </c>
    </row>
    <row r="217" spans="1:99" ht="12" customHeight="1">
      <c r="A217" s="43">
        <v>1952</v>
      </c>
      <c r="B217" s="89" t="s">
        <v>813</v>
      </c>
      <c r="C217" s="89" t="s">
        <v>888</v>
      </c>
      <c r="D217" s="89" t="s">
        <v>889</v>
      </c>
      <c r="F217" s="43">
        <v>528781</v>
      </c>
      <c r="G217" s="43">
        <v>177000</v>
      </c>
      <c r="H217" s="89" t="s">
        <v>148</v>
      </c>
      <c r="I217" s="125">
        <v>42907</v>
      </c>
      <c r="K217" s="140">
        <v>0</v>
      </c>
      <c r="L217" s="140">
        <v>20</v>
      </c>
      <c r="M217" s="140">
        <v>20</v>
      </c>
      <c r="N217" s="140">
        <v>20</v>
      </c>
      <c r="O217" s="140">
        <v>20</v>
      </c>
      <c r="P217" s="43" t="s">
        <v>329</v>
      </c>
      <c r="Q217" s="89" t="s">
        <v>890</v>
      </c>
      <c r="R217" s="43" t="s">
        <v>392</v>
      </c>
      <c r="S217" s="125">
        <v>41701</v>
      </c>
      <c r="T217" s="117">
        <v>41940</v>
      </c>
      <c r="V217" s="43" t="s">
        <v>317</v>
      </c>
      <c r="X217" s="43" t="s">
        <v>318</v>
      </c>
      <c r="Y217" s="43" t="s">
        <v>361</v>
      </c>
      <c r="Z217" s="43" t="s">
        <v>361</v>
      </c>
      <c r="AA217" s="43" t="s">
        <v>320</v>
      </c>
      <c r="AB217" s="144">
        <v>0.17100000381469699</v>
      </c>
      <c r="AC217" s="125">
        <v>42907</v>
      </c>
      <c r="AF217" s="43" t="s">
        <v>75</v>
      </c>
      <c r="AG217" s="43" t="s">
        <v>322</v>
      </c>
      <c r="AJ217" s="140">
        <v>20</v>
      </c>
      <c r="AK217" s="140">
        <v>0</v>
      </c>
      <c r="AL217" s="140">
        <v>2</v>
      </c>
      <c r="AM217" s="140">
        <v>0</v>
      </c>
      <c r="AN217" s="140">
        <v>0</v>
      </c>
      <c r="AO217" s="140">
        <v>4</v>
      </c>
      <c r="AP217" s="140">
        <v>16</v>
      </c>
      <c r="AQ217" s="140">
        <v>0</v>
      </c>
      <c r="AR217" s="140">
        <v>0</v>
      </c>
      <c r="AS217" s="140">
        <v>0</v>
      </c>
      <c r="AT217" s="140">
        <v>0</v>
      </c>
      <c r="AU217" s="140">
        <v>0</v>
      </c>
      <c r="AV217" s="140">
        <v>4</v>
      </c>
      <c r="AW217" s="140">
        <v>16</v>
      </c>
      <c r="AX217" s="140">
        <v>0</v>
      </c>
      <c r="AY217" s="140">
        <v>0</v>
      </c>
      <c r="AZ217" s="140">
        <v>0</v>
      </c>
      <c r="BA217" s="140">
        <v>0</v>
      </c>
      <c r="BB217" s="140">
        <v>0</v>
      </c>
      <c r="BC217" s="140">
        <v>0</v>
      </c>
      <c r="BD217" s="140">
        <v>0</v>
      </c>
      <c r="BE217" s="140">
        <v>0</v>
      </c>
      <c r="BF217" s="140">
        <v>0</v>
      </c>
      <c r="BG217" s="140">
        <v>0</v>
      </c>
      <c r="BH217" s="140">
        <v>0</v>
      </c>
      <c r="BI217" s="140">
        <v>0</v>
      </c>
      <c r="BJ217" s="140">
        <v>0</v>
      </c>
      <c r="BK217" s="140">
        <v>0</v>
      </c>
      <c r="BL217" s="140">
        <v>0</v>
      </c>
      <c r="BM217" s="140">
        <v>0</v>
      </c>
      <c r="BN217" s="140">
        <v>0</v>
      </c>
      <c r="BO217" s="140">
        <v>0</v>
      </c>
      <c r="BQ217" s="43" t="s">
        <v>329</v>
      </c>
      <c r="BX217" s="43">
        <v>21</v>
      </c>
      <c r="BZ217" s="90">
        <f t="shared" si="15"/>
        <v>20</v>
      </c>
      <c r="CT217" s="90">
        <f t="shared" si="13"/>
        <v>20</v>
      </c>
      <c r="CU217" s="90">
        <f t="shared" si="14"/>
        <v>20</v>
      </c>
    </row>
    <row r="218" spans="1:99" ht="12" customHeight="1">
      <c r="A218" s="43">
        <v>1971</v>
      </c>
      <c r="B218" s="89" t="s">
        <v>813</v>
      </c>
      <c r="C218" s="89" t="s">
        <v>891</v>
      </c>
      <c r="D218" s="89" t="s">
        <v>892</v>
      </c>
      <c r="F218" s="43">
        <v>527831</v>
      </c>
      <c r="G218" s="43">
        <v>172116</v>
      </c>
      <c r="H218" s="89" t="s">
        <v>141</v>
      </c>
      <c r="I218" s="125">
        <v>43555</v>
      </c>
      <c r="K218" s="140">
        <v>0</v>
      </c>
      <c r="L218" s="140">
        <v>12</v>
      </c>
      <c r="M218" s="140">
        <v>12</v>
      </c>
      <c r="N218" s="140">
        <v>18</v>
      </c>
      <c r="O218" s="140">
        <v>18</v>
      </c>
      <c r="P218" s="43" t="s">
        <v>329</v>
      </c>
      <c r="Q218" s="89" t="s">
        <v>893</v>
      </c>
      <c r="R218" s="43" t="s">
        <v>392</v>
      </c>
      <c r="S218" s="125">
        <v>42635</v>
      </c>
      <c r="T218" s="117">
        <v>43089</v>
      </c>
      <c r="V218" s="43" t="s">
        <v>317</v>
      </c>
      <c r="X218" s="43" t="s">
        <v>318</v>
      </c>
      <c r="Y218" s="43" t="s">
        <v>361</v>
      </c>
      <c r="Z218" s="43" t="s">
        <v>361</v>
      </c>
      <c r="AA218" s="43" t="s">
        <v>320</v>
      </c>
      <c r="AB218" s="144">
        <v>4.5000001788139302E-2</v>
      </c>
      <c r="AC218" s="125">
        <v>43555</v>
      </c>
      <c r="AF218" s="43" t="s">
        <v>75</v>
      </c>
      <c r="AG218" s="43" t="s">
        <v>322</v>
      </c>
      <c r="AJ218" s="140">
        <v>0</v>
      </c>
      <c r="AK218" s="140">
        <v>9</v>
      </c>
      <c r="AL218" s="140">
        <v>0</v>
      </c>
      <c r="AM218" s="140">
        <v>3</v>
      </c>
      <c r="AN218" s="140">
        <v>0</v>
      </c>
      <c r="AO218" s="140">
        <v>5</v>
      </c>
      <c r="AP218" s="140">
        <v>6</v>
      </c>
      <c r="AQ218" s="140">
        <v>1</v>
      </c>
      <c r="AR218" s="140">
        <v>0</v>
      </c>
      <c r="AS218" s="140">
        <v>0</v>
      </c>
      <c r="AT218" s="140">
        <v>0</v>
      </c>
      <c r="AU218" s="140">
        <v>0</v>
      </c>
      <c r="AV218" s="140">
        <v>5</v>
      </c>
      <c r="AW218" s="140">
        <v>6</v>
      </c>
      <c r="AX218" s="140">
        <v>0</v>
      </c>
      <c r="AY218" s="140">
        <v>0</v>
      </c>
      <c r="AZ218" s="140">
        <v>0</v>
      </c>
      <c r="BA218" s="140">
        <v>0</v>
      </c>
      <c r="BB218" s="140">
        <v>0</v>
      </c>
      <c r="BC218" s="140">
        <v>0</v>
      </c>
      <c r="BD218" s="140">
        <v>0</v>
      </c>
      <c r="BE218" s="140">
        <v>1</v>
      </c>
      <c r="BF218" s="140">
        <v>0</v>
      </c>
      <c r="BG218" s="140">
        <v>0</v>
      </c>
      <c r="BH218" s="140">
        <v>0</v>
      </c>
      <c r="BI218" s="140">
        <v>0</v>
      </c>
      <c r="BJ218" s="140">
        <v>0</v>
      </c>
      <c r="BK218" s="140">
        <v>0</v>
      </c>
      <c r="BL218" s="140">
        <v>0</v>
      </c>
      <c r="BM218" s="140">
        <v>0</v>
      </c>
      <c r="BN218" s="140">
        <v>0</v>
      </c>
      <c r="BO218" s="140">
        <v>0</v>
      </c>
      <c r="BX218" s="43">
        <v>2</v>
      </c>
      <c r="BZ218" s="90">
        <f t="shared" si="15"/>
        <v>12</v>
      </c>
      <c r="CT218" s="90">
        <f t="shared" si="13"/>
        <v>12</v>
      </c>
      <c r="CU218" s="90">
        <f t="shared" si="14"/>
        <v>12</v>
      </c>
    </row>
    <row r="219" spans="1:99" ht="12" customHeight="1">
      <c r="A219" s="43">
        <v>1971</v>
      </c>
      <c r="B219" s="89" t="s">
        <v>813</v>
      </c>
      <c r="C219" s="89" t="s">
        <v>891</v>
      </c>
      <c r="D219" s="89" t="s">
        <v>892</v>
      </c>
      <c r="F219" s="43">
        <v>527831</v>
      </c>
      <c r="G219" s="43">
        <v>172116</v>
      </c>
      <c r="H219" s="89" t="s">
        <v>141</v>
      </c>
      <c r="I219" s="125">
        <v>43555</v>
      </c>
      <c r="K219" s="140">
        <v>0</v>
      </c>
      <c r="L219" s="140">
        <v>6</v>
      </c>
      <c r="M219" s="140">
        <v>6</v>
      </c>
      <c r="N219" s="140">
        <v>18</v>
      </c>
      <c r="O219" s="140">
        <v>18</v>
      </c>
      <c r="P219" s="43" t="s">
        <v>329</v>
      </c>
      <c r="Q219" s="89" t="s">
        <v>893</v>
      </c>
      <c r="R219" s="43" t="s">
        <v>392</v>
      </c>
      <c r="S219" s="125">
        <v>42635</v>
      </c>
      <c r="T219" s="117">
        <v>43089</v>
      </c>
      <c r="V219" s="43" t="s">
        <v>317</v>
      </c>
      <c r="X219" s="43" t="s">
        <v>318</v>
      </c>
      <c r="Y219" s="43" t="s">
        <v>361</v>
      </c>
      <c r="Z219" s="43" t="s">
        <v>361</v>
      </c>
      <c r="AA219" s="43" t="s">
        <v>320</v>
      </c>
      <c r="AB219" s="144">
        <v>4.1999999433755902E-2</v>
      </c>
      <c r="AC219" s="125">
        <v>43555</v>
      </c>
      <c r="AF219" s="43" t="s">
        <v>54</v>
      </c>
      <c r="AG219" s="43" t="s">
        <v>399</v>
      </c>
      <c r="AJ219" s="140">
        <v>0</v>
      </c>
      <c r="AK219" s="140">
        <v>6</v>
      </c>
      <c r="AL219" s="140">
        <v>0</v>
      </c>
      <c r="AM219" s="140">
        <v>0</v>
      </c>
      <c r="AN219" s="140">
        <v>0</v>
      </c>
      <c r="AO219" s="140">
        <v>2</v>
      </c>
      <c r="AP219" s="140">
        <v>4</v>
      </c>
      <c r="AQ219" s="140">
        <v>0</v>
      </c>
      <c r="AR219" s="140">
        <v>0</v>
      </c>
      <c r="AS219" s="140">
        <v>0</v>
      </c>
      <c r="AT219" s="140">
        <v>0</v>
      </c>
      <c r="AU219" s="140">
        <v>0</v>
      </c>
      <c r="AV219" s="140">
        <v>2</v>
      </c>
      <c r="AW219" s="140">
        <v>4</v>
      </c>
      <c r="AX219" s="140">
        <v>0</v>
      </c>
      <c r="AY219" s="140">
        <v>0</v>
      </c>
      <c r="AZ219" s="140">
        <v>0</v>
      </c>
      <c r="BA219" s="140">
        <v>0</v>
      </c>
      <c r="BB219" s="140">
        <v>0</v>
      </c>
      <c r="BC219" s="140">
        <v>0</v>
      </c>
      <c r="BD219" s="140">
        <v>0</v>
      </c>
      <c r="BE219" s="140">
        <v>0</v>
      </c>
      <c r="BF219" s="140">
        <v>0</v>
      </c>
      <c r="BG219" s="140">
        <v>0</v>
      </c>
      <c r="BH219" s="140">
        <v>0</v>
      </c>
      <c r="BI219" s="140">
        <v>0</v>
      </c>
      <c r="BJ219" s="140">
        <v>0</v>
      </c>
      <c r="BK219" s="140">
        <v>0</v>
      </c>
      <c r="BL219" s="140">
        <v>0</v>
      </c>
      <c r="BM219" s="140">
        <v>0</v>
      </c>
      <c r="BN219" s="140">
        <v>0</v>
      </c>
      <c r="BO219" s="140">
        <v>0</v>
      </c>
      <c r="BX219" s="43">
        <v>2</v>
      </c>
      <c r="BZ219" s="90">
        <f t="shared" si="15"/>
        <v>6</v>
      </c>
      <c r="CT219" s="90">
        <f t="shared" si="13"/>
        <v>6</v>
      </c>
      <c r="CU219" s="90">
        <f t="shared" si="14"/>
        <v>6</v>
      </c>
    </row>
    <row r="220" spans="1:99" ht="12" customHeight="1">
      <c r="A220" s="43">
        <v>2154</v>
      </c>
      <c r="B220" s="89" t="s">
        <v>813</v>
      </c>
      <c r="C220" s="89" t="s">
        <v>894</v>
      </c>
      <c r="D220" s="89" t="s">
        <v>895</v>
      </c>
      <c r="F220" s="43">
        <v>527691</v>
      </c>
      <c r="G220" s="43">
        <v>171695</v>
      </c>
      <c r="H220" s="89" t="s">
        <v>141</v>
      </c>
      <c r="I220" s="125">
        <v>42989</v>
      </c>
      <c r="K220" s="140">
        <v>0</v>
      </c>
      <c r="L220" s="140">
        <v>4</v>
      </c>
      <c r="M220" s="140">
        <v>4</v>
      </c>
      <c r="N220" s="140">
        <v>4</v>
      </c>
      <c r="O220" s="140">
        <v>4</v>
      </c>
      <c r="Q220" s="89" t="s">
        <v>896</v>
      </c>
      <c r="R220" s="43" t="s">
        <v>316</v>
      </c>
      <c r="S220" s="125">
        <v>41765</v>
      </c>
      <c r="T220" s="117">
        <v>41838</v>
      </c>
      <c r="V220" s="43" t="s">
        <v>317</v>
      </c>
      <c r="X220" s="43" t="s">
        <v>318</v>
      </c>
      <c r="Y220" s="43" t="s">
        <v>319</v>
      </c>
      <c r="Z220" s="43" t="s">
        <v>320</v>
      </c>
      <c r="AA220" s="43" t="s">
        <v>353</v>
      </c>
      <c r="AB220" s="144">
        <v>1.8999999389052401E-2</v>
      </c>
      <c r="AC220" s="125">
        <v>42989</v>
      </c>
      <c r="AF220" s="43" t="s">
        <v>75</v>
      </c>
      <c r="AG220" s="43" t="s">
        <v>322</v>
      </c>
      <c r="AJ220" s="140">
        <v>0</v>
      </c>
      <c r="AK220" s="140">
        <v>0</v>
      </c>
      <c r="AL220" s="140">
        <v>0</v>
      </c>
      <c r="AM220" s="140">
        <v>0</v>
      </c>
      <c r="AN220" s="140">
        <v>0</v>
      </c>
      <c r="AO220" s="140">
        <v>0</v>
      </c>
      <c r="AP220" s="140">
        <v>2</v>
      </c>
      <c r="AQ220" s="140">
        <v>2</v>
      </c>
      <c r="AR220" s="140">
        <v>0</v>
      </c>
      <c r="AS220" s="140">
        <v>0</v>
      </c>
      <c r="AT220" s="140">
        <v>0</v>
      </c>
      <c r="AU220" s="140">
        <v>0</v>
      </c>
      <c r="AV220" s="140">
        <v>0</v>
      </c>
      <c r="AW220" s="140">
        <v>2</v>
      </c>
      <c r="AX220" s="140">
        <v>2</v>
      </c>
      <c r="AY220" s="140">
        <v>0</v>
      </c>
      <c r="AZ220" s="140">
        <v>0</v>
      </c>
      <c r="BA220" s="140">
        <v>0</v>
      </c>
      <c r="BB220" s="140">
        <v>0</v>
      </c>
      <c r="BC220" s="140">
        <v>0</v>
      </c>
      <c r="BD220" s="140">
        <v>0</v>
      </c>
      <c r="BE220" s="140">
        <v>0</v>
      </c>
      <c r="BF220" s="140">
        <v>0</v>
      </c>
      <c r="BG220" s="140">
        <v>0</v>
      </c>
      <c r="BH220" s="140">
        <v>0</v>
      </c>
      <c r="BI220" s="140">
        <v>0</v>
      </c>
      <c r="BJ220" s="140">
        <v>0</v>
      </c>
      <c r="BK220" s="140">
        <v>0</v>
      </c>
      <c r="BL220" s="140">
        <v>0</v>
      </c>
      <c r="BM220" s="140">
        <v>0</v>
      </c>
      <c r="BN220" s="140">
        <v>0</v>
      </c>
      <c r="BO220" s="140">
        <v>0</v>
      </c>
      <c r="BX220" s="43">
        <v>13</v>
      </c>
      <c r="BZ220" s="90">
        <f t="shared" si="15"/>
        <v>4</v>
      </c>
      <c r="CT220" s="90">
        <f t="shared" si="13"/>
        <v>4</v>
      </c>
      <c r="CU220" s="90">
        <f t="shared" si="14"/>
        <v>4</v>
      </c>
    </row>
    <row r="221" spans="1:99" ht="12" customHeight="1">
      <c r="A221" s="43">
        <v>2157</v>
      </c>
      <c r="B221" s="89" t="s">
        <v>813</v>
      </c>
      <c r="C221" s="89" t="s">
        <v>897</v>
      </c>
      <c r="D221" s="89" t="s">
        <v>898</v>
      </c>
      <c r="F221" s="43">
        <v>528141</v>
      </c>
      <c r="G221" s="43">
        <v>172013</v>
      </c>
      <c r="H221" s="89" t="s">
        <v>167</v>
      </c>
      <c r="I221" s="125">
        <v>43087</v>
      </c>
      <c r="K221" s="140">
        <v>0</v>
      </c>
      <c r="L221" s="140">
        <v>3</v>
      </c>
      <c r="M221" s="140">
        <v>3</v>
      </c>
      <c r="N221" s="140">
        <v>3</v>
      </c>
      <c r="O221" s="140">
        <v>3</v>
      </c>
      <c r="Q221" s="89" t="s">
        <v>899</v>
      </c>
      <c r="R221" s="43" t="s">
        <v>316</v>
      </c>
      <c r="S221" s="125">
        <v>41870</v>
      </c>
      <c r="T221" s="117">
        <v>41992</v>
      </c>
      <c r="V221" s="43" t="s">
        <v>317</v>
      </c>
      <c r="X221" s="43" t="s">
        <v>318</v>
      </c>
      <c r="Y221" s="43" t="s">
        <v>361</v>
      </c>
      <c r="Z221" s="43" t="s">
        <v>320</v>
      </c>
      <c r="AA221" s="43" t="s">
        <v>353</v>
      </c>
      <c r="AB221" s="144">
        <v>6.1999998986720997E-2</v>
      </c>
      <c r="AC221" s="125">
        <v>43087</v>
      </c>
      <c r="AF221" s="43" t="s">
        <v>75</v>
      </c>
      <c r="AG221" s="43" t="s">
        <v>322</v>
      </c>
      <c r="AJ221" s="140">
        <v>0</v>
      </c>
      <c r="AK221" s="140">
        <v>0</v>
      </c>
      <c r="AL221" s="140">
        <v>0</v>
      </c>
      <c r="AM221" s="140">
        <v>0</v>
      </c>
      <c r="AN221" s="140">
        <v>0</v>
      </c>
      <c r="AO221" s="140">
        <v>0</v>
      </c>
      <c r="AP221" s="140">
        <v>0</v>
      </c>
      <c r="AQ221" s="140">
        <v>2</v>
      </c>
      <c r="AR221" s="140">
        <v>1</v>
      </c>
      <c r="AS221" s="140">
        <v>0</v>
      </c>
      <c r="AT221" s="140">
        <v>0</v>
      </c>
      <c r="AU221" s="140">
        <v>0</v>
      </c>
      <c r="AV221" s="140">
        <v>0</v>
      </c>
      <c r="AW221" s="140">
        <v>0</v>
      </c>
      <c r="AX221" s="140">
        <v>0</v>
      </c>
      <c r="AY221" s="140">
        <v>0</v>
      </c>
      <c r="AZ221" s="140">
        <v>0</v>
      </c>
      <c r="BA221" s="140">
        <v>0</v>
      </c>
      <c r="BB221" s="140">
        <v>0</v>
      </c>
      <c r="BC221" s="140">
        <v>0</v>
      </c>
      <c r="BD221" s="140">
        <v>0</v>
      </c>
      <c r="BE221" s="140">
        <v>2</v>
      </c>
      <c r="BF221" s="140">
        <v>1</v>
      </c>
      <c r="BG221" s="140">
        <v>0</v>
      </c>
      <c r="BH221" s="140">
        <v>0</v>
      </c>
      <c r="BI221" s="140">
        <v>0</v>
      </c>
      <c r="BJ221" s="140">
        <v>0</v>
      </c>
      <c r="BK221" s="140">
        <v>0</v>
      </c>
      <c r="BL221" s="140">
        <v>0</v>
      </c>
      <c r="BM221" s="140">
        <v>0</v>
      </c>
      <c r="BN221" s="140">
        <v>0</v>
      </c>
      <c r="BO221" s="140">
        <v>0</v>
      </c>
      <c r="BX221" s="43">
        <v>2</v>
      </c>
      <c r="BZ221" s="90">
        <f t="shared" si="15"/>
        <v>3</v>
      </c>
      <c r="CT221" s="90">
        <f t="shared" si="13"/>
        <v>3</v>
      </c>
      <c r="CU221" s="90">
        <f t="shared" si="14"/>
        <v>3</v>
      </c>
    </row>
    <row r="222" spans="1:99" ht="12" customHeight="1">
      <c r="A222" s="43">
        <v>2304</v>
      </c>
      <c r="B222" s="89" t="s">
        <v>813</v>
      </c>
      <c r="C222" s="89" t="s">
        <v>900</v>
      </c>
      <c r="D222" s="89" t="s">
        <v>901</v>
      </c>
      <c r="F222" s="43">
        <v>528666</v>
      </c>
      <c r="G222" s="43">
        <v>177450</v>
      </c>
      <c r="H222" s="89" t="s">
        <v>148</v>
      </c>
      <c r="I222" s="125">
        <v>43555</v>
      </c>
      <c r="K222" s="140">
        <v>0</v>
      </c>
      <c r="L222" s="140">
        <v>7</v>
      </c>
      <c r="M222" s="140">
        <v>7</v>
      </c>
      <c r="N222" s="140">
        <v>7</v>
      </c>
      <c r="O222" s="140">
        <v>7</v>
      </c>
      <c r="Q222" s="89" t="s">
        <v>902</v>
      </c>
      <c r="R222" s="43" t="s">
        <v>392</v>
      </c>
      <c r="S222" s="125">
        <v>42296</v>
      </c>
      <c r="T222" s="117">
        <v>42465</v>
      </c>
      <c r="V222" s="43" t="s">
        <v>317</v>
      </c>
      <c r="X222" s="43" t="s">
        <v>318</v>
      </c>
      <c r="Y222" s="43" t="s">
        <v>336</v>
      </c>
      <c r="Z222" s="43" t="s">
        <v>320</v>
      </c>
      <c r="AA222" s="43" t="s">
        <v>33</v>
      </c>
      <c r="AB222" s="144">
        <v>5.9000000357627903E-2</v>
      </c>
      <c r="AC222" s="125">
        <v>43555</v>
      </c>
      <c r="AF222" s="43" t="s">
        <v>75</v>
      </c>
      <c r="AG222" s="43" t="s">
        <v>322</v>
      </c>
      <c r="AJ222" s="140">
        <v>7</v>
      </c>
      <c r="AK222" s="140">
        <v>0</v>
      </c>
      <c r="AL222" s="140">
        <v>0</v>
      </c>
      <c r="AM222" s="140">
        <v>0</v>
      </c>
      <c r="AN222" s="140">
        <v>0</v>
      </c>
      <c r="AO222" s="140">
        <v>3</v>
      </c>
      <c r="AP222" s="140">
        <v>4</v>
      </c>
      <c r="AQ222" s="140">
        <v>0</v>
      </c>
      <c r="AR222" s="140">
        <v>0</v>
      </c>
      <c r="AS222" s="140">
        <v>0</v>
      </c>
      <c r="AT222" s="140">
        <v>0</v>
      </c>
      <c r="AU222" s="140">
        <v>0</v>
      </c>
      <c r="AV222" s="140">
        <v>3</v>
      </c>
      <c r="AW222" s="140">
        <v>4</v>
      </c>
      <c r="AX222" s="140">
        <v>0</v>
      </c>
      <c r="AY222" s="140">
        <v>0</v>
      </c>
      <c r="AZ222" s="140">
        <v>0</v>
      </c>
      <c r="BA222" s="140">
        <v>0</v>
      </c>
      <c r="BB222" s="140">
        <v>0</v>
      </c>
      <c r="BC222" s="140">
        <v>0</v>
      </c>
      <c r="BD222" s="140">
        <v>0</v>
      </c>
      <c r="BE222" s="140">
        <v>0</v>
      </c>
      <c r="BF222" s="140">
        <v>0</v>
      </c>
      <c r="BG222" s="140">
        <v>0</v>
      </c>
      <c r="BH222" s="140">
        <v>0</v>
      </c>
      <c r="BI222" s="140">
        <v>0</v>
      </c>
      <c r="BJ222" s="140">
        <v>0</v>
      </c>
      <c r="BK222" s="140">
        <v>0</v>
      </c>
      <c r="BL222" s="140">
        <v>0</v>
      </c>
      <c r="BM222" s="140">
        <v>0</v>
      </c>
      <c r="BN222" s="140">
        <v>0</v>
      </c>
      <c r="BO222" s="140">
        <v>0</v>
      </c>
      <c r="BQ222" s="43" t="s">
        <v>329</v>
      </c>
      <c r="BX222" s="43">
        <v>13</v>
      </c>
      <c r="BZ222" s="90">
        <f t="shared" si="15"/>
        <v>7</v>
      </c>
      <c r="CT222" s="90">
        <f t="shared" si="13"/>
        <v>7</v>
      </c>
      <c r="CU222" s="90">
        <f t="shared" si="14"/>
        <v>7</v>
      </c>
    </row>
    <row r="223" spans="1:99" ht="12" customHeight="1">
      <c r="A223" s="43">
        <v>2305</v>
      </c>
      <c r="B223" s="89" t="s">
        <v>813</v>
      </c>
      <c r="C223" s="89" t="s">
        <v>903</v>
      </c>
      <c r="D223" s="89" t="s">
        <v>904</v>
      </c>
      <c r="F223" s="43">
        <v>528440</v>
      </c>
      <c r="G223" s="43">
        <v>173367</v>
      </c>
      <c r="H223" s="89" t="s">
        <v>173</v>
      </c>
      <c r="I223" s="125">
        <v>43617</v>
      </c>
      <c r="K223" s="140">
        <v>0</v>
      </c>
      <c r="L223" s="140">
        <v>18</v>
      </c>
      <c r="M223" s="140">
        <v>18</v>
      </c>
      <c r="N223" s="140">
        <v>28</v>
      </c>
      <c r="O223" s="140">
        <v>28</v>
      </c>
      <c r="P223" s="43" t="s">
        <v>329</v>
      </c>
      <c r="Q223" s="89" t="s">
        <v>905</v>
      </c>
      <c r="R223" s="43" t="s">
        <v>392</v>
      </c>
      <c r="S223" s="125">
        <v>43216</v>
      </c>
      <c r="T223" s="117">
        <v>43539</v>
      </c>
      <c r="V223" s="43" t="s">
        <v>317</v>
      </c>
      <c r="X223" s="43" t="s">
        <v>318</v>
      </c>
      <c r="Y223" s="43" t="s">
        <v>361</v>
      </c>
      <c r="Z223" s="43" t="s">
        <v>361</v>
      </c>
      <c r="AA223" s="43" t="s">
        <v>320</v>
      </c>
      <c r="AB223" s="144">
        <v>0.25900000333786</v>
      </c>
      <c r="AC223" s="125">
        <v>43617</v>
      </c>
      <c r="AD223" s="43" t="s">
        <v>329</v>
      </c>
      <c r="AF223" s="43" t="s">
        <v>75</v>
      </c>
      <c r="AG223" s="43" t="s">
        <v>322</v>
      </c>
      <c r="AI223" s="43">
        <v>17320226</v>
      </c>
      <c r="AJ223" s="140">
        <v>0</v>
      </c>
      <c r="AK223" s="140">
        <v>16</v>
      </c>
      <c r="AL223" s="140">
        <v>0</v>
      </c>
      <c r="AM223" s="140">
        <v>2</v>
      </c>
      <c r="AN223" s="140">
        <v>0</v>
      </c>
      <c r="AO223" s="140">
        <v>0</v>
      </c>
      <c r="AP223" s="140">
        <v>2</v>
      </c>
      <c r="AQ223" s="140">
        <v>11</v>
      </c>
      <c r="AR223" s="140">
        <v>5</v>
      </c>
      <c r="AS223" s="140">
        <v>0</v>
      </c>
      <c r="AT223" s="140">
        <v>0</v>
      </c>
      <c r="AU223" s="140">
        <v>0</v>
      </c>
      <c r="AV223" s="140">
        <v>0</v>
      </c>
      <c r="AW223" s="140">
        <v>2</v>
      </c>
      <c r="AX223" s="140">
        <v>3</v>
      </c>
      <c r="AY223" s="140">
        <v>0</v>
      </c>
      <c r="AZ223" s="140">
        <v>0</v>
      </c>
      <c r="BA223" s="140">
        <v>0</v>
      </c>
      <c r="BB223" s="140">
        <v>0</v>
      </c>
      <c r="BC223" s="140">
        <v>0</v>
      </c>
      <c r="BD223" s="140">
        <v>0</v>
      </c>
      <c r="BE223" s="140">
        <v>8</v>
      </c>
      <c r="BF223" s="140">
        <v>5</v>
      </c>
      <c r="BG223" s="140">
        <v>0</v>
      </c>
      <c r="BH223" s="140">
        <v>0</v>
      </c>
      <c r="BI223" s="140">
        <v>0</v>
      </c>
      <c r="BJ223" s="140">
        <v>0</v>
      </c>
      <c r="BK223" s="140">
        <v>0</v>
      </c>
      <c r="BL223" s="140">
        <v>0</v>
      </c>
      <c r="BM223" s="140">
        <v>0</v>
      </c>
      <c r="BN223" s="140">
        <v>0</v>
      </c>
      <c r="BO223" s="140">
        <v>0</v>
      </c>
      <c r="BP223" s="43" t="s">
        <v>138</v>
      </c>
      <c r="BX223" s="43">
        <v>4</v>
      </c>
      <c r="CA223" s="90">
        <f>M223</f>
        <v>18</v>
      </c>
      <c r="CT223" s="90">
        <f t="shared" si="13"/>
        <v>18</v>
      </c>
      <c r="CU223" s="90">
        <f t="shared" si="14"/>
        <v>18</v>
      </c>
    </row>
    <row r="224" spans="1:99" ht="12" customHeight="1">
      <c r="A224" s="43">
        <v>2305</v>
      </c>
      <c r="B224" s="89" t="s">
        <v>813</v>
      </c>
      <c r="C224" s="89" t="s">
        <v>903</v>
      </c>
      <c r="D224" s="89" t="s">
        <v>904</v>
      </c>
      <c r="F224" s="43">
        <v>528440</v>
      </c>
      <c r="G224" s="43">
        <v>173367</v>
      </c>
      <c r="H224" s="89" t="s">
        <v>173</v>
      </c>
      <c r="I224" s="125">
        <v>43617</v>
      </c>
      <c r="K224" s="140">
        <v>0</v>
      </c>
      <c r="L224" s="140">
        <v>10</v>
      </c>
      <c r="M224" s="140">
        <v>10</v>
      </c>
      <c r="N224" s="140">
        <v>28</v>
      </c>
      <c r="O224" s="140">
        <v>28</v>
      </c>
      <c r="P224" s="43" t="s">
        <v>329</v>
      </c>
      <c r="Q224" s="89" t="s">
        <v>905</v>
      </c>
      <c r="R224" s="43" t="s">
        <v>392</v>
      </c>
      <c r="S224" s="125">
        <v>43216</v>
      </c>
      <c r="T224" s="117">
        <v>43539</v>
      </c>
      <c r="V224" s="43" t="s">
        <v>317</v>
      </c>
      <c r="X224" s="43" t="s">
        <v>318</v>
      </c>
      <c r="Y224" s="43" t="s">
        <v>361</v>
      </c>
      <c r="Z224" s="43" t="s">
        <v>361</v>
      </c>
      <c r="AA224" s="43" t="s">
        <v>320</v>
      </c>
      <c r="AB224" s="144">
        <v>0.143999993801117</v>
      </c>
      <c r="AC224" s="125">
        <v>43617</v>
      </c>
      <c r="AD224" s="43" t="s">
        <v>329</v>
      </c>
      <c r="AF224" s="43" t="s">
        <v>54</v>
      </c>
      <c r="AG224" s="43" t="s">
        <v>399</v>
      </c>
      <c r="AI224" s="43">
        <v>17320226</v>
      </c>
      <c r="AJ224" s="140">
        <v>0</v>
      </c>
      <c r="AK224" s="140">
        <v>9</v>
      </c>
      <c r="AL224" s="140">
        <v>0</v>
      </c>
      <c r="AM224" s="140">
        <v>1</v>
      </c>
      <c r="AN224" s="140">
        <v>0</v>
      </c>
      <c r="AO224" s="140">
        <v>6</v>
      </c>
      <c r="AP224" s="140">
        <v>1</v>
      </c>
      <c r="AQ224" s="140">
        <v>3</v>
      </c>
      <c r="AR224" s="140">
        <v>0</v>
      </c>
      <c r="AS224" s="140">
        <v>0</v>
      </c>
      <c r="AT224" s="140">
        <v>0</v>
      </c>
      <c r="AU224" s="140">
        <v>0</v>
      </c>
      <c r="AV224" s="140">
        <v>6</v>
      </c>
      <c r="AW224" s="140">
        <v>1</v>
      </c>
      <c r="AX224" s="140">
        <v>3</v>
      </c>
      <c r="AY224" s="140">
        <v>0</v>
      </c>
      <c r="AZ224" s="140">
        <v>0</v>
      </c>
      <c r="BA224" s="140">
        <v>0</v>
      </c>
      <c r="BB224" s="140">
        <v>0</v>
      </c>
      <c r="BC224" s="140">
        <v>0</v>
      </c>
      <c r="BD224" s="140">
        <v>0</v>
      </c>
      <c r="BE224" s="140">
        <v>0</v>
      </c>
      <c r="BF224" s="140">
        <v>0</v>
      </c>
      <c r="BG224" s="140">
        <v>0</v>
      </c>
      <c r="BH224" s="140">
        <v>0</v>
      </c>
      <c r="BI224" s="140">
        <v>0</v>
      </c>
      <c r="BJ224" s="140">
        <v>0</v>
      </c>
      <c r="BK224" s="140">
        <v>0</v>
      </c>
      <c r="BL224" s="140">
        <v>0</v>
      </c>
      <c r="BM224" s="140">
        <v>0</v>
      </c>
      <c r="BN224" s="140">
        <v>0</v>
      </c>
      <c r="BO224" s="140">
        <v>0</v>
      </c>
      <c r="BP224" s="43" t="s">
        <v>138</v>
      </c>
      <c r="BX224" s="43">
        <v>4</v>
      </c>
      <c r="CA224" s="90">
        <f>M224</f>
        <v>10</v>
      </c>
      <c r="CT224" s="90">
        <f t="shared" si="13"/>
        <v>10</v>
      </c>
      <c r="CU224" s="90">
        <f t="shared" si="14"/>
        <v>10</v>
      </c>
    </row>
    <row r="225" spans="1:99" ht="12" customHeight="1">
      <c r="A225" s="43">
        <v>2329</v>
      </c>
      <c r="B225" s="89" t="s">
        <v>813</v>
      </c>
      <c r="C225" s="89" t="s">
        <v>906</v>
      </c>
      <c r="D225" s="89" t="s">
        <v>907</v>
      </c>
      <c r="F225" s="43">
        <v>526048</v>
      </c>
      <c r="G225" s="43">
        <v>173206</v>
      </c>
      <c r="H225" s="89" t="s">
        <v>168</v>
      </c>
      <c r="I225" s="125">
        <v>43921</v>
      </c>
      <c r="K225" s="140">
        <v>0</v>
      </c>
      <c r="L225" s="140">
        <v>6</v>
      </c>
      <c r="M225" s="140">
        <v>6</v>
      </c>
      <c r="N225" s="140">
        <v>6</v>
      </c>
      <c r="O225" s="140">
        <v>6</v>
      </c>
      <c r="Q225" s="89" t="s">
        <v>908</v>
      </c>
      <c r="R225" s="43" t="s">
        <v>316</v>
      </c>
      <c r="S225" s="125">
        <v>40353</v>
      </c>
      <c r="T225" s="117">
        <v>40414</v>
      </c>
      <c r="V225" s="43" t="s">
        <v>317</v>
      </c>
      <c r="X225" s="43" t="s">
        <v>318</v>
      </c>
      <c r="Y225" s="43" t="s">
        <v>361</v>
      </c>
      <c r="Z225" s="43" t="s">
        <v>320</v>
      </c>
      <c r="AA225" s="43" t="s">
        <v>353</v>
      </c>
      <c r="AB225" s="144">
        <v>3.4000001847744002E-2</v>
      </c>
      <c r="AC225" s="125">
        <v>43921</v>
      </c>
      <c r="AD225" s="43" t="s">
        <v>329</v>
      </c>
      <c r="AF225" s="43" t="s">
        <v>55</v>
      </c>
      <c r="AG225" s="43" t="s">
        <v>526</v>
      </c>
      <c r="AJ225" s="140">
        <v>1</v>
      </c>
      <c r="AK225" s="140">
        <v>0</v>
      </c>
      <c r="AL225" s="140">
        <v>1</v>
      </c>
      <c r="AM225" s="140">
        <v>0</v>
      </c>
      <c r="AN225" s="140">
        <v>0</v>
      </c>
      <c r="AO225" s="140">
        <v>3</v>
      </c>
      <c r="AP225" s="140">
        <v>3</v>
      </c>
      <c r="AQ225" s="140">
        <v>0</v>
      </c>
      <c r="AR225" s="140">
        <v>0</v>
      </c>
      <c r="AS225" s="140">
        <v>0</v>
      </c>
      <c r="AT225" s="140">
        <v>0</v>
      </c>
      <c r="AU225" s="140">
        <v>0</v>
      </c>
      <c r="AV225" s="140">
        <v>3</v>
      </c>
      <c r="AW225" s="140">
        <v>3</v>
      </c>
      <c r="AX225" s="140">
        <v>0</v>
      </c>
      <c r="AY225" s="140">
        <v>0</v>
      </c>
      <c r="AZ225" s="140">
        <v>0</v>
      </c>
      <c r="BA225" s="140">
        <v>0</v>
      </c>
      <c r="BB225" s="140">
        <v>0</v>
      </c>
      <c r="BC225" s="140">
        <v>0</v>
      </c>
      <c r="BD225" s="140">
        <v>0</v>
      </c>
      <c r="BE225" s="140">
        <v>0</v>
      </c>
      <c r="BF225" s="140">
        <v>0</v>
      </c>
      <c r="BG225" s="140">
        <v>0</v>
      </c>
      <c r="BH225" s="140">
        <v>0</v>
      </c>
      <c r="BI225" s="140">
        <v>0</v>
      </c>
      <c r="BJ225" s="140">
        <v>0</v>
      </c>
      <c r="BK225" s="140">
        <v>0</v>
      </c>
      <c r="BL225" s="140">
        <v>0</v>
      </c>
      <c r="BM225" s="140">
        <v>0</v>
      </c>
      <c r="BN225" s="140">
        <v>0</v>
      </c>
      <c r="BO225" s="140">
        <v>0</v>
      </c>
      <c r="BW225" s="43" t="s">
        <v>329</v>
      </c>
      <c r="BX225" s="43">
        <v>3</v>
      </c>
      <c r="BZ225" s="90">
        <f>$M225/2</f>
        <v>3</v>
      </c>
      <c r="CA225" s="90">
        <f>$M225/2</f>
        <v>3</v>
      </c>
      <c r="CT225" s="90">
        <f t="shared" si="13"/>
        <v>6</v>
      </c>
      <c r="CU225" s="90">
        <f t="shared" si="14"/>
        <v>6</v>
      </c>
    </row>
    <row r="226" spans="1:99" ht="12" customHeight="1">
      <c r="A226" s="43">
        <v>2338</v>
      </c>
      <c r="B226" s="89" t="s">
        <v>813</v>
      </c>
      <c r="C226" s="89" t="s">
        <v>909</v>
      </c>
      <c r="D226" s="89" t="s">
        <v>910</v>
      </c>
      <c r="F226" s="43">
        <v>527689</v>
      </c>
      <c r="G226" s="43">
        <v>175864</v>
      </c>
      <c r="H226" s="89" t="s">
        <v>175</v>
      </c>
      <c r="I226" s="125">
        <v>43154</v>
      </c>
      <c r="K226" s="140">
        <v>0</v>
      </c>
      <c r="L226" s="140">
        <v>1</v>
      </c>
      <c r="M226" s="140">
        <v>1</v>
      </c>
      <c r="N226" s="140">
        <v>1</v>
      </c>
      <c r="O226" s="140">
        <v>1</v>
      </c>
      <c r="Q226" s="89" t="s">
        <v>911</v>
      </c>
      <c r="R226" s="43" t="s">
        <v>316</v>
      </c>
      <c r="S226" s="125">
        <v>41925</v>
      </c>
      <c r="T226" s="117">
        <v>42062</v>
      </c>
      <c r="V226" s="43" t="s">
        <v>317</v>
      </c>
      <c r="X226" s="43" t="s">
        <v>318</v>
      </c>
      <c r="Y226" s="43" t="s">
        <v>361</v>
      </c>
      <c r="Z226" s="43" t="s">
        <v>320</v>
      </c>
      <c r="AA226" s="43" t="s">
        <v>353</v>
      </c>
      <c r="AB226" s="144">
        <v>8.0000003799796104E-3</v>
      </c>
      <c r="AC226" s="125">
        <v>43154</v>
      </c>
      <c r="AF226" s="43" t="s">
        <v>75</v>
      </c>
      <c r="AG226" s="43" t="s">
        <v>322</v>
      </c>
      <c r="AJ226" s="140">
        <v>0</v>
      </c>
      <c r="AK226" s="140">
        <v>0</v>
      </c>
      <c r="AL226" s="140">
        <v>0</v>
      </c>
      <c r="AM226" s="140">
        <v>0</v>
      </c>
      <c r="AN226" s="140">
        <v>0</v>
      </c>
      <c r="AO226" s="140">
        <v>0</v>
      </c>
      <c r="AP226" s="140">
        <v>1</v>
      </c>
      <c r="AQ226" s="140">
        <v>0</v>
      </c>
      <c r="AR226" s="140">
        <v>0</v>
      </c>
      <c r="AS226" s="140">
        <v>0</v>
      </c>
      <c r="AT226" s="140">
        <v>0</v>
      </c>
      <c r="AU226" s="140">
        <v>0</v>
      </c>
      <c r="AV226" s="140">
        <v>0</v>
      </c>
      <c r="AW226" s="140">
        <v>1</v>
      </c>
      <c r="AX226" s="140">
        <v>0</v>
      </c>
      <c r="AY226" s="140">
        <v>0</v>
      </c>
      <c r="AZ226" s="140">
        <v>0</v>
      </c>
      <c r="BA226" s="140">
        <v>0</v>
      </c>
      <c r="BB226" s="140">
        <v>0</v>
      </c>
      <c r="BC226" s="140">
        <v>0</v>
      </c>
      <c r="BD226" s="140">
        <v>0</v>
      </c>
      <c r="BE226" s="140">
        <v>0</v>
      </c>
      <c r="BF226" s="140">
        <v>0</v>
      </c>
      <c r="BG226" s="140">
        <v>0</v>
      </c>
      <c r="BH226" s="140">
        <v>0</v>
      </c>
      <c r="BI226" s="140">
        <v>0</v>
      </c>
      <c r="BJ226" s="140">
        <v>0</v>
      </c>
      <c r="BK226" s="140">
        <v>0</v>
      </c>
      <c r="BL226" s="140">
        <v>0</v>
      </c>
      <c r="BM226" s="140">
        <v>0</v>
      </c>
      <c r="BN226" s="140">
        <v>0</v>
      </c>
      <c r="BO226" s="140">
        <v>0</v>
      </c>
      <c r="BX226" s="43">
        <v>2</v>
      </c>
      <c r="BZ226" s="90">
        <f>M226</f>
        <v>1</v>
      </c>
      <c r="CT226" s="90">
        <f t="shared" si="13"/>
        <v>1</v>
      </c>
      <c r="CU226" s="90">
        <f t="shared" si="14"/>
        <v>1</v>
      </c>
    </row>
    <row r="227" spans="1:99" ht="12" customHeight="1">
      <c r="A227" s="43">
        <v>2411</v>
      </c>
      <c r="B227" s="89" t="s">
        <v>813</v>
      </c>
      <c r="C227" s="89" t="s">
        <v>912</v>
      </c>
      <c r="D227" s="89" t="s">
        <v>913</v>
      </c>
      <c r="E227" s="89" t="s">
        <v>914</v>
      </c>
      <c r="F227" s="43">
        <v>528934</v>
      </c>
      <c r="G227" s="43">
        <v>177496</v>
      </c>
      <c r="H227" s="89" t="s">
        <v>148</v>
      </c>
      <c r="I227" s="125">
        <v>41698</v>
      </c>
      <c r="K227" s="140">
        <v>0</v>
      </c>
      <c r="L227" s="140">
        <v>253</v>
      </c>
      <c r="M227" s="140">
        <v>253</v>
      </c>
      <c r="N227" s="140">
        <v>253</v>
      </c>
      <c r="O227" s="140">
        <v>253</v>
      </c>
      <c r="P227" s="43" t="s">
        <v>329</v>
      </c>
      <c r="Q227" s="89" t="s">
        <v>915</v>
      </c>
      <c r="R227" s="43" t="s">
        <v>406</v>
      </c>
      <c r="S227" s="125">
        <v>42817</v>
      </c>
      <c r="T227" s="117">
        <v>42873</v>
      </c>
      <c r="V227" s="43" t="s">
        <v>317</v>
      </c>
      <c r="X227" s="43" t="s">
        <v>318</v>
      </c>
      <c r="Y227" s="43" t="s">
        <v>319</v>
      </c>
      <c r="Z227" s="43" t="s">
        <v>536</v>
      </c>
      <c r="AA227" s="43" t="s">
        <v>320</v>
      </c>
      <c r="AB227" s="144">
        <v>0.31900000572204601</v>
      </c>
      <c r="AC227" s="125">
        <v>41698</v>
      </c>
      <c r="AF227" s="43" t="s">
        <v>75</v>
      </c>
      <c r="AG227" s="43" t="s">
        <v>322</v>
      </c>
      <c r="AH227" s="43" t="s">
        <v>916</v>
      </c>
      <c r="AJ227" s="140">
        <v>253</v>
      </c>
      <c r="AK227" s="140">
        <v>0</v>
      </c>
      <c r="AL227" s="140">
        <v>25</v>
      </c>
      <c r="AM227" s="140">
        <v>0</v>
      </c>
      <c r="AN227" s="140">
        <v>73</v>
      </c>
      <c r="AO227" s="140">
        <v>48</v>
      </c>
      <c r="AP227" s="140">
        <v>79</v>
      </c>
      <c r="AQ227" s="140">
        <v>41</v>
      </c>
      <c r="AR227" s="140">
        <v>9</v>
      </c>
      <c r="AS227" s="140">
        <v>3</v>
      </c>
      <c r="AT227" s="140">
        <v>0</v>
      </c>
      <c r="AU227" s="140">
        <v>73</v>
      </c>
      <c r="AV227" s="140">
        <v>48</v>
      </c>
      <c r="AW227" s="140">
        <v>79</v>
      </c>
      <c r="AX227" s="140">
        <v>41</v>
      </c>
      <c r="AY227" s="140">
        <v>9</v>
      </c>
      <c r="AZ227" s="140">
        <v>3</v>
      </c>
      <c r="BA227" s="140">
        <v>0</v>
      </c>
      <c r="BB227" s="140">
        <v>0</v>
      </c>
      <c r="BC227" s="140">
        <v>0</v>
      </c>
      <c r="BD227" s="140">
        <v>0</v>
      </c>
      <c r="BE227" s="140">
        <v>0</v>
      </c>
      <c r="BF227" s="140">
        <v>0</v>
      </c>
      <c r="BG227" s="140">
        <v>0</v>
      </c>
      <c r="BH227" s="140">
        <v>0</v>
      </c>
      <c r="BI227" s="140">
        <v>0</v>
      </c>
      <c r="BJ227" s="140">
        <v>0</v>
      </c>
      <c r="BK227" s="140">
        <v>0</v>
      </c>
      <c r="BL227" s="140">
        <v>0</v>
      </c>
      <c r="BM227" s="140">
        <v>0</v>
      </c>
      <c r="BN227" s="140">
        <v>0</v>
      </c>
      <c r="BO227" s="140">
        <v>0</v>
      </c>
      <c r="BQ227" s="43" t="s">
        <v>329</v>
      </c>
      <c r="BX227" s="43">
        <v>21</v>
      </c>
      <c r="BZ227" s="90">
        <f>M227</f>
        <v>253</v>
      </c>
      <c r="CT227" s="90">
        <f t="shared" si="13"/>
        <v>253</v>
      </c>
      <c r="CU227" s="90">
        <f t="shared" si="14"/>
        <v>253</v>
      </c>
    </row>
    <row r="228" spans="1:99" ht="12" customHeight="1">
      <c r="A228" s="43">
        <v>2411</v>
      </c>
      <c r="B228" s="89" t="s">
        <v>813</v>
      </c>
      <c r="C228" s="89" t="s">
        <v>917</v>
      </c>
      <c r="D228" s="89" t="s">
        <v>913</v>
      </c>
      <c r="E228" s="89" t="s">
        <v>918</v>
      </c>
      <c r="F228" s="43">
        <v>528934</v>
      </c>
      <c r="G228" s="43">
        <v>177496</v>
      </c>
      <c r="H228" s="89" t="s">
        <v>148</v>
      </c>
      <c r="I228" s="125">
        <v>42506</v>
      </c>
      <c r="K228" s="140">
        <v>0</v>
      </c>
      <c r="L228" s="140">
        <v>536</v>
      </c>
      <c r="M228" s="140">
        <v>536</v>
      </c>
      <c r="N228" s="140">
        <v>1363</v>
      </c>
      <c r="O228" s="140">
        <v>1363</v>
      </c>
      <c r="P228" s="43" t="s">
        <v>329</v>
      </c>
      <c r="Q228" s="89" t="s">
        <v>919</v>
      </c>
      <c r="R228" s="43" t="s">
        <v>466</v>
      </c>
      <c r="S228" s="125">
        <v>43010</v>
      </c>
      <c r="T228" s="117">
        <v>43066</v>
      </c>
      <c r="V228" s="43" t="s">
        <v>317</v>
      </c>
      <c r="X228" s="43" t="s">
        <v>318</v>
      </c>
      <c r="Y228" s="43" t="s">
        <v>361</v>
      </c>
      <c r="Z228" s="43" t="s">
        <v>361</v>
      </c>
      <c r="AA228" s="43" t="s">
        <v>320</v>
      </c>
      <c r="AB228" s="144">
        <v>0.67699998617172197</v>
      </c>
      <c r="AC228" s="125">
        <v>42506</v>
      </c>
      <c r="AF228" s="43" t="s">
        <v>75</v>
      </c>
      <c r="AG228" s="43" t="s">
        <v>322</v>
      </c>
      <c r="AH228" s="43" t="s">
        <v>916</v>
      </c>
      <c r="AJ228" s="140">
        <v>536</v>
      </c>
      <c r="AK228" s="140">
        <v>0</v>
      </c>
      <c r="AL228" s="140">
        <v>54</v>
      </c>
      <c r="AM228" s="140">
        <v>0</v>
      </c>
      <c r="AN228" s="140">
        <v>57</v>
      </c>
      <c r="AO228" s="140">
        <v>65</v>
      </c>
      <c r="AP228" s="140">
        <v>234</v>
      </c>
      <c r="AQ228" s="140">
        <v>131</v>
      </c>
      <c r="AR228" s="140">
        <v>16</v>
      </c>
      <c r="AS228" s="140">
        <v>33</v>
      </c>
      <c r="AT228" s="140">
        <v>0</v>
      </c>
      <c r="AU228" s="140">
        <v>57</v>
      </c>
      <c r="AV228" s="140">
        <v>65</v>
      </c>
      <c r="AW228" s="140">
        <v>234</v>
      </c>
      <c r="AX228" s="140">
        <v>131</v>
      </c>
      <c r="AY228" s="140">
        <v>16</v>
      </c>
      <c r="AZ228" s="140">
        <v>33</v>
      </c>
      <c r="BA228" s="140">
        <v>0</v>
      </c>
      <c r="BB228" s="140">
        <v>0</v>
      </c>
      <c r="BC228" s="140">
        <v>0</v>
      </c>
      <c r="BD228" s="140">
        <v>0</v>
      </c>
      <c r="BE228" s="140">
        <v>0</v>
      </c>
      <c r="BF228" s="140">
        <v>0</v>
      </c>
      <c r="BG228" s="140">
        <v>0</v>
      </c>
      <c r="BH228" s="140">
        <v>0</v>
      </c>
      <c r="BI228" s="140">
        <v>0</v>
      </c>
      <c r="BJ228" s="140">
        <v>0</v>
      </c>
      <c r="BK228" s="140">
        <v>0</v>
      </c>
      <c r="BL228" s="140">
        <v>0</v>
      </c>
      <c r="BM228" s="140">
        <v>0</v>
      </c>
      <c r="BN228" s="140">
        <v>0</v>
      </c>
      <c r="BO228" s="140">
        <v>0</v>
      </c>
      <c r="BQ228" s="43" t="s">
        <v>329</v>
      </c>
      <c r="BX228" s="43">
        <v>21</v>
      </c>
      <c r="BZ228" s="90">
        <f>M228</f>
        <v>536</v>
      </c>
      <c r="CT228" s="90">
        <f t="shared" si="13"/>
        <v>536</v>
      </c>
      <c r="CU228" s="90">
        <f t="shared" si="14"/>
        <v>536</v>
      </c>
    </row>
    <row r="229" spans="1:99" ht="12" customHeight="1">
      <c r="A229" s="43">
        <v>2411</v>
      </c>
      <c r="B229" s="89" t="s">
        <v>813</v>
      </c>
      <c r="C229" s="89" t="s">
        <v>917</v>
      </c>
      <c r="D229" s="89" t="s">
        <v>913</v>
      </c>
      <c r="E229" s="89" t="s">
        <v>920</v>
      </c>
      <c r="F229" s="43">
        <v>528934</v>
      </c>
      <c r="G229" s="43">
        <v>177496</v>
      </c>
      <c r="H229" s="89" t="s">
        <v>148</v>
      </c>
      <c r="I229" s="125">
        <v>42506</v>
      </c>
      <c r="K229" s="140">
        <v>0</v>
      </c>
      <c r="L229" s="140">
        <v>827</v>
      </c>
      <c r="M229" s="140">
        <v>827</v>
      </c>
      <c r="N229" s="140">
        <v>1363</v>
      </c>
      <c r="O229" s="140">
        <v>1363</v>
      </c>
      <c r="P229" s="43" t="s">
        <v>329</v>
      </c>
      <c r="Q229" s="89" t="s">
        <v>919</v>
      </c>
      <c r="R229" s="43" t="s">
        <v>466</v>
      </c>
      <c r="S229" s="125">
        <v>43010</v>
      </c>
      <c r="T229" s="117">
        <v>43066</v>
      </c>
      <c r="V229" s="43" t="s">
        <v>317</v>
      </c>
      <c r="X229" s="43" t="s">
        <v>318</v>
      </c>
      <c r="Y229" s="43" t="s">
        <v>361</v>
      </c>
      <c r="Z229" s="43" t="s">
        <v>361</v>
      </c>
      <c r="AA229" s="43" t="s">
        <v>320</v>
      </c>
      <c r="AB229" s="144">
        <v>1.0440000295639</v>
      </c>
      <c r="AC229" s="125">
        <v>43773</v>
      </c>
      <c r="AD229" s="43" t="s">
        <v>329</v>
      </c>
      <c r="AF229" s="43" t="s">
        <v>75</v>
      </c>
      <c r="AG229" s="43" t="s">
        <v>322</v>
      </c>
      <c r="AH229" s="43" t="s">
        <v>916</v>
      </c>
      <c r="AJ229" s="140">
        <v>827</v>
      </c>
      <c r="AK229" s="140">
        <v>0</v>
      </c>
      <c r="AL229" s="140">
        <v>83</v>
      </c>
      <c r="AM229" s="140">
        <v>0</v>
      </c>
      <c r="AN229" s="140">
        <v>126</v>
      </c>
      <c r="AO229" s="140">
        <v>241</v>
      </c>
      <c r="AP229" s="140">
        <v>362</v>
      </c>
      <c r="AQ229" s="140">
        <v>68</v>
      </c>
      <c r="AR229" s="140">
        <v>11</v>
      </c>
      <c r="AS229" s="140">
        <v>19</v>
      </c>
      <c r="AT229" s="140">
        <v>0</v>
      </c>
      <c r="AU229" s="140">
        <v>126</v>
      </c>
      <c r="AV229" s="140">
        <v>241</v>
      </c>
      <c r="AW229" s="140">
        <v>362</v>
      </c>
      <c r="AX229" s="140">
        <v>68</v>
      </c>
      <c r="AY229" s="140">
        <v>11</v>
      </c>
      <c r="AZ229" s="140">
        <v>19</v>
      </c>
      <c r="BA229" s="140">
        <v>0</v>
      </c>
      <c r="BB229" s="140">
        <v>0</v>
      </c>
      <c r="BC229" s="140">
        <v>0</v>
      </c>
      <c r="BD229" s="140">
        <v>0</v>
      </c>
      <c r="BE229" s="140">
        <v>0</v>
      </c>
      <c r="BF229" s="140">
        <v>0</v>
      </c>
      <c r="BG229" s="140">
        <v>0</v>
      </c>
      <c r="BH229" s="140">
        <v>0</v>
      </c>
      <c r="BI229" s="140">
        <v>0</v>
      </c>
      <c r="BJ229" s="140">
        <v>0</v>
      </c>
      <c r="BK229" s="140">
        <v>0</v>
      </c>
      <c r="BL229" s="140">
        <v>0</v>
      </c>
      <c r="BM229" s="140">
        <v>0</v>
      </c>
      <c r="BN229" s="140">
        <v>0</v>
      </c>
      <c r="BO229" s="140">
        <v>0</v>
      </c>
      <c r="BQ229" s="43" t="s">
        <v>329</v>
      </c>
      <c r="BX229" s="43">
        <v>21</v>
      </c>
      <c r="CA229" s="90">
        <f>M229</f>
        <v>827</v>
      </c>
      <c r="CT229" s="90">
        <f t="shared" si="13"/>
        <v>827</v>
      </c>
      <c r="CU229" s="90">
        <f t="shared" si="14"/>
        <v>827</v>
      </c>
    </row>
    <row r="230" spans="1:99" ht="12" customHeight="1">
      <c r="A230" s="43">
        <v>2427</v>
      </c>
      <c r="B230" s="89" t="s">
        <v>813</v>
      </c>
      <c r="C230" s="89" t="s">
        <v>921</v>
      </c>
      <c r="D230" s="89" t="s">
        <v>922</v>
      </c>
      <c r="F230" s="43">
        <v>527695</v>
      </c>
      <c r="G230" s="43">
        <v>174450</v>
      </c>
      <c r="H230" s="89" t="s">
        <v>174</v>
      </c>
      <c r="I230" s="125">
        <v>43555</v>
      </c>
      <c r="K230" s="140">
        <v>1</v>
      </c>
      <c r="L230" s="140">
        <v>3</v>
      </c>
      <c r="M230" s="140">
        <v>2</v>
      </c>
      <c r="N230" s="140">
        <v>3</v>
      </c>
      <c r="O230" s="140">
        <v>2</v>
      </c>
      <c r="Q230" s="89" t="s">
        <v>923</v>
      </c>
      <c r="R230" s="43" t="s">
        <v>316</v>
      </c>
      <c r="S230" s="125">
        <v>42808</v>
      </c>
      <c r="T230" s="117">
        <v>42978</v>
      </c>
      <c r="V230" s="43" t="s">
        <v>317</v>
      </c>
      <c r="X230" s="43" t="s">
        <v>318</v>
      </c>
      <c r="Y230" s="43" t="s">
        <v>348</v>
      </c>
      <c r="Z230" s="43" t="s">
        <v>320</v>
      </c>
      <c r="AA230" s="43" t="s">
        <v>20</v>
      </c>
      <c r="AB230" s="144">
        <v>5.9999998658895499E-2</v>
      </c>
      <c r="AC230" s="125">
        <v>43555</v>
      </c>
      <c r="AF230" s="43" t="s">
        <v>75</v>
      </c>
      <c r="AG230" s="43" t="s">
        <v>322</v>
      </c>
      <c r="AJ230" s="140">
        <v>0</v>
      </c>
      <c r="AK230" s="140">
        <v>0</v>
      </c>
      <c r="AL230" s="140">
        <v>0</v>
      </c>
      <c r="AM230" s="140">
        <v>0</v>
      </c>
      <c r="AN230" s="140">
        <v>0</v>
      </c>
      <c r="AO230" s="140">
        <v>0</v>
      </c>
      <c r="AP230" s="140">
        <v>2</v>
      </c>
      <c r="AQ230" s="140">
        <v>1</v>
      </c>
      <c r="AR230" s="140">
        <v>0</v>
      </c>
      <c r="AS230" s="140">
        <v>-1</v>
      </c>
      <c r="AT230" s="140">
        <v>0</v>
      </c>
      <c r="AU230" s="140">
        <v>0</v>
      </c>
      <c r="AV230" s="140">
        <v>0</v>
      </c>
      <c r="AW230" s="140">
        <v>2</v>
      </c>
      <c r="AX230" s="140">
        <v>1</v>
      </c>
      <c r="AY230" s="140">
        <v>0</v>
      </c>
      <c r="AZ230" s="140">
        <v>0</v>
      </c>
      <c r="BA230" s="140">
        <v>0</v>
      </c>
      <c r="BB230" s="140">
        <v>0</v>
      </c>
      <c r="BC230" s="140">
        <v>0</v>
      </c>
      <c r="BD230" s="140">
        <v>0</v>
      </c>
      <c r="BE230" s="140">
        <v>0</v>
      </c>
      <c r="BF230" s="140">
        <v>0</v>
      </c>
      <c r="BG230" s="140">
        <v>-1</v>
      </c>
      <c r="BH230" s="140">
        <v>0</v>
      </c>
      <c r="BI230" s="140">
        <v>0</v>
      </c>
      <c r="BJ230" s="140">
        <v>0</v>
      </c>
      <c r="BK230" s="140">
        <v>0</v>
      </c>
      <c r="BL230" s="140">
        <v>0</v>
      </c>
      <c r="BM230" s="140">
        <v>0</v>
      </c>
      <c r="BN230" s="140">
        <v>0</v>
      </c>
      <c r="BO230" s="140">
        <v>0</v>
      </c>
      <c r="BX230" s="43">
        <v>13</v>
      </c>
      <c r="BZ230" s="90">
        <f>M230</f>
        <v>2</v>
      </c>
      <c r="CT230" s="90">
        <f t="shared" si="13"/>
        <v>2</v>
      </c>
      <c r="CU230" s="90">
        <f t="shared" si="14"/>
        <v>2</v>
      </c>
    </row>
    <row r="231" spans="1:99" ht="12" customHeight="1">
      <c r="A231" s="43">
        <v>2552</v>
      </c>
      <c r="B231" s="89" t="s">
        <v>813</v>
      </c>
      <c r="C231" s="89" t="s">
        <v>924</v>
      </c>
      <c r="D231" s="89" t="s">
        <v>925</v>
      </c>
      <c r="E231" s="89" t="s">
        <v>926</v>
      </c>
      <c r="F231" s="43">
        <v>527504</v>
      </c>
      <c r="G231" s="43">
        <v>171615</v>
      </c>
      <c r="H231" s="89" t="s">
        <v>141</v>
      </c>
      <c r="I231" s="125">
        <v>43843</v>
      </c>
      <c r="K231" s="140">
        <v>1</v>
      </c>
      <c r="L231" s="140">
        <v>1</v>
      </c>
      <c r="M231" s="140">
        <v>0</v>
      </c>
      <c r="N231" s="140">
        <v>3</v>
      </c>
      <c r="O231" s="140">
        <v>2</v>
      </c>
      <c r="Q231" s="89" t="s">
        <v>927</v>
      </c>
      <c r="R231" s="43" t="s">
        <v>316</v>
      </c>
      <c r="S231" s="125">
        <v>43490</v>
      </c>
      <c r="T231" s="117">
        <v>43546</v>
      </c>
      <c r="V231" s="43" t="s">
        <v>317</v>
      </c>
      <c r="X231" s="43" t="s">
        <v>318</v>
      </c>
      <c r="Y231" s="43" t="s">
        <v>379</v>
      </c>
      <c r="Z231" s="43" t="s">
        <v>320</v>
      </c>
      <c r="AA231" s="43" t="s">
        <v>321</v>
      </c>
      <c r="AB231" s="144">
        <v>2.0000000949949E-3</v>
      </c>
      <c r="AC231" s="125">
        <v>43843</v>
      </c>
      <c r="AD231" s="43" t="s">
        <v>329</v>
      </c>
      <c r="AF231" s="43" t="s">
        <v>75</v>
      </c>
      <c r="AG231" s="43" t="s">
        <v>322</v>
      </c>
      <c r="AJ231" s="140">
        <v>0</v>
      </c>
      <c r="AK231" s="140">
        <v>0</v>
      </c>
      <c r="AL231" s="140">
        <v>0</v>
      </c>
      <c r="AM231" s="140">
        <v>0</v>
      </c>
      <c r="AN231" s="140">
        <v>0</v>
      </c>
      <c r="AO231" s="140">
        <v>-1</v>
      </c>
      <c r="AP231" s="140">
        <v>1</v>
      </c>
      <c r="AQ231" s="140">
        <v>0</v>
      </c>
      <c r="AR231" s="140">
        <v>0</v>
      </c>
      <c r="AS231" s="140">
        <v>0</v>
      </c>
      <c r="AT231" s="140">
        <v>0</v>
      </c>
      <c r="AU231" s="140">
        <v>0</v>
      </c>
      <c r="AV231" s="140">
        <v>-1</v>
      </c>
      <c r="AW231" s="140">
        <v>1</v>
      </c>
      <c r="AX231" s="140">
        <v>0</v>
      </c>
      <c r="AY231" s="140">
        <v>0</v>
      </c>
      <c r="AZ231" s="140">
        <v>0</v>
      </c>
      <c r="BA231" s="140">
        <v>0</v>
      </c>
      <c r="BB231" s="140">
        <v>0</v>
      </c>
      <c r="BC231" s="140">
        <v>0</v>
      </c>
      <c r="BD231" s="140">
        <v>0</v>
      </c>
      <c r="BE231" s="140">
        <v>0</v>
      </c>
      <c r="BF231" s="140">
        <v>0</v>
      </c>
      <c r="BG231" s="140">
        <v>0</v>
      </c>
      <c r="BH231" s="140">
        <v>0</v>
      </c>
      <c r="BI231" s="140">
        <v>0</v>
      </c>
      <c r="BJ231" s="140">
        <v>0</v>
      </c>
      <c r="BK231" s="140">
        <v>0</v>
      </c>
      <c r="BL231" s="140">
        <v>0</v>
      </c>
      <c r="BM231" s="140">
        <v>0</v>
      </c>
      <c r="BN231" s="140">
        <v>0</v>
      </c>
      <c r="BO231" s="140">
        <v>0</v>
      </c>
      <c r="BP231" s="43" t="s">
        <v>141</v>
      </c>
      <c r="BX231" s="43">
        <v>14</v>
      </c>
      <c r="BZ231" s="90">
        <f>$M231/2</f>
        <v>0</v>
      </c>
      <c r="CA231" s="90">
        <f>$M231/2</f>
        <v>0</v>
      </c>
      <c r="CT231" s="90">
        <f t="shared" si="13"/>
        <v>0</v>
      </c>
      <c r="CU231" s="90">
        <f t="shared" si="14"/>
        <v>0</v>
      </c>
    </row>
    <row r="232" spans="1:99" ht="12" customHeight="1">
      <c r="A232" s="43">
        <v>2552</v>
      </c>
      <c r="B232" s="89" t="s">
        <v>813</v>
      </c>
      <c r="C232" s="89" t="s">
        <v>924</v>
      </c>
      <c r="D232" s="89" t="s">
        <v>925</v>
      </c>
      <c r="E232" s="89" t="s">
        <v>928</v>
      </c>
      <c r="F232" s="43">
        <v>527504</v>
      </c>
      <c r="G232" s="43">
        <v>171615</v>
      </c>
      <c r="H232" s="89" t="s">
        <v>141</v>
      </c>
      <c r="I232" s="125">
        <v>43843</v>
      </c>
      <c r="K232" s="140">
        <v>0</v>
      </c>
      <c r="L232" s="140">
        <v>2</v>
      </c>
      <c r="M232" s="140">
        <v>2</v>
      </c>
      <c r="N232" s="140">
        <v>3</v>
      </c>
      <c r="O232" s="140">
        <v>2</v>
      </c>
      <c r="Q232" s="89" t="s">
        <v>927</v>
      </c>
      <c r="R232" s="43" t="s">
        <v>316</v>
      </c>
      <c r="S232" s="125">
        <v>43490</v>
      </c>
      <c r="T232" s="117">
        <v>43546</v>
      </c>
      <c r="V232" s="43" t="s">
        <v>317</v>
      </c>
      <c r="X232" s="43" t="s">
        <v>318</v>
      </c>
      <c r="Y232" s="43" t="s">
        <v>379</v>
      </c>
      <c r="Z232" s="43" t="s">
        <v>320</v>
      </c>
      <c r="AA232" s="43" t="s">
        <v>340</v>
      </c>
      <c r="AB232" s="144">
        <v>6.0000000521540598E-3</v>
      </c>
      <c r="AC232" s="125">
        <v>43843</v>
      </c>
      <c r="AD232" s="43" t="s">
        <v>329</v>
      </c>
      <c r="AF232" s="43" t="s">
        <v>75</v>
      </c>
      <c r="AG232" s="43" t="s">
        <v>322</v>
      </c>
      <c r="AJ232" s="140">
        <v>0</v>
      </c>
      <c r="AK232" s="140">
        <v>0</v>
      </c>
      <c r="AL232" s="140">
        <v>0</v>
      </c>
      <c r="AM232" s="140">
        <v>0</v>
      </c>
      <c r="AN232" s="140">
        <v>2</v>
      </c>
      <c r="AO232" s="140">
        <v>0</v>
      </c>
      <c r="AP232" s="140">
        <v>0</v>
      </c>
      <c r="AQ232" s="140">
        <v>0</v>
      </c>
      <c r="AR232" s="140">
        <v>0</v>
      </c>
      <c r="AS232" s="140">
        <v>0</v>
      </c>
      <c r="AT232" s="140">
        <v>0</v>
      </c>
      <c r="AU232" s="140">
        <v>2</v>
      </c>
      <c r="AV232" s="140">
        <v>0</v>
      </c>
      <c r="AW232" s="140">
        <v>0</v>
      </c>
      <c r="AX232" s="140">
        <v>0</v>
      </c>
      <c r="AY232" s="140">
        <v>0</v>
      </c>
      <c r="AZ232" s="140">
        <v>0</v>
      </c>
      <c r="BA232" s="140">
        <v>0</v>
      </c>
      <c r="BB232" s="140">
        <v>0</v>
      </c>
      <c r="BC232" s="140">
        <v>0</v>
      </c>
      <c r="BD232" s="140">
        <v>0</v>
      </c>
      <c r="BE232" s="140">
        <v>0</v>
      </c>
      <c r="BF232" s="140">
        <v>0</v>
      </c>
      <c r="BG232" s="140">
        <v>0</v>
      </c>
      <c r="BH232" s="140">
        <v>0</v>
      </c>
      <c r="BI232" s="140">
        <v>0</v>
      </c>
      <c r="BJ232" s="140">
        <v>0</v>
      </c>
      <c r="BK232" s="140">
        <v>0</v>
      </c>
      <c r="BL232" s="140">
        <v>0</v>
      </c>
      <c r="BM232" s="140">
        <v>0</v>
      </c>
      <c r="BN232" s="140">
        <v>0</v>
      </c>
      <c r="BO232" s="140">
        <v>0</v>
      </c>
      <c r="BP232" s="43" t="s">
        <v>141</v>
      </c>
      <c r="BX232" s="43">
        <v>14</v>
      </c>
      <c r="BZ232" s="90">
        <f>$M232/2</f>
        <v>1</v>
      </c>
      <c r="CA232" s="90">
        <f>$M232/2</f>
        <v>1</v>
      </c>
      <c r="CT232" s="90">
        <f t="shared" si="13"/>
        <v>2</v>
      </c>
      <c r="CU232" s="90">
        <f t="shared" si="14"/>
        <v>2</v>
      </c>
    </row>
    <row r="233" spans="1:99" ht="12" customHeight="1">
      <c r="A233" s="43">
        <v>2820</v>
      </c>
      <c r="B233" s="89" t="s">
        <v>813</v>
      </c>
      <c r="C233" s="89" t="s">
        <v>929</v>
      </c>
      <c r="D233" s="89" t="s">
        <v>930</v>
      </c>
      <c r="E233" s="89" t="s">
        <v>931</v>
      </c>
      <c r="F233" s="43">
        <v>525961</v>
      </c>
      <c r="G233" s="43">
        <v>173072</v>
      </c>
      <c r="H233" s="89" t="s">
        <v>168</v>
      </c>
      <c r="I233" s="125">
        <v>43190</v>
      </c>
      <c r="K233" s="140">
        <v>1</v>
      </c>
      <c r="L233" s="140">
        <v>1</v>
      </c>
      <c r="M233" s="140">
        <v>0</v>
      </c>
      <c r="N233" s="140">
        <v>2</v>
      </c>
      <c r="O233" s="140">
        <v>1</v>
      </c>
      <c r="Q233" s="89" t="s">
        <v>932</v>
      </c>
      <c r="R233" s="43" t="s">
        <v>316</v>
      </c>
      <c r="S233" s="125">
        <v>43356</v>
      </c>
      <c r="T233" s="117">
        <v>43468</v>
      </c>
      <c r="V233" s="43" t="s">
        <v>317</v>
      </c>
      <c r="X233" s="43" t="s">
        <v>318</v>
      </c>
      <c r="Y233" s="43" t="s">
        <v>319</v>
      </c>
      <c r="Z233" s="43" t="s">
        <v>320</v>
      </c>
      <c r="AA233" s="43" t="s">
        <v>321</v>
      </c>
      <c r="AB233" s="144">
        <v>3.0000000260770299E-3</v>
      </c>
      <c r="AC233" s="125">
        <v>43190</v>
      </c>
      <c r="AF233" s="43" t="s">
        <v>75</v>
      </c>
      <c r="AG233" s="43" t="s">
        <v>322</v>
      </c>
      <c r="AJ233" s="140">
        <v>0</v>
      </c>
      <c r="AK233" s="140">
        <v>0</v>
      </c>
      <c r="AL233" s="140">
        <v>0</v>
      </c>
      <c r="AM233" s="140">
        <v>0</v>
      </c>
      <c r="AN233" s="140">
        <v>0</v>
      </c>
      <c r="AO233" s="140">
        <v>0</v>
      </c>
      <c r="AP233" s="140">
        <v>0</v>
      </c>
      <c r="AQ233" s="140">
        <v>0</v>
      </c>
      <c r="AR233" s="140">
        <v>0</v>
      </c>
      <c r="AS233" s="140">
        <v>0</v>
      </c>
      <c r="AT233" s="140">
        <v>0</v>
      </c>
      <c r="AU233" s="140">
        <v>0</v>
      </c>
      <c r="AV233" s="140">
        <v>0</v>
      </c>
      <c r="AW233" s="140">
        <v>0</v>
      </c>
      <c r="AX233" s="140">
        <v>0</v>
      </c>
      <c r="AY233" s="140">
        <v>0</v>
      </c>
      <c r="AZ233" s="140">
        <v>0</v>
      </c>
      <c r="BA233" s="140">
        <v>0</v>
      </c>
      <c r="BB233" s="140">
        <v>0</v>
      </c>
      <c r="BC233" s="140">
        <v>0</v>
      </c>
      <c r="BD233" s="140">
        <v>0</v>
      </c>
      <c r="BE233" s="140">
        <v>0</v>
      </c>
      <c r="BF233" s="140">
        <v>0</v>
      </c>
      <c r="BG233" s="140">
        <v>0</v>
      </c>
      <c r="BH233" s="140">
        <v>0</v>
      </c>
      <c r="BI233" s="140">
        <v>0</v>
      </c>
      <c r="BJ233" s="140">
        <v>0</v>
      </c>
      <c r="BK233" s="140">
        <v>0</v>
      </c>
      <c r="BL233" s="140">
        <v>0</v>
      </c>
      <c r="BM233" s="140">
        <v>0</v>
      </c>
      <c r="BN233" s="140">
        <v>0</v>
      </c>
      <c r="BO233" s="140">
        <v>0</v>
      </c>
      <c r="BW233" s="43" t="s">
        <v>329</v>
      </c>
      <c r="BX233" s="43">
        <v>13</v>
      </c>
      <c r="BZ233" s="90">
        <f t="shared" ref="BZ233:BZ239" si="16">M233</f>
        <v>0</v>
      </c>
      <c r="CT233" s="90">
        <f t="shared" si="13"/>
        <v>0</v>
      </c>
      <c r="CU233" s="90">
        <f t="shared" si="14"/>
        <v>0</v>
      </c>
    </row>
    <row r="234" spans="1:99" ht="12" customHeight="1">
      <c r="A234" s="43">
        <v>2820</v>
      </c>
      <c r="B234" s="89" t="s">
        <v>813</v>
      </c>
      <c r="C234" s="89" t="s">
        <v>929</v>
      </c>
      <c r="D234" s="89" t="s">
        <v>930</v>
      </c>
      <c r="E234" s="89" t="s">
        <v>933</v>
      </c>
      <c r="F234" s="43">
        <v>525961</v>
      </c>
      <c r="G234" s="43">
        <v>173072</v>
      </c>
      <c r="H234" s="89" t="s">
        <v>168</v>
      </c>
      <c r="I234" s="125">
        <v>43190</v>
      </c>
      <c r="K234" s="140">
        <v>0</v>
      </c>
      <c r="L234" s="140">
        <v>1</v>
      </c>
      <c r="M234" s="140">
        <v>1</v>
      </c>
      <c r="N234" s="140">
        <v>2</v>
      </c>
      <c r="O234" s="140">
        <v>1</v>
      </c>
      <c r="Q234" s="89" t="s">
        <v>932</v>
      </c>
      <c r="R234" s="43" t="s">
        <v>316</v>
      </c>
      <c r="S234" s="125">
        <v>43356</v>
      </c>
      <c r="T234" s="117">
        <v>43468</v>
      </c>
      <c r="V234" s="43" t="s">
        <v>317</v>
      </c>
      <c r="X234" s="43" t="s">
        <v>318</v>
      </c>
      <c r="Y234" s="43" t="s">
        <v>319</v>
      </c>
      <c r="Z234" s="43" t="s">
        <v>320</v>
      </c>
      <c r="AA234" s="43" t="s">
        <v>340</v>
      </c>
      <c r="AB234" s="144">
        <v>3.0000000260770299E-3</v>
      </c>
      <c r="AC234" s="125">
        <v>43190</v>
      </c>
      <c r="AF234" s="43" t="s">
        <v>75</v>
      </c>
      <c r="AG234" s="43" t="s">
        <v>322</v>
      </c>
      <c r="AJ234" s="140">
        <v>0</v>
      </c>
      <c r="AK234" s="140">
        <v>0</v>
      </c>
      <c r="AL234" s="140">
        <v>0</v>
      </c>
      <c r="AM234" s="140">
        <v>0</v>
      </c>
      <c r="AN234" s="140">
        <v>0</v>
      </c>
      <c r="AO234" s="140">
        <v>1</v>
      </c>
      <c r="AP234" s="140">
        <v>0</v>
      </c>
      <c r="AQ234" s="140">
        <v>0</v>
      </c>
      <c r="AR234" s="140">
        <v>0</v>
      </c>
      <c r="AS234" s="140">
        <v>0</v>
      </c>
      <c r="AT234" s="140">
        <v>0</v>
      </c>
      <c r="AU234" s="140">
        <v>0</v>
      </c>
      <c r="AV234" s="140">
        <v>1</v>
      </c>
      <c r="AW234" s="140">
        <v>0</v>
      </c>
      <c r="AX234" s="140">
        <v>0</v>
      </c>
      <c r="AY234" s="140">
        <v>0</v>
      </c>
      <c r="AZ234" s="140">
        <v>0</v>
      </c>
      <c r="BA234" s="140">
        <v>0</v>
      </c>
      <c r="BB234" s="140">
        <v>0</v>
      </c>
      <c r="BC234" s="140">
        <v>0</v>
      </c>
      <c r="BD234" s="140">
        <v>0</v>
      </c>
      <c r="BE234" s="140">
        <v>0</v>
      </c>
      <c r="BF234" s="140">
        <v>0</v>
      </c>
      <c r="BG234" s="140">
        <v>0</v>
      </c>
      <c r="BH234" s="140">
        <v>0</v>
      </c>
      <c r="BI234" s="140">
        <v>0</v>
      </c>
      <c r="BJ234" s="140">
        <v>0</v>
      </c>
      <c r="BK234" s="140">
        <v>0</v>
      </c>
      <c r="BL234" s="140">
        <v>0</v>
      </c>
      <c r="BM234" s="140">
        <v>0</v>
      </c>
      <c r="BN234" s="140">
        <v>0</v>
      </c>
      <c r="BO234" s="140">
        <v>0</v>
      </c>
      <c r="BW234" s="43" t="s">
        <v>329</v>
      </c>
      <c r="BX234" s="43">
        <v>13</v>
      </c>
      <c r="BZ234" s="90">
        <f t="shared" si="16"/>
        <v>1</v>
      </c>
      <c r="CT234" s="90">
        <f t="shared" si="13"/>
        <v>1</v>
      </c>
      <c r="CU234" s="90">
        <f t="shared" si="14"/>
        <v>1</v>
      </c>
    </row>
    <row r="235" spans="1:99" ht="12" customHeight="1">
      <c r="A235" s="43">
        <v>2825</v>
      </c>
      <c r="B235" s="89" t="s">
        <v>813</v>
      </c>
      <c r="C235" s="89" t="s">
        <v>934</v>
      </c>
      <c r="D235" s="89" t="s">
        <v>935</v>
      </c>
      <c r="F235" s="43">
        <v>527106</v>
      </c>
      <c r="G235" s="43">
        <v>173327</v>
      </c>
      <c r="H235" s="89" t="s">
        <v>179</v>
      </c>
      <c r="I235" s="125">
        <v>42825</v>
      </c>
      <c r="K235" s="140">
        <v>1</v>
      </c>
      <c r="L235" s="140">
        <v>1</v>
      </c>
      <c r="M235" s="140">
        <v>0</v>
      </c>
      <c r="N235" s="140">
        <v>1</v>
      </c>
      <c r="O235" s="140">
        <v>0</v>
      </c>
      <c r="Q235" s="89" t="s">
        <v>936</v>
      </c>
      <c r="R235" s="43" t="s">
        <v>316</v>
      </c>
      <c r="S235" s="125">
        <v>42692</v>
      </c>
      <c r="T235" s="117">
        <v>42824</v>
      </c>
      <c r="V235" s="43" t="s">
        <v>317</v>
      </c>
      <c r="X235" s="43" t="s">
        <v>318</v>
      </c>
      <c r="Y235" s="43" t="s">
        <v>361</v>
      </c>
      <c r="Z235" s="43" t="s">
        <v>320</v>
      </c>
      <c r="AA235" s="43" t="s">
        <v>353</v>
      </c>
      <c r="AB235" s="144">
        <v>9.3000002205371898E-2</v>
      </c>
      <c r="AC235" s="125">
        <v>42825</v>
      </c>
      <c r="AF235" s="43" t="s">
        <v>75</v>
      </c>
      <c r="AG235" s="43" t="s">
        <v>322</v>
      </c>
      <c r="AJ235" s="140">
        <v>0</v>
      </c>
      <c r="AK235" s="140">
        <v>0</v>
      </c>
      <c r="AL235" s="140">
        <v>0</v>
      </c>
      <c r="AM235" s="140">
        <v>0</v>
      </c>
      <c r="AN235" s="140">
        <v>0</v>
      </c>
      <c r="AO235" s="140">
        <v>0</v>
      </c>
      <c r="AP235" s="140">
        <v>0</v>
      </c>
      <c r="AQ235" s="140">
        <v>0</v>
      </c>
      <c r="AR235" s="140">
        <v>0</v>
      </c>
      <c r="AS235" s="140">
        <v>0</v>
      </c>
      <c r="AT235" s="140">
        <v>0</v>
      </c>
      <c r="AU235" s="140">
        <v>0</v>
      </c>
      <c r="AV235" s="140">
        <v>0</v>
      </c>
      <c r="AW235" s="140">
        <v>0</v>
      </c>
      <c r="AX235" s="140">
        <v>0</v>
      </c>
      <c r="AY235" s="140">
        <v>0</v>
      </c>
      <c r="AZ235" s="140">
        <v>0</v>
      </c>
      <c r="BA235" s="140">
        <v>0</v>
      </c>
      <c r="BB235" s="140">
        <v>0</v>
      </c>
      <c r="BC235" s="140">
        <v>0</v>
      </c>
      <c r="BD235" s="140">
        <v>0</v>
      </c>
      <c r="BE235" s="140">
        <v>0</v>
      </c>
      <c r="BF235" s="140">
        <v>0</v>
      </c>
      <c r="BG235" s="140">
        <v>0</v>
      </c>
      <c r="BH235" s="140">
        <v>0</v>
      </c>
      <c r="BI235" s="140">
        <v>0</v>
      </c>
      <c r="BJ235" s="140">
        <v>0</v>
      </c>
      <c r="BK235" s="140">
        <v>0</v>
      </c>
      <c r="BL235" s="140">
        <v>0</v>
      </c>
      <c r="BM235" s="140">
        <v>0</v>
      </c>
      <c r="BN235" s="140">
        <v>0</v>
      </c>
      <c r="BO235" s="140">
        <v>0</v>
      </c>
      <c r="BX235" s="43">
        <v>2</v>
      </c>
      <c r="BZ235" s="90">
        <f t="shared" si="16"/>
        <v>0</v>
      </c>
      <c r="CT235" s="90">
        <f t="shared" si="13"/>
        <v>0</v>
      </c>
      <c r="CU235" s="90">
        <f t="shared" si="14"/>
        <v>0</v>
      </c>
    </row>
    <row r="236" spans="1:99" ht="12" customHeight="1">
      <c r="A236" s="43">
        <v>2978</v>
      </c>
      <c r="B236" s="89" t="s">
        <v>813</v>
      </c>
      <c r="C236" s="89" t="s">
        <v>937</v>
      </c>
      <c r="D236" s="89" t="s">
        <v>938</v>
      </c>
      <c r="F236" s="43">
        <v>527727</v>
      </c>
      <c r="G236" s="43">
        <v>172703</v>
      </c>
      <c r="H236" s="89" t="s">
        <v>173</v>
      </c>
      <c r="I236" s="125">
        <v>43555</v>
      </c>
      <c r="K236" s="140">
        <v>1</v>
      </c>
      <c r="L236" s="140">
        <v>1</v>
      </c>
      <c r="M236" s="140">
        <v>0</v>
      </c>
      <c r="N236" s="140">
        <v>1</v>
      </c>
      <c r="O236" s="140">
        <v>0</v>
      </c>
      <c r="Q236" s="89" t="s">
        <v>939</v>
      </c>
      <c r="R236" s="43" t="s">
        <v>316</v>
      </c>
      <c r="S236" s="125">
        <v>42790</v>
      </c>
      <c r="T236" s="117">
        <v>42846</v>
      </c>
      <c r="V236" s="43" t="s">
        <v>317</v>
      </c>
      <c r="X236" s="43" t="s">
        <v>318</v>
      </c>
      <c r="Y236" s="43" t="s">
        <v>361</v>
      </c>
      <c r="Z236" s="43" t="s">
        <v>320</v>
      </c>
      <c r="AA236" s="43" t="s">
        <v>353</v>
      </c>
      <c r="AB236" s="144">
        <v>3.70000004768372E-2</v>
      </c>
      <c r="AC236" s="125">
        <v>43555</v>
      </c>
      <c r="AF236" s="43" t="s">
        <v>75</v>
      </c>
      <c r="AG236" s="43" t="s">
        <v>322</v>
      </c>
      <c r="AJ236" s="140">
        <v>0</v>
      </c>
      <c r="AK236" s="140">
        <v>0</v>
      </c>
      <c r="AL236" s="140">
        <v>0</v>
      </c>
      <c r="AM236" s="140">
        <v>0</v>
      </c>
      <c r="AN236" s="140">
        <v>0</v>
      </c>
      <c r="AO236" s="140">
        <v>-1</v>
      </c>
      <c r="AP236" s="140">
        <v>0</v>
      </c>
      <c r="AQ236" s="140">
        <v>1</v>
      </c>
      <c r="AR236" s="140">
        <v>0</v>
      </c>
      <c r="AS236" s="140">
        <v>0</v>
      </c>
      <c r="AT236" s="140">
        <v>0</v>
      </c>
      <c r="AU236" s="140">
        <v>0</v>
      </c>
      <c r="AV236" s="140">
        <v>0</v>
      </c>
      <c r="AW236" s="140">
        <v>0</v>
      </c>
      <c r="AX236" s="140">
        <v>0</v>
      </c>
      <c r="AY236" s="140">
        <v>0</v>
      </c>
      <c r="AZ236" s="140">
        <v>0</v>
      </c>
      <c r="BA236" s="140">
        <v>0</v>
      </c>
      <c r="BB236" s="140">
        <v>0</v>
      </c>
      <c r="BC236" s="140">
        <v>-1</v>
      </c>
      <c r="BD236" s="140">
        <v>0</v>
      </c>
      <c r="BE236" s="140">
        <v>1</v>
      </c>
      <c r="BF236" s="140">
        <v>0</v>
      </c>
      <c r="BG236" s="140">
        <v>0</v>
      </c>
      <c r="BH236" s="140">
        <v>0</v>
      </c>
      <c r="BI236" s="140">
        <v>0</v>
      </c>
      <c r="BJ236" s="140">
        <v>0</v>
      </c>
      <c r="BK236" s="140">
        <v>0</v>
      </c>
      <c r="BL236" s="140">
        <v>0</v>
      </c>
      <c r="BM236" s="140">
        <v>0</v>
      </c>
      <c r="BN236" s="140">
        <v>0</v>
      </c>
      <c r="BO236" s="140">
        <v>0</v>
      </c>
      <c r="BX236" s="43">
        <v>2</v>
      </c>
      <c r="BZ236" s="90">
        <f t="shared" si="16"/>
        <v>0</v>
      </c>
      <c r="CT236" s="90">
        <f t="shared" si="13"/>
        <v>0</v>
      </c>
      <c r="CU236" s="90">
        <f t="shared" si="14"/>
        <v>0</v>
      </c>
    </row>
    <row r="237" spans="1:99" ht="12" customHeight="1">
      <c r="A237" s="43">
        <v>3154</v>
      </c>
      <c r="B237" s="89" t="s">
        <v>813</v>
      </c>
      <c r="C237" s="89" t="s">
        <v>940</v>
      </c>
      <c r="D237" s="89" t="s">
        <v>941</v>
      </c>
      <c r="E237" s="89" t="s">
        <v>346</v>
      </c>
      <c r="F237" s="43">
        <v>527643</v>
      </c>
      <c r="G237" s="43">
        <v>171818</v>
      </c>
      <c r="H237" s="89" t="s">
        <v>141</v>
      </c>
      <c r="I237" s="125">
        <v>43555</v>
      </c>
      <c r="K237" s="140">
        <v>2</v>
      </c>
      <c r="L237" s="140">
        <v>4</v>
      </c>
      <c r="M237" s="140">
        <v>2</v>
      </c>
      <c r="N237" s="140">
        <v>7</v>
      </c>
      <c r="O237" s="140">
        <v>5</v>
      </c>
      <c r="Q237" s="89" t="s">
        <v>942</v>
      </c>
      <c r="R237" s="43" t="s">
        <v>316</v>
      </c>
      <c r="S237" s="125">
        <v>43294</v>
      </c>
      <c r="T237" s="117">
        <v>43553</v>
      </c>
      <c r="V237" s="43" t="s">
        <v>317</v>
      </c>
      <c r="X237" s="43" t="s">
        <v>318</v>
      </c>
      <c r="Y237" s="43" t="s">
        <v>379</v>
      </c>
      <c r="Z237" s="43" t="s">
        <v>320</v>
      </c>
      <c r="AA237" s="43" t="s">
        <v>340</v>
      </c>
      <c r="AB237" s="144">
        <v>6.0000000521540598E-3</v>
      </c>
      <c r="AC237" s="125">
        <v>43555</v>
      </c>
      <c r="AF237" s="43" t="s">
        <v>75</v>
      </c>
      <c r="AG237" s="43" t="s">
        <v>322</v>
      </c>
      <c r="AH237" s="43" t="s">
        <v>943</v>
      </c>
      <c r="AJ237" s="140">
        <v>0</v>
      </c>
      <c r="AK237" s="140">
        <v>0</v>
      </c>
      <c r="AL237" s="140">
        <v>0</v>
      </c>
      <c r="AM237" s="140">
        <v>0</v>
      </c>
      <c r="AN237" s="140">
        <v>3</v>
      </c>
      <c r="AO237" s="140">
        <v>0</v>
      </c>
      <c r="AP237" s="140">
        <v>0</v>
      </c>
      <c r="AQ237" s="140">
        <v>-1</v>
      </c>
      <c r="AR237" s="140">
        <v>0</v>
      </c>
      <c r="AS237" s="140">
        <v>0</v>
      </c>
      <c r="AT237" s="140">
        <v>0</v>
      </c>
      <c r="AU237" s="140">
        <v>3</v>
      </c>
      <c r="AV237" s="140">
        <v>0</v>
      </c>
      <c r="AW237" s="140">
        <v>0</v>
      </c>
      <c r="AX237" s="140">
        <v>-1</v>
      </c>
      <c r="AY237" s="140">
        <v>0</v>
      </c>
      <c r="AZ237" s="140">
        <v>0</v>
      </c>
      <c r="BA237" s="140">
        <v>0</v>
      </c>
      <c r="BB237" s="140">
        <v>0</v>
      </c>
      <c r="BC237" s="140">
        <v>0</v>
      </c>
      <c r="BD237" s="140">
        <v>0</v>
      </c>
      <c r="BE237" s="140">
        <v>0</v>
      </c>
      <c r="BF237" s="140">
        <v>0</v>
      </c>
      <c r="BG237" s="140">
        <v>0</v>
      </c>
      <c r="BH237" s="140">
        <v>0</v>
      </c>
      <c r="BI237" s="140">
        <v>0</v>
      </c>
      <c r="BJ237" s="140">
        <v>0</v>
      </c>
      <c r="BK237" s="140">
        <v>0</v>
      </c>
      <c r="BL237" s="140">
        <v>0</v>
      </c>
      <c r="BM237" s="140">
        <v>0</v>
      </c>
      <c r="BN237" s="140">
        <v>0</v>
      </c>
      <c r="BO237" s="140">
        <v>0</v>
      </c>
      <c r="BP237" s="43" t="s">
        <v>141</v>
      </c>
      <c r="BX237" s="43">
        <v>13</v>
      </c>
      <c r="BZ237" s="90">
        <f t="shared" si="16"/>
        <v>2</v>
      </c>
      <c r="CT237" s="90">
        <f t="shared" si="13"/>
        <v>2</v>
      </c>
      <c r="CU237" s="90">
        <f t="shared" si="14"/>
        <v>2</v>
      </c>
    </row>
    <row r="238" spans="1:99" ht="12" customHeight="1">
      <c r="A238" s="43">
        <v>3154</v>
      </c>
      <c r="B238" s="89" t="s">
        <v>813</v>
      </c>
      <c r="C238" s="89" t="s">
        <v>940</v>
      </c>
      <c r="D238" s="89" t="s">
        <v>941</v>
      </c>
      <c r="E238" s="89" t="s">
        <v>944</v>
      </c>
      <c r="F238" s="43">
        <v>527643</v>
      </c>
      <c r="G238" s="43">
        <v>171818</v>
      </c>
      <c r="H238" s="89" t="s">
        <v>141</v>
      </c>
      <c r="I238" s="125">
        <v>43555</v>
      </c>
      <c r="K238" s="140">
        <v>0</v>
      </c>
      <c r="L238" s="140">
        <v>3</v>
      </c>
      <c r="M238" s="140">
        <v>3</v>
      </c>
      <c r="N238" s="140">
        <v>7</v>
      </c>
      <c r="O238" s="140">
        <v>5</v>
      </c>
      <c r="Q238" s="89" t="s">
        <v>942</v>
      </c>
      <c r="R238" s="43" t="s">
        <v>316</v>
      </c>
      <c r="S238" s="125">
        <v>43294</v>
      </c>
      <c r="T238" s="117">
        <v>43553</v>
      </c>
      <c r="V238" s="43" t="s">
        <v>317</v>
      </c>
      <c r="X238" s="43" t="s">
        <v>318</v>
      </c>
      <c r="Y238" s="43" t="s">
        <v>379</v>
      </c>
      <c r="Z238" s="43" t="s">
        <v>320</v>
      </c>
      <c r="AA238" s="43" t="s">
        <v>340</v>
      </c>
      <c r="AB238" s="144">
        <v>4.0000001899898104E-3</v>
      </c>
      <c r="AC238" s="125">
        <v>43555</v>
      </c>
      <c r="AF238" s="43" t="s">
        <v>75</v>
      </c>
      <c r="AG238" s="43" t="s">
        <v>322</v>
      </c>
      <c r="AH238" s="43" t="s">
        <v>943</v>
      </c>
      <c r="AJ238" s="140">
        <v>0</v>
      </c>
      <c r="AK238" s="140">
        <v>0</v>
      </c>
      <c r="AL238" s="140">
        <v>0</v>
      </c>
      <c r="AM238" s="140">
        <v>0</v>
      </c>
      <c r="AN238" s="140">
        <v>0</v>
      </c>
      <c r="AO238" s="140">
        <v>3</v>
      </c>
      <c r="AP238" s="140">
        <v>0</v>
      </c>
      <c r="AQ238" s="140">
        <v>0</v>
      </c>
      <c r="AR238" s="140">
        <v>0</v>
      </c>
      <c r="AS238" s="140">
        <v>0</v>
      </c>
      <c r="AT238" s="140">
        <v>0</v>
      </c>
      <c r="AU238" s="140">
        <v>0</v>
      </c>
      <c r="AV238" s="140">
        <v>3</v>
      </c>
      <c r="AW238" s="140">
        <v>0</v>
      </c>
      <c r="AX238" s="140">
        <v>0</v>
      </c>
      <c r="AY238" s="140">
        <v>0</v>
      </c>
      <c r="AZ238" s="140">
        <v>0</v>
      </c>
      <c r="BA238" s="140">
        <v>0</v>
      </c>
      <c r="BB238" s="140">
        <v>0</v>
      </c>
      <c r="BC238" s="140">
        <v>0</v>
      </c>
      <c r="BD238" s="140">
        <v>0</v>
      </c>
      <c r="BE238" s="140">
        <v>0</v>
      </c>
      <c r="BF238" s="140">
        <v>0</v>
      </c>
      <c r="BG238" s="140">
        <v>0</v>
      </c>
      <c r="BH238" s="140">
        <v>0</v>
      </c>
      <c r="BI238" s="140">
        <v>0</v>
      </c>
      <c r="BJ238" s="140">
        <v>0</v>
      </c>
      <c r="BK238" s="140">
        <v>0</v>
      </c>
      <c r="BL238" s="140">
        <v>0</v>
      </c>
      <c r="BM238" s="140">
        <v>0</v>
      </c>
      <c r="BN238" s="140">
        <v>0</v>
      </c>
      <c r="BO238" s="140">
        <v>0</v>
      </c>
      <c r="BP238" s="43" t="s">
        <v>141</v>
      </c>
      <c r="BX238" s="43">
        <v>13</v>
      </c>
      <c r="BZ238" s="90">
        <f t="shared" si="16"/>
        <v>3</v>
      </c>
      <c r="CT238" s="90">
        <f t="shared" si="13"/>
        <v>3</v>
      </c>
      <c r="CU238" s="90">
        <f t="shared" si="14"/>
        <v>3</v>
      </c>
    </row>
    <row r="239" spans="1:99" ht="12" customHeight="1">
      <c r="A239" s="43">
        <v>3351</v>
      </c>
      <c r="B239" s="89" t="s">
        <v>813</v>
      </c>
      <c r="C239" s="89" t="s">
        <v>945</v>
      </c>
      <c r="D239" s="89" t="s">
        <v>946</v>
      </c>
      <c r="F239" s="43">
        <v>529324</v>
      </c>
      <c r="G239" s="43">
        <v>171420</v>
      </c>
      <c r="H239" s="89" t="s">
        <v>171</v>
      </c>
      <c r="I239" s="125">
        <v>43717</v>
      </c>
      <c r="K239" s="140">
        <v>0</v>
      </c>
      <c r="L239" s="140">
        <v>1</v>
      </c>
      <c r="M239" s="140">
        <v>1</v>
      </c>
      <c r="N239" s="140">
        <v>1</v>
      </c>
      <c r="O239" s="140">
        <v>1</v>
      </c>
      <c r="Q239" s="89" t="s">
        <v>947</v>
      </c>
      <c r="R239" s="43" t="s">
        <v>316</v>
      </c>
      <c r="S239" s="125">
        <v>42864</v>
      </c>
      <c r="T239" s="117">
        <v>42920</v>
      </c>
      <c r="V239" s="43" t="s">
        <v>317</v>
      </c>
      <c r="X239" s="43" t="s">
        <v>318</v>
      </c>
      <c r="Y239" s="43" t="s">
        <v>361</v>
      </c>
      <c r="Z239" s="43" t="s">
        <v>320</v>
      </c>
      <c r="AA239" s="43" t="s">
        <v>353</v>
      </c>
      <c r="AB239" s="144">
        <v>4.9999998882412902E-3</v>
      </c>
      <c r="AC239" s="125">
        <v>43717</v>
      </c>
      <c r="AD239" s="43" t="s">
        <v>329</v>
      </c>
      <c r="AF239" s="43" t="s">
        <v>55</v>
      </c>
      <c r="AG239" s="43" t="s">
        <v>438</v>
      </c>
      <c r="AJ239" s="140">
        <v>0</v>
      </c>
      <c r="AK239" s="140">
        <v>0</v>
      </c>
      <c r="AL239" s="140">
        <v>0</v>
      </c>
      <c r="AM239" s="140">
        <v>0</v>
      </c>
      <c r="AN239" s="140">
        <v>0</v>
      </c>
      <c r="AO239" s="140">
        <v>0</v>
      </c>
      <c r="AP239" s="140">
        <v>1</v>
      </c>
      <c r="AQ239" s="140">
        <v>0</v>
      </c>
      <c r="AR239" s="140">
        <v>0</v>
      </c>
      <c r="AS239" s="140">
        <v>0</v>
      </c>
      <c r="AT239" s="140">
        <v>0</v>
      </c>
      <c r="AU239" s="140">
        <v>0</v>
      </c>
      <c r="AV239" s="140">
        <v>0</v>
      </c>
      <c r="AW239" s="140">
        <v>0</v>
      </c>
      <c r="AX239" s="140">
        <v>0</v>
      </c>
      <c r="AY239" s="140">
        <v>0</v>
      </c>
      <c r="AZ239" s="140">
        <v>0</v>
      </c>
      <c r="BA239" s="140">
        <v>0</v>
      </c>
      <c r="BB239" s="140">
        <v>0</v>
      </c>
      <c r="BC239" s="140">
        <v>0</v>
      </c>
      <c r="BD239" s="140">
        <v>1</v>
      </c>
      <c r="BE239" s="140">
        <v>0</v>
      </c>
      <c r="BF239" s="140">
        <v>0</v>
      </c>
      <c r="BG239" s="140">
        <v>0</v>
      </c>
      <c r="BH239" s="140">
        <v>0</v>
      </c>
      <c r="BI239" s="140">
        <v>0</v>
      </c>
      <c r="BJ239" s="140">
        <v>0</v>
      </c>
      <c r="BK239" s="140">
        <v>0</v>
      </c>
      <c r="BL239" s="140">
        <v>0</v>
      </c>
      <c r="BM239" s="140">
        <v>0</v>
      </c>
      <c r="BN239" s="140">
        <v>0</v>
      </c>
      <c r="BO239" s="140">
        <v>0</v>
      </c>
      <c r="BX239" s="43">
        <v>2</v>
      </c>
      <c r="BZ239" s="90">
        <f t="shared" si="16"/>
        <v>1</v>
      </c>
      <c r="CT239" s="90">
        <f t="shared" si="13"/>
        <v>1</v>
      </c>
      <c r="CU239" s="90">
        <f t="shared" si="14"/>
        <v>1</v>
      </c>
    </row>
    <row r="240" spans="1:99" ht="12" customHeight="1">
      <c r="A240" s="43">
        <v>3511</v>
      </c>
      <c r="B240" s="89" t="s">
        <v>813</v>
      </c>
      <c r="C240" s="89" t="s">
        <v>948</v>
      </c>
      <c r="D240" s="89" t="s">
        <v>949</v>
      </c>
      <c r="E240" s="89" t="s">
        <v>950</v>
      </c>
      <c r="F240" s="43">
        <v>529369</v>
      </c>
      <c r="G240" s="43">
        <v>177317</v>
      </c>
      <c r="H240" s="89" t="s">
        <v>148</v>
      </c>
      <c r="I240" s="125">
        <v>43672</v>
      </c>
      <c r="K240" s="140">
        <v>0</v>
      </c>
      <c r="L240" s="140">
        <v>13</v>
      </c>
      <c r="M240" s="140">
        <v>13</v>
      </c>
      <c r="N240" s="140">
        <v>559</v>
      </c>
      <c r="O240" s="140">
        <v>559</v>
      </c>
      <c r="P240" s="43" t="s">
        <v>329</v>
      </c>
      <c r="Q240" s="89" t="s">
        <v>951</v>
      </c>
      <c r="R240" s="43" t="s">
        <v>466</v>
      </c>
      <c r="S240" s="125">
        <v>43433</v>
      </c>
      <c r="T240" s="117">
        <v>43546</v>
      </c>
      <c r="V240" s="43" t="s">
        <v>317</v>
      </c>
      <c r="X240" s="43" t="s">
        <v>318</v>
      </c>
      <c r="Y240" s="43" t="s">
        <v>361</v>
      </c>
      <c r="Z240" s="43" t="s">
        <v>361</v>
      </c>
      <c r="AA240" s="43" t="s">
        <v>320</v>
      </c>
      <c r="AB240" s="144">
        <v>7.1999996900558499E-2</v>
      </c>
      <c r="AC240" s="125">
        <v>43800</v>
      </c>
      <c r="AD240" s="43" t="s">
        <v>329</v>
      </c>
      <c r="AF240" s="43" t="s">
        <v>54</v>
      </c>
      <c r="AG240" s="43" t="s">
        <v>399</v>
      </c>
      <c r="AH240" s="43" t="s">
        <v>952</v>
      </c>
      <c r="AJ240" s="140">
        <v>13</v>
      </c>
      <c r="AK240" s="140">
        <v>0</v>
      </c>
      <c r="AL240" s="140">
        <v>0</v>
      </c>
      <c r="AM240" s="140">
        <v>0</v>
      </c>
      <c r="AN240" s="140">
        <v>0</v>
      </c>
      <c r="AO240" s="140">
        <v>6</v>
      </c>
      <c r="AP240" s="140">
        <v>6</v>
      </c>
      <c r="AQ240" s="140">
        <v>1</v>
      </c>
      <c r="AR240" s="140">
        <v>0</v>
      </c>
      <c r="AS240" s="140">
        <v>0</v>
      </c>
      <c r="AT240" s="140">
        <v>0</v>
      </c>
      <c r="AU240" s="140">
        <v>0</v>
      </c>
      <c r="AV240" s="140">
        <v>6</v>
      </c>
      <c r="AW240" s="140">
        <v>6</v>
      </c>
      <c r="AX240" s="140">
        <v>1</v>
      </c>
      <c r="AY240" s="140">
        <v>0</v>
      </c>
      <c r="AZ240" s="140">
        <v>0</v>
      </c>
      <c r="BA240" s="140">
        <v>0</v>
      </c>
      <c r="BB240" s="140">
        <v>0</v>
      </c>
      <c r="BC240" s="140">
        <v>0</v>
      </c>
      <c r="BD240" s="140">
        <v>0</v>
      </c>
      <c r="BE240" s="140">
        <v>0</v>
      </c>
      <c r="BF240" s="140">
        <v>0</v>
      </c>
      <c r="BG240" s="140">
        <v>0</v>
      </c>
      <c r="BH240" s="140">
        <v>0</v>
      </c>
      <c r="BI240" s="140">
        <v>0</v>
      </c>
      <c r="BJ240" s="140">
        <v>0</v>
      </c>
      <c r="BK240" s="140">
        <v>0</v>
      </c>
      <c r="BL240" s="140">
        <v>0</v>
      </c>
      <c r="BM240" s="140">
        <v>0</v>
      </c>
      <c r="BN240" s="140">
        <v>0</v>
      </c>
      <c r="BO240" s="140">
        <v>0</v>
      </c>
      <c r="BQ240" s="43" t="s">
        <v>329</v>
      </c>
      <c r="BX240" s="43">
        <v>21</v>
      </c>
      <c r="CC240" s="90">
        <f>M240</f>
        <v>13</v>
      </c>
      <c r="CT240" s="90">
        <f t="shared" si="13"/>
        <v>13</v>
      </c>
      <c r="CU240" s="90">
        <f t="shared" si="14"/>
        <v>13</v>
      </c>
    </row>
    <row r="241" spans="1:99" ht="12" customHeight="1">
      <c r="A241" s="43">
        <v>3511</v>
      </c>
      <c r="B241" s="89" t="s">
        <v>813</v>
      </c>
      <c r="C241" s="89" t="s">
        <v>953</v>
      </c>
      <c r="D241" s="89" t="s">
        <v>949</v>
      </c>
      <c r="E241" s="89" t="s">
        <v>954</v>
      </c>
      <c r="F241" s="43">
        <v>529369</v>
      </c>
      <c r="G241" s="43">
        <v>177317</v>
      </c>
      <c r="H241" s="89" t="s">
        <v>148</v>
      </c>
      <c r="I241" s="125">
        <v>43800</v>
      </c>
      <c r="K241" s="140">
        <v>0</v>
      </c>
      <c r="L241" s="140">
        <v>81</v>
      </c>
      <c r="M241" s="140">
        <v>81</v>
      </c>
      <c r="N241" s="140">
        <v>455</v>
      </c>
      <c r="O241" s="140">
        <v>455</v>
      </c>
      <c r="P241" s="43" t="s">
        <v>329</v>
      </c>
      <c r="Q241" s="89" t="s">
        <v>955</v>
      </c>
      <c r="R241" s="43" t="s">
        <v>466</v>
      </c>
      <c r="S241" s="125">
        <v>43658</v>
      </c>
      <c r="T241" s="117">
        <v>43791</v>
      </c>
      <c r="U241" s="43" t="s">
        <v>329</v>
      </c>
      <c r="V241" s="43" t="s">
        <v>317</v>
      </c>
      <c r="X241" s="43" t="s">
        <v>318</v>
      </c>
      <c r="Y241" s="43" t="s">
        <v>361</v>
      </c>
      <c r="Z241" s="43" t="s">
        <v>361</v>
      </c>
      <c r="AA241" s="43" t="s">
        <v>320</v>
      </c>
      <c r="AB241" s="144">
        <v>0.48800000548362699</v>
      </c>
      <c r="AC241" s="125">
        <v>43800</v>
      </c>
      <c r="AD241" s="43" t="s">
        <v>329</v>
      </c>
      <c r="AF241" s="43" t="s">
        <v>54</v>
      </c>
      <c r="AG241" s="43" t="s">
        <v>399</v>
      </c>
      <c r="AH241" s="43" t="s">
        <v>952</v>
      </c>
      <c r="AJ241" s="140">
        <v>0</v>
      </c>
      <c r="AK241" s="140">
        <v>65</v>
      </c>
      <c r="AL241" s="140">
        <v>0</v>
      </c>
      <c r="AM241" s="140">
        <v>16</v>
      </c>
      <c r="AN241" s="140">
        <v>0</v>
      </c>
      <c r="AO241" s="140">
        <v>37</v>
      </c>
      <c r="AP241" s="140">
        <v>36</v>
      </c>
      <c r="AQ241" s="140">
        <v>8</v>
      </c>
      <c r="AR241" s="140">
        <v>0</v>
      </c>
      <c r="AS241" s="140">
        <v>0</v>
      </c>
      <c r="AT241" s="140">
        <v>0</v>
      </c>
      <c r="AU241" s="140">
        <v>0</v>
      </c>
      <c r="AV241" s="140">
        <v>37</v>
      </c>
      <c r="AW241" s="140">
        <v>36</v>
      </c>
      <c r="AX241" s="140">
        <v>8</v>
      </c>
      <c r="AY241" s="140">
        <v>0</v>
      </c>
      <c r="AZ241" s="140">
        <v>0</v>
      </c>
      <c r="BA241" s="140">
        <v>0</v>
      </c>
      <c r="BB241" s="140">
        <v>0</v>
      </c>
      <c r="BC241" s="140">
        <v>0</v>
      </c>
      <c r="BD241" s="140">
        <v>0</v>
      </c>
      <c r="BE241" s="140">
        <v>0</v>
      </c>
      <c r="BF241" s="140">
        <v>0</v>
      </c>
      <c r="BG241" s="140">
        <v>0</v>
      </c>
      <c r="BH241" s="140">
        <v>0</v>
      </c>
      <c r="BI241" s="140">
        <v>0</v>
      </c>
      <c r="BJ241" s="140">
        <v>0</v>
      </c>
      <c r="BK241" s="140">
        <v>0</v>
      </c>
      <c r="BL241" s="140">
        <v>0</v>
      </c>
      <c r="BM241" s="140">
        <v>0</v>
      </c>
      <c r="BN241" s="140">
        <v>0</v>
      </c>
      <c r="BO241" s="140">
        <v>0</v>
      </c>
      <c r="BQ241" s="43" t="s">
        <v>329</v>
      </c>
      <c r="BX241" s="43">
        <v>21</v>
      </c>
      <c r="CC241" s="90">
        <f>M241</f>
        <v>81</v>
      </c>
      <c r="CT241" s="90">
        <f t="shared" si="13"/>
        <v>81</v>
      </c>
      <c r="CU241" s="90">
        <f t="shared" si="14"/>
        <v>81</v>
      </c>
    </row>
    <row r="242" spans="1:99" ht="12" customHeight="1">
      <c r="A242" s="43">
        <v>3511</v>
      </c>
      <c r="B242" s="89" t="s">
        <v>813</v>
      </c>
      <c r="C242" s="89" t="s">
        <v>956</v>
      </c>
      <c r="D242" s="89" t="s">
        <v>949</v>
      </c>
      <c r="E242" s="89" t="s">
        <v>957</v>
      </c>
      <c r="F242" s="43">
        <v>529369</v>
      </c>
      <c r="G242" s="43">
        <v>177317</v>
      </c>
      <c r="H242" s="89" t="s">
        <v>148</v>
      </c>
      <c r="I242" s="125">
        <v>43613</v>
      </c>
      <c r="K242" s="140">
        <v>0</v>
      </c>
      <c r="L242" s="140">
        <v>298</v>
      </c>
      <c r="M242" s="140">
        <v>298</v>
      </c>
      <c r="N242" s="140">
        <v>298</v>
      </c>
      <c r="O242" s="140">
        <v>298</v>
      </c>
      <c r="P242" s="43" t="s">
        <v>329</v>
      </c>
      <c r="Q242" s="89" t="s">
        <v>958</v>
      </c>
      <c r="R242" s="43" t="s">
        <v>406</v>
      </c>
      <c r="S242" s="125">
        <v>43746</v>
      </c>
      <c r="T242" s="117">
        <v>43761</v>
      </c>
      <c r="U242" s="43" t="s">
        <v>329</v>
      </c>
      <c r="V242" s="43" t="s">
        <v>317</v>
      </c>
      <c r="X242" s="43" t="s">
        <v>318</v>
      </c>
      <c r="Y242" s="43" t="s">
        <v>361</v>
      </c>
      <c r="Z242" s="43" t="s">
        <v>361</v>
      </c>
      <c r="AA242" s="43" t="s">
        <v>320</v>
      </c>
      <c r="AB242" s="144">
        <v>2.0390000343322798</v>
      </c>
      <c r="AC242" s="125">
        <v>43613</v>
      </c>
      <c r="AD242" s="43" t="s">
        <v>329</v>
      </c>
      <c r="AF242" s="43" t="s">
        <v>75</v>
      </c>
      <c r="AG242" s="43" t="s">
        <v>322</v>
      </c>
      <c r="AH242" s="43" t="s">
        <v>952</v>
      </c>
      <c r="AJ242" s="140">
        <v>0</v>
      </c>
      <c r="AK242" s="140">
        <v>0</v>
      </c>
      <c r="AL242" s="140">
        <v>0</v>
      </c>
      <c r="AM242" s="140">
        <v>0</v>
      </c>
      <c r="AN242" s="140">
        <v>0</v>
      </c>
      <c r="AO242" s="140">
        <v>67</v>
      </c>
      <c r="AP242" s="140">
        <v>100</v>
      </c>
      <c r="AQ242" s="140">
        <v>109</v>
      </c>
      <c r="AR242" s="140">
        <v>22</v>
      </c>
      <c r="AS242" s="140">
        <v>0</v>
      </c>
      <c r="AT242" s="140">
        <v>0</v>
      </c>
      <c r="AU242" s="140">
        <v>0</v>
      </c>
      <c r="AV242" s="140">
        <v>67</v>
      </c>
      <c r="AW242" s="140">
        <v>100</v>
      </c>
      <c r="AX242" s="140">
        <v>109</v>
      </c>
      <c r="AY242" s="140">
        <v>22</v>
      </c>
      <c r="AZ242" s="140">
        <v>0</v>
      </c>
      <c r="BA242" s="140">
        <v>0</v>
      </c>
      <c r="BB242" s="140">
        <v>0</v>
      </c>
      <c r="BC242" s="140">
        <v>0</v>
      </c>
      <c r="BD242" s="140">
        <v>0</v>
      </c>
      <c r="BE242" s="140">
        <v>0</v>
      </c>
      <c r="BF242" s="140">
        <v>0</v>
      </c>
      <c r="BG242" s="140">
        <v>0</v>
      </c>
      <c r="BH242" s="140">
        <v>0</v>
      </c>
      <c r="BI242" s="140">
        <v>0</v>
      </c>
      <c r="BJ242" s="140">
        <v>0</v>
      </c>
      <c r="BK242" s="140">
        <v>0</v>
      </c>
      <c r="BL242" s="140">
        <v>0</v>
      </c>
      <c r="BM242" s="140">
        <v>0</v>
      </c>
      <c r="BN242" s="140">
        <v>0</v>
      </c>
      <c r="BO242" s="140">
        <v>0</v>
      </c>
      <c r="BQ242" s="43" t="s">
        <v>329</v>
      </c>
      <c r="BX242" s="43">
        <v>21</v>
      </c>
      <c r="CD242" s="90">
        <f>M242</f>
        <v>298</v>
      </c>
      <c r="CT242" s="90">
        <f t="shared" si="13"/>
        <v>298</v>
      </c>
      <c r="CU242" s="90">
        <f t="shared" si="14"/>
        <v>298</v>
      </c>
    </row>
    <row r="243" spans="1:99" ht="12" customHeight="1">
      <c r="A243" s="43">
        <v>3511</v>
      </c>
      <c r="B243" s="89" t="s">
        <v>813</v>
      </c>
      <c r="C243" s="89" t="s">
        <v>959</v>
      </c>
      <c r="D243" s="89" t="s">
        <v>949</v>
      </c>
      <c r="E243" s="89" t="s">
        <v>960</v>
      </c>
      <c r="F243" s="43">
        <v>529369</v>
      </c>
      <c r="G243" s="43">
        <v>177317</v>
      </c>
      <c r="H243" s="89" t="s">
        <v>148</v>
      </c>
      <c r="I243" s="125">
        <v>43672</v>
      </c>
      <c r="K243" s="140">
        <v>0</v>
      </c>
      <c r="L243" s="140">
        <v>316</v>
      </c>
      <c r="M243" s="140">
        <v>316</v>
      </c>
      <c r="N243" s="140">
        <v>542</v>
      </c>
      <c r="O243" s="140">
        <v>542</v>
      </c>
      <c r="P243" s="43" t="s">
        <v>329</v>
      </c>
      <c r="Q243" s="89" t="s">
        <v>961</v>
      </c>
      <c r="R243" s="43" t="s">
        <v>406</v>
      </c>
      <c r="S243" s="125">
        <v>43746</v>
      </c>
      <c r="T243" s="117">
        <v>43760</v>
      </c>
      <c r="U243" s="43" t="s">
        <v>329</v>
      </c>
      <c r="V243" s="43" t="s">
        <v>317</v>
      </c>
      <c r="X243" s="43" t="s">
        <v>318</v>
      </c>
      <c r="Y243" s="43" t="s">
        <v>361</v>
      </c>
      <c r="Z243" s="43" t="s">
        <v>361</v>
      </c>
      <c r="AA243" s="43" t="s">
        <v>320</v>
      </c>
      <c r="AB243" s="144">
        <v>1.76400005817413</v>
      </c>
      <c r="AC243" s="125">
        <v>43672</v>
      </c>
      <c r="AD243" s="43" t="s">
        <v>329</v>
      </c>
      <c r="AF243" s="43" t="s">
        <v>75</v>
      </c>
      <c r="AG243" s="43" t="s">
        <v>322</v>
      </c>
      <c r="AH243" s="43" t="s">
        <v>952</v>
      </c>
      <c r="AJ243" s="140">
        <v>288</v>
      </c>
      <c r="AK243" s="140">
        <v>0</v>
      </c>
      <c r="AL243" s="140">
        <v>28</v>
      </c>
      <c r="AM243" s="140">
        <v>0</v>
      </c>
      <c r="AN243" s="140">
        <v>0</v>
      </c>
      <c r="AO243" s="140">
        <v>98</v>
      </c>
      <c r="AP243" s="140">
        <v>134</v>
      </c>
      <c r="AQ243" s="140">
        <v>74</v>
      </c>
      <c r="AR243" s="140">
        <v>10</v>
      </c>
      <c r="AS243" s="140">
        <v>0</v>
      </c>
      <c r="AT243" s="140">
        <v>0</v>
      </c>
      <c r="AU243" s="140">
        <v>0</v>
      </c>
      <c r="AV243" s="140">
        <v>98</v>
      </c>
      <c r="AW243" s="140">
        <v>134</v>
      </c>
      <c r="AX243" s="140">
        <v>74</v>
      </c>
      <c r="AY243" s="140">
        <v>10</v>
      </c>
      <c r="AZ243" s="140">
        <v>0</v>
      </c>
      <c r="BA243" s="140">
        <v>0</v>
      </c>
      <c r="BB243" s="140">
        <v>0</v>
      </c>
      <c r="BC243" s="140">
        <v>0</v>
      </c>
      <c r="BD243" s="140">
        <v>0</v>
      </c>
      <c r="BE243" s="140">
        <v>0</v>
      </c>
      <c r="BF243" s="140">
        <v>0</v>
      </c>
      <c r="BG243" s="140">
        <v>0</v>
      </c>
      <c r="BH243" s="140">
        <v>0</v>
      </c>
      <c r="BI243" s="140">
        <v>0</v>
      </c>
      <c r="BJ243" s="140">
        <v>0</v>
      </c>
      <c r="BK243" s="140">
        <v>0</v>
      </c>
      <c r="BL243" s="140">
        <v>0</v>
      </c>
      <c r="BM243" s="140">
        <v>0</v>
      </c>
      <c r="BN243" s="140">
        <v>0</v>
      </c>
      <c r="BO243" s="140">
        <v>0</v>
      </c>
      <c r="BQ243" s="43" t="s">
        <v>329</v>
      </c>
      <c r="BX243" s="43">
        <v>21</v>
      </c>
      <c r="CD243" s="90">
        <f>M243</f>
        <v>316</v>
      </c>
      <c r="CT243" s="90">
        <f t="shared" si="13"/>
        <v>316</v>
      </c>
      <c r="CU243" s="90">
        <f t="shared" si="14"/>
        <v>316</v>
      </c>
    </row>
    <row r="244" spans="1:99" ht="12" customHeight="1">
      <c r="A244" s="43">
        <v>3511</v>
      </c>
      <c r="B244" s="89" t="s">
        <v>813</v>
      </c>
      <c r="C244" s="89" t="s">
        <v>959</v>
      </c>
      <c r="D244" s="89" t="s">
        <v>949</v>
      </c>
      <c r="E244" s="89" t="s">
        <v>962</v>
      </c>
      <c r="F244" s="43">
        <v>529369</v>
      </c>
      <c r="G244" s="43">
        <v>177317</v>
      </c>
      <c r="H244" s="89" t="s">
        <v>148</v>
      </c>
      <c r="I244" s="125">
        <v>43672</v>
      </c>
      <c r="K244" s="140">
        <v>0</v>
      </c>
      <c r="L244" s="140">
        <v>226</v>
      </c>
      <c r="M244" s="140">
        <v>226</v>
      </c>
      <c r="N244" s="140">
        <v>542</v>
      </c>
      <c r="O244" s="140">
        <v>542</v>
      </c>
      <c r="P244" s="43" t="s">
        <v>329</v>
      </c>
      <c r="Q244" s="89" t="s">
        <v>961</v>
      </c>
      <c r="R244" s="43" t="s">
        <v>406</v>
      </c>
      <c r="S244" s="125">
        <v>43746</v>
      </c>
      <c r="T244" s="117">
        <v>43760</v>
      </c>
      <c r="U244" s="43" t="s">
        <v>329</v>
      </c>
      <c r="V244" s="43" t="s">
        <v>317</v>
      </c>
      <c r="X244" s="43" t="s">
        <v>318</v>
      </c>
      <c r="Y244" s="43" t="s">
        <v>361</v>
      </c>
      <c r="Z244" s="43" t="s">
        <v>361</v>
      </c>
      <c r="AA244" s="43" t="s">
        <v>320</v>
      </c>
      <c r="AB244" s="144">
        <v>1.26400005817413</v>
      </c>
      <c r="AC244" s="125">
        <v>43672</v>
      </c>
      <c r="AD244" s="43" t="s">
        <v>329</v>
      </c>
      <c r="AF244" s="43" t="s">
        <v>75</v>
      </c>
      <c r="AG244" s="43" t="s">
        <v>322</v>
      </c>
      <c r="AH244" s="43" t="s">
        <v>952</v>
      </c>
      <c r="AJ244" s="140">
        <v>193</v>
      </c>
      <c r="AK244" s="140">
        <v>0</v>
      </c>
      <c r="AL244" s="140">
        <v>33</v>
      </c>
      <c r="AM244" s="140">
        <v>0</v>
      </c>
      <c r="AN244" s="140">
        <v>0</v>
      </c>
      <c r="AO244" s="140">
        <v>68</v>
      </c>
      <c r="AP244" s="140">
        <v>94</v>
      </c>
      <c r="AQ244" s="140">
        <v>54</v>
      </c>
      <c r="AR244" s="140">
        <v>10</v>
      </c>
      <c r="AS244" s="140">
        <v>0</v>
      </c>
      <c r="AT244" s="140">
        <v>0</v>
      </c>
      <c r="AU244" s="140">
        <v>0</v>
      </c>
      <c r="AV244" s="140">
        <v>68</v>
      </c>
      <c r="AW244" s="140">
        <v>94</v>
      </c>
      <c r="AX244" s="140">
        <v>54</v>
      </c>
      <c r="AY244" s="140">
        <v>10</v>
      </c>
      <c r="AZ244" s="140">
        <v>0</v>
      </c>
      <c r="BA244" s="140">
        <v>0</v>
      </c>
      <c r="BB244" s="140">
        <v>0</v>
      </c>
      <c r="BC244" s="140">
        <v>0</v>
      </c>
      <c r="BD244" s="140">
        <v>0</v>
      </c>
      <c r="BE244" s="140">
        <v>0</v>
      </c>
      <c r="BF244" s="140">
        <v>0</v>
      </c>
      <c r="BG244" s="140">
        <v>0</v>
      </c>
      <c r="BH244" s="140">
        <v>0</v>
      </c>
      <c r="BI244" s="140">
        <v>0</v>
      </c>
      <c r="BJ244" s="140">
        <v>0</v>
      </c>
      <c r="BK244" s="140">
        <v>0</v>
      </c>
      <c r="BL244" s="140">
        <v>0</v>
      </c>
      <c r="BM244" s="140">
        <v>0</v>
      </c>
      <c r="BN244" s="140">
        <v>0</v>
      </c>
      <c r="BO244" s="140">
        <v>0</v>
      </c>
      <c r="BQ244" s="43" t="s">
        <v>329</v>
      </c>
      <c r="BX244" s="43">
        <v>21</v>
      </c>
      <c r="CC244" s="90">
        <f>M244</f>
        <v>226</v>
      </c>
      <c r="CT244" s="90">
        <f t="shared" si="13"/>
        <v>226</v>
      </c>
      <c r="CU244" s="90">
        <f t="shared" si="14"/>
        <v>226</v>
      </c>
    </row>
    <row r="245" spans="1:99" ht="12" customHeight="1">
      <c r="A245" s="43">
        <v>3514</v>
      </c>
      <c r="B245" s="89" t="s">
        <v>813</v>
      </c>
      <c r="C245" s="89" t="s">
        <v>400</v>
      </c>
      <c r="D245" s="89" t="s">
        <v>395</v>
      </c>
      <c r="E245" s="89" t="s">
        <v>454</v>
      </c>
      <c r="F245" s="43">
        <v>528809</v>
      </c>
      <c r="G245" s="43">
        <v>177181</v>
      </c>
      <c r="H245" s="89" t="s">
        <v>148</v>
      </c>
      <c r="I245" s="125">
        <v>42662</v>
      </c>
      <c r="K245" s="140">
        <v>0</v>
      </c>
      <c r="L245" s="140">
        <v>112</v>
      </c>
      <c r="M245" s="140">
        <v>112</v>
      </c>
      <c r="N245" s="140">
        <v>835</v>
      </c>
      <c r="O245" s="140">
        <v>835</v>
      </c>
      <c r="P245" s="43" t="s">
        <v>329</v>
      </c>
      <c r="Q245" s="89" t="s">
        <v>402</v>
      </c>
      <c r="R245" s="43" t="s">
        <v>360</v>
      </c>
      <c r="S245" s="125">
        <v>42675</v>
      </c>
      <c r="T245" s="117">
        <v>42858</v>
      </c>
      <c r="V245" s="43" t="s">
        <v>317</v>
      </c>
      <c r="X245" s="43" t="s">
        <v>318</v>
      </c>
      <c r="Y245" s="43" t="s">
        <v>361</v>
      </c>
      <c r="Z245" s="43" t="s">
        <v>361</v>
      </c>
      <c r="AA245" s="43" t="s">
        <v>320</v>
      </c>
      <c r="AB245" s="144">
        <v>0.19400000572204601</v>
      </c>
      <c r="AC245" s="125">
        <v>42662</v>
      </c>
      <c r="AF245" s="43" t="s">
        <v>75</v>
      </c>
      <c r="AG245" s="43" t="s">
        <v>322</v>
      </c>
      <c r="AH245" s="43" t="s">
        <v>398</v>
      </c>
      <c r="AJ245" s="140">
        <v>112</v>
      </c>
      <c r="AK245" s="140">
        <v>0</v>
      </c>
      <c r="AL245" s="140">
        <v>11</v>
      </c>
      <c r="AM245" s="140">
        <v>0</v>
      </c>
      <c r="AN245" s="140">
        <v>0</v>
      </c>
      <c r="AO245" s="140">
        <v>36</v>
      </c>
      <c r="AP245" s="140">
        <v>66</v>
      </c>
      <c r="AQ245" s="140">
        <v>10</v>
      </c>
      <c r="AR245" s="140">
        <v>0</v>
      </c>
      <c r="AS245" s="140">
        <v>0</v>
      </c>
      <c r="AT245" s="140">
        <v>0</v>
      </c>
      <c r="AU245" s="140">
        <v>0</v>
      </c>
      <c r="AV245" s="140">
        <v>36</v>
      </c>
      <c r="AW245" s="140">
        <v>66</v>
      </c>
      <c r="AX245" s="140">
        <v>10</v>
      </c>
      <c r="AY245" s="140">
        <v>0</v>
      </c>
      <c r="AZ245" s="140">
        <v>0</v>
      </c>
      <c r="BA245" s="140">
        <v>0</v>
      </c>
      <c r="BB245" s="140">
        <v>0</v>
      </c>
      <c r="BC245" s="140">
        <v>0</v>
      </c>
      <c r="BD245" s="140">
        <v>0</v>
      </c>
      <c r="BE245" s="140">
        <v>0</v>
      </c>
      <c r="BF245" s="140">
        <v>0</v>
      </c>
      <c r="BG245" s="140">
        <v>0</v>
      </c>
      <c r="BH245" s="140">
        <v>0</v>
      </c>
      <c r="BI245" s="140">
        <v>0</v>
      </c>
      <c r="BJ245" s="140">
        <v>0</v>
      </c>
      <c r="BK245" s="140">
        <v>0</v>
      </c>
      <c r="BL245" s="140">
        <v>0</v>
      </c>
      <c r="BM245" s="140">
        <v>0</v>
      </c>
      <c r="BN245" s="140">
        <v>0</v>
      </c>
      <c r="BO245" s="140">
        <v>0</v>
      </c>
      <c r="BQ245" s="43" t="s">
        <v>329</v>
      </c>
      <c r="BX245" s="43">
        <v>21</v>
      </c>
      <c r="CB245" s="90">
        <f>M245</f>
        <v>112</v>
      </c>
      <c r="CT245" s="90">
        <f t="shared" si="13"/>
        <v>112</v>
      </c>
      <c r="CU245" s="90">
        <f t="shared" si="14"/>
        <v>112</v>
      </c>
    </row>
    <row r="246" spans="1:99" ht="12" customHeight="1">
      <c r="A246" s="43">
        <v>3514</v>
      </c>
      <c r="B246" s="89" t="s">
        <v>813</v>
      </c>
      <c r="C246" s="89" t="s">
        <v>400</v>
      </c>
      <c r="D246" s="89" t="s">
        <v>395</v>
      </c>
      <c r="E246" s="89" t="s">
        <v>963</v>
      </c>
      <c r="F246" s="43">
        <v>528809</v>
      </c>
      <c r="G246" s="43">
        <v>177181</v>
      </c>
      <c r="H246" s="89" t="s">
        <v>148</v>
      </c>
      <c r="I246" s="125">
        <v>42662</v>
      </c>
      <c r="K246" s="140">
        <v>0</v>
      </c>
      <c r="L246" s="140">
        <v>90</v>
      </c>
      <c r="M246" s="140">
        <v>90</v>
      </c>
      <c r="N246" s="140">
        <v>835</v>
      </c>
      <c r="O246" s="140">
        <v>835</v>
      </c>
      <c r="P246" s="43" t="s">
        <v>329</v>
      </c>
      <c r="Q246" s="89" t="s">
        <v>402</v>
      </c>
      <c r="R246" s="43" t="s">
        <v>360</v>
      </c>
      <c r="S246" s="125">
        <v>42675</v>
      </c>
      <c r="T246" s="117">
        <v>42858</v>
      </c>
      <c r="V246" s="43" t="s">
        <v>317</v>
      </c>
      <c r="X246" s="43" t="s">
        <v>318</v>
      </c>
      <c r="Y246" s="43" t="s">
        <v>361</v>
      </c>
      <c r="Z246" s="43" t="s">
        <v>361</v>
      </c>
      <c r="AA246" s="43" t="s">
        <v>320</v>
      </c>
      <c r="AB246" s="144">
        <v>0.15600000321865101</v>
      </c>
      <c r="AC246" s="125">
        <v>43678</v>
      </c>
      <c r="AD246" s="43" t="s">
        <v>329</v>
      </c>
      <c r="AF246" s="43" t="s">
        <v>75</v>
      </c>
      <c r="AG246" s="43" t="s">
        <v>322</v>
      </c>
      <c r="AH246" s="43" t="s">
        <v>398</v>
      </c>
      <c r="AJ246" s="140">
        <v>90</v>
      </c>
      <c r="AK246" s="140">
        <v>0</v>
      </c>
      <c r="AL246" s="140">
        <v>9</v>
      </c>
      <c r="AM246" s="140">
        <v>0</v>
      </c>
      <c r="AN246" s="140">
        <v>0</v>
      </c>
      <c r="AO246" s="140">
        <v>32</v>
      </c>
      <c r="AP246" s="140">
        <v>32</v>
      </c>
      <c r="AQ246" s="140">
        <v>26</v>
      </c>
      <c r="AR246" s="140">
        <v>0</v>
      </c>
      <c r="AS246" s="140">
        <v>0</v>
      </c>
      <c r="AT246" s="140">
        <v>0</v>
      </c>
      <c r="AU246" s="140">
        <v>0</v>
      </c>
      <c r="AV246" s="140">
        <v>32</v>
      </c>
      <c r="AW246" s="140">
        <v>32</v>
      </c>
      <c r="AX246" s="140">
        <v>26</v>
      </c>
      <c r="AY246" s="140">
        <v>0</v>
      </c>
      <c r="AZ246" s="140">
        <v>0</v>
      </c>
      <c r="BA246" s="140">
        <v>0</v>
      </c>
      <c r="BB246" s="140">
        <v>0</v>
      </c>
      <c r="BC246" s="140">
        <v>0</v>
      </c>
      <c r="BD246" s="140">
        <v>0</v>
      </c>
      <c r="BE246" s="140">
        <v>0</v>
      </c>
      <c r="BF246" s="140">
        <v>0</v>
      </c>
      <c r="BG246" s="140">
        <v>0</v>
      </c>
      <c r="BH246" s="140">
        <v>0</v>
      </c>
      <c r="BI246" s="140">
        <v>0</v>
      </c>
      <c r="BJ246" s="140">
        <v>0</v>
      </c>
      <c r="BK246" s="140">
        <v>0</v>
      </c>
      <c r="BL246" s="140">
        <v>0</v>
      </c>
      <c r="BM246" s="140">
        <v>0</v>
      </c>
      <c r="BN246" s="140">
        <v>0</v>
      </c>
      <c r="BO246" s="140">
        <v>0</v>
      </c>
      <c r="BQ246" s="43" t="s">
        <v>329</v>
      </c>
      <c r="BX246" s="43">
        <v>21</v>
      </c>
      <c r="CA246" s="90">
        <f>M246</f>
        <v>90</v>
      </c>
      <c r="CT246" s="90">
        <f t="shared" si="13"/>
        <v>90</v>
      </c>
      <c r="CU246" s="90">
        <f t="shared" si="14"/>
        <v>90</v>
      </c>
    </row>
    <row r="247" spans="1:99" ht="12" customHeight="1">
      <c r="A247" s="43">
        <v>3514</v>
      </c>
      <c r="B247" s="89" t="s">
        <v>813</v>
      </c>
      <c r="C247" s="89" t="s">
        <v>400</v>
      </c>
      <c r="D247" s="89" t="s">
        <v>395</v>
      </c>
      <c r="E247" s="89" t="s">
        <v>963</v>
      </c>
      <c r="F247" s="43">
        <v>528809</v>
      </c>
      <c r="G247" s="43">
        <v>177181</v>
      </c>
      <c r="H247" s="89" t="s">
        <v>148</v>
      </c>
      <c r="I247" s="125">
        <v>42662</v>
      </c>
      <c r="K247" s="140">
        <v>0</v>
      </c>
      <c r="L247" s="140">
        <v>16</v>
      </c>
      <c r="M247" s="140">
        <v>16</v>
      </c>
      <c r="N247" s="140">
        <v>835</v>
      </c>
      <c r="O247" s="140">
        <v>835</v>
      </c>
      <c r="P247" s="43" t="s">
        <v>329</v>
      </c>
      <c r="Q247" s="89" t="s">
        <v>402</v>
      </c>
      <c r="R247" s="43" t="s">
        <v>360</v>
      </c>
      <c r="S247" s="125">
        <v>42675</v>
      </c>
      <c r="T247" s="117">
        <v>42858</v>
      </c>
      <c r="V247" s="43" t="s">
        <v>317</v>
      </c>
      <c r="X247" s="43" t="s">
        <v>318</v>
      </c>
      <c r="Y247" s="43" t="s">
        <v>361</v>
      </c>
      <c r="Z247" s="43" t="s">
        <v>361</v>
      </c>
      <c r="AA247" s="43" t="s">
        <v>320</v>
      </c>
      <c r="AB247" s="144">
        <v>2.8000000864267301E-2</v>
      </c>
      <c r="AC247" s="125">
        <v>43678</v>
      </c>
      <c r="AD247" s="43" t="s">
        <v>329</v>
      </c>
      <c r="AF247" s="43" t="s">
        <v>54</v>
      </c>
      <c r="AG247" s="43" t="s">
        <v>399</v>
      </c>
      <c r="AH247" s="43" t="s">
        <v>398</v>
      </c>
      <c r="AJ247" s="140">
        <v>16</v>
      </c>
      <c r="AK247" s="140">
        <v>0</v>
      </c>
      <c r="AL247" s="140">
        <v>2</v>
      </c>
      <c r="AM247" s="140">
        <v>0</v>
      </c>
      <c r="AN247" s="140">
        <v>0</v>
      </c>
      <c r="AO247" s="140">
        <v>8</v>
      </c>
      <c r="AP247" s="140">
        <v>8</v>
      </c>
      <c r="AQ247" s="140">
        <v>0</v>
      </c>
      <c r="AR247" s="140">
        <v>0</v>
      </c>
      <c r="AS247" s="140">
        <v>0</v>
      </c>
      <c r="AT247" s="140">
        <v>0</v>
      </c>
      <c r="AU247" s="140">
        <v>0</v>
      </c>
      <c r="AV247" s="140">
        <v>8</v>
      </c>
      <c r="AW247" s="140">
        <v>8</v>
      </c>
      <c r="AX247" s="140">
        <v>0</v>
      </c>
      <c r="AY247" s="140">
        <v>0</v>
      </c>
      <c r="AZ247" s="140">
        <v>0</v>
      </c>
      <c r="BA247" s="140">
        <v>0</v>
      </c>
      <c r="BB247" s="140">
        <v>0</v>
      </c>
      <c r="BC247" s="140">
        <v>0</v>
      </c>
      <c r="BD247" s="140">
        <v>0</v>
      </c>
      <c r="BE247" s="140">
        <v>0</v>
      </c>
      <c r="BF247" s="140">
        <v>0</v>
      </c>
      <c r="BG247" s="140">
        <v>0</v>
      </c>
      <c r="BH247" s="140">
        <v>0</v>
      </c>
      <c r="BI247" s="140">
        <v>0</v>
      </c>
      <c r="BJ247" s="140">
        <v>0</v>
      </c>
      <c r="BK247" s="140">
        <v>0</v>
      </c>
      <c r="BL247" s="140">
        <v>0</v>
      </c>
      <c r="BM247" s="140">
        <v>0</v>
      </c>
      <c r="BN247" s="140">
        <v>0</v>
      </c>
      <c r="BO247" s="140">
        <v>0</v>
      </c>
      <c r="BQ247" s="43" t="s">
        <v>329</v>
      </c>
      <c r="BX247" s="43">
        <v>21</v>
      </c>
      <c r="CA247" s="90">
        <f>M247</f>
        <v>16</v>
      </c>
      <c r="CT247" s="90">
        <f t="shared" si="13"/>
        <v>16</v>
      </c>
      <c r="CU247" s="90">
        <f t="shared" si="14"/>
        <v>16</v>
      </c>
    </row>
    <row r="248" spans="1:99" ht="12" customHeight="1">
      <c r="A248" s="43">
        <v>3514</v>
      </c>
      <c r="B248" s="89" t="s">
        <v>813</v>
      </c>
      <c r="C248" s="89" t="s">
        <v>400</v>
      </c>
      <c r="D248" s="89" t="s">
        <v>395</v>
      </c>
      <c r="E248" s="89" t="s">
        <v>964</v>
      </c>
      <c r="F248" s="43">
        <v>528809</v>
      </c>
      <c r="G248" s="43">
        <v>177181</v>
      </c>
      <c r="H248" s="89" t="s">
        <v>148</v>
      </c>
      <c r="I248" s="125">
        <v>42662</v>
      </c>
      <c r="K248" s="140">
        <v>0</v>
      </c>
      <c r="L248" s="140">
        <v>77</v>
      </c>
      <c r="M248" s="140">
        <v>77</v>
      </c>
      <c r="N248" s="140">
        <v>835</v>
      </c>
      <c r="O248" s="140">
        <v>835</v>
      </c>
      <c r="P248" s="43" t="s">
        <v>329</v>
      </c>
      <c r="Q248" s="89" t="s">
        <v>402</v>
      </c>
      <c r="R248" s="43" t="s">
        <v>360</v>
      </c>
      <c r="S248" s="125">
        <v>42675</v>
      </c>
      <c r="T248" s="117">
        <v>42858</v>
      </c>
      <c r="V248" s="43" t="s">
        <v>317</v>
      </c>
      <c r="X248" s="43" t="s">
        <v>318</v>
      </c>
      <c r="Y248" s="43" t="s">
        <v>361</v>
      </c>
      <c r="Z248" s="43" t="s">
        <v>361</v>
      </c>
      <c r="AA248" s="43" t="s">
        <v>320</v>
      </c>
      <c r="AB248" s="144">
        <v>0.13300000131130199</v>
      </c>
      <c r="AC248" s="125">
        <v>43678</v>
      </c>
      <c r="AD248" s="43" t="s">
        <v>329</v>
      </c>
      <c r="AF248" s="43" t="s">
        <v>55</v>
      </c>
      <c r="AG248" s="43" t="s">
        <v>457</v>
      </c>
      <c r="AH248" s="43" t="s">
        <v>398</v>
      </c>
      <c r="AJ248" s="140">
        <v>77</v>
      </c>
      <c r="AK248" s="140">
        <v>0</v>
      </c>
      <c r="AL248" s="140">
        <v>8</v>
      </c>
      <c r="AM248" s="140">
        <v>0</v>
      </c>
      <c r="AN248" s="140">
        <v>0</v>
      </c>
      <c r="AO248" s="140">
        <v>33</v>
      </c>
      <c r="AP248" s="140">
        <v>33</v>
      </c>
      <c r="AQ248" s="140">
        <v>11</v>
      </c>
      <c r="AR248" s="140">
        <v>0</v>
      </c>
      <c r="AS248" s="140">
        <v>0</v>
      </c>
      <c r="AT248" s="140">
        <v>0</v>
      </c>
      <c r="AU248" s="140">
        <v>0</v>
      </c>
      <c r="AV248" s="140">
        <v>33</v>
      </c>
      <c r="AW248" s="140">
        <v>33</v>
      </c>
      <c r="AX248" s="140">
        <v>11</v>
      </c>
      <c r="AY248" s="140">
        <v>0</v>
      </c>
      <c r="AZ248" s="140">
        <v>0</v>
      </c>
      <c r="BA248" s="140">
        <v>0</v>
      </c>
      <c r="BB248" s="140">
        <v>0</v>
      </c>
      <c r="BC248" s="140">
        <v>0</v>
      </c>
      <c r="BD248" s="140">
        <v>0</v>
      </c>
      <c r="BE248" s="140">
        <v>0</v>
      </c>
      <c r="BF248" s="140">
        <v>0</v>
      </c>
      <c r="BG248" s="140">
        <v>0</v>
      </c>
      <c r="BH248" s="140">
        <v>0</v>
      </c>
      <c r="BI248" s="140">
        <v>0</v>
      </c>
      <c r="BJ248" s="140">
        <v>0</v>
      </c>
      <c r="BK248" s="140">
        <v>0</v>
      </c>
      <c r="BL248" s="140">
        <v>0</v>
      </c>
      <c r="BM248" s="140">
        <v>0</v>
      </c>
      <c r="BN248" s="140">
        <v>0</v>
      </c>
      <c r="BO248" s="140">
        <v>0</v>
      </c>
      <c r="BQ248" s="43" t="s">
        <v>329</v>
      </c>
      <c r="BX248" s="43">
        <v>21</v>
      </c>
      <c r="CA248" s="90">
        <f>M248</f>
        <v>77</v>
      </c>
      <c r="CT248" s="90">
        <f t="shared" si="13"/>
        <v>77</v>
      </c>
      <c r="CU248" s="90">
        <f t="shared" si="14"/>
        <v>77</v>
      </c>
    </row>
    <row r="249" spans="1:99" ht="12" customHeight="1">
      <c r="A249" s="43">
        <v>3514</v>
      </c>
      <c r="B249" s="89" t="s">
        <v>813</v>
      </c>
      <c r="C249" s="89" t="s">
        <v>400</v>
      </c>
      <c r="D249" s="89" t="s">
        <v>395</v>
      </c>
      <c r="E249" s="89" t="s">
        <v>965</v>
      </c>
      <c r="F249" s="43">
        <v>528809</v>
      </c>
      <c r="G249" s="43">
        <v>177181</v>
      </c>
      <c r="H249" s="89" t="s">
        <v>148</v>
      </c>
      <c r="I249" s="125">
        <v>42662</v>
      </c>
      <c r="K249" s="140">
        <v>0</v>
      </c>
      <c r="L249" s="140">
        <v>99</v>
      </c>
      <c r="M249" s="140">
        <v>99</v>
      </c>
      <c r="N249" s="140">
        <v>835</v>
      </c>
      <c r="O249" s="140">
        <v>835</v>
      </c>
      <c r="P249" s="43" t="s">
        <v>329</v>
      </c>
      <c r="Q249" s="89" t="s">
        <v>402</v>
      </c>
      <c r="R249" s="43" t="s">
        <v>360</v>
      </c>
      <c r="S249" s="125">
        <v>42675</v>
      </c>
      <c r="T249" s="117">
        <v>42858</v>
      </c>
      <c r="V249" s="43" t="s">
        <v>317</v>
      </c>
      <c r="X249" s="43" t="s">
        <v>318</v>
      </c>
      <c r="Y249" s="43" t="s">
        <v>361</v>
      </c>
      <c r="Z249" s="43" t="s">
        <v>361</v>
      </c>
      <c r="AA249" s="43" t="s">
        <v>320</v>
      </c>
      <c r="AB249" s="144">
        <v>0.17100000381469699</v>
      </c>
      <c r="AC249" s="125">
        <v>43586</v>
      </c>
      <c r="AD249" s="43" t="s">
        <v>329</v>
      </c>
      <c r="AF249" s="43" t="s">
        <v>55</v>
      </c>
      <c r="AG249" s="43" t="s">
        <v>457</v>
      </c>
      <c r="AH249" s="43" t="s">
        <v>398</v>
      </c>
      <c r="AJ249" s="140">
        <v>99</v>
      </c>
      <c r="AK249" s="140">
        <v>0</v>
      </c>
      <c r="AL249" s="140">
        <v>10</v>
      </c>
      <c r="AM249" s="140">
        <v>0</v>
      </c>
      <c r="AN249" s="140">
        <v>0</v>
      </c>
      <c r="AO249" s="140">
        <v>66</v>
      </c>
      <c r="AP249" s="140">
        <v>33</v>
      </c>
      <c r="AQ249" s="140">
        <v>0</v>
      </c>
      <c r="AR249" s="140">
        <v>0</v>
      </c>
      <c r="AS249" s="140">
        <v>0</v>
      </c>
      <c r="AT249" s="140">
        <v>0</v>
      </c>
      <c r="AU249" s="140">
        <v>0</v>
      </c>
      <c r="AV249" s="140">
        <v>66</v>
      </c>
      <c r="AW249" s="140">
        <v>33</v>
      </c>
      <c r="AX249" s="140">
        <v>0</v>
      </c>
      <c r="AY249" s="140">
        <v>0</v>
      </c>
      <c r="AZ249" s="140">
        <v>0</v>
      </c>
      <c r="BA249" s="140">
        <v>0</v>
      </c>
      <c r="BB249" s="140">
        <v>0</v>
      </c>
      <c r="BC249" s="140">
        <v>0</v>
      </c>
      <c r="BD249" s="140">
        <v>0</v>
      </c>
      <c r="BE249" s="140">
        <v>0</v>
      </c>
      <c r="BF249" s="140">
        <v>0</v>
      </c>
      <c r="BG249" s="140">
        <v>0</v>
      </c>
      <c r="BH249" s="140">
        <v>0</v>
      </c>
      <c r="BI249" s="140">
        <v>0</v>
      </c>
      <c r="BJ249" s="140">
        <v>0</v>
      </c>
      <c r="BK249" s="140">
        <v>0</v>
      </c>
      <c r="BL249" s="140">
        <v>0</v>
      </c>
      <c r="BM249" s="140">
        <v>0</v>
      </c>
      <c r="BN249" s="140">
        <v>0</v>
      </c>
      <c r="BO249" s="140">
        <v>0</v>
      </c>
      <c r="BQ249" s="43" t="s">
        <v>329</v>
      </c>
      <c r="BX249" s="43">
        <v>21</v>
      </c>
      <c r="CA249" s="90">
        <f>M249</f>
        <v>99</v>
      </c>
      <c r="CT249" s="90">
        <f t="shared" si="13"/>
        <v>99</v>
      </c>
      <c r="CU249" s="90">
        <f t="shared" si="14"/>
        <v>99</v>
      </c>
    </row>
    <row r="250" spans="1:99" ht="12" customHeight="1">
      <c r="A250" s="43">
        <v>3515</v>
      </c>
      <c r="B250" s="89" t="s">
        <v>813</v>
      </c>
      <c r="C250" s="89" t="s">
        <v>966</v>
      </c>
      <c r="D250" s="89" t="s">
        <v>967</v>
      </c>
      <c r="F250" s="43">
        <v>524039</v>
      </c>
      <c r="G250" s="43">
        <v>175460</v>
      </c>
      <c r="H250" s="89" t="s">
        <v>178</v>
      </c>
      <c r="I250" s="125">
        <v>43444</v>
      </c>
      <c r="K250" s="140">
        <v>0</v>
      </c>
      <c r="L250" s="140">
        <v>78</v>
      </c>
      <c r="M250" s="140">
        <v>78</v>
      </c>
      <c r="N250" s="140">
        <v>97</v>
      </c>
      <c r="O250" s="140">
        <v>95</v>
      </c>
      <c r="P250" s="43" t="s">
        <v>329</v>
      </c>
      <c r="Q250" s="89" t="s">
        <v>968</v>
      </c>
      <c r="R250" s="43" t="s">
        <v>392</v>
      </c>
      <c r="S250" s="125">
        <v>42010</v>
      </c>
      <c r="T250" s="117">
        <v>42489</v>
      </c>
      <c r="V250" s="43" t="s">
        <v>317</v>
      </c>
      <c r="X250" s="43" t="s">
        <v>318</v>
      </c>
      <c r="Y250" s="43" t="s">
        <v>361</v>
      </c>
      <c r="Z250" s="43" t="s">
        <v>361</v>
      </c>
      <c r="AA250" s="43" t="s">
        <v>320</v>
      </c>
      <c r="AB250" s="144">
        <v>0.23199999332428001</v>
      </c>
      <c r="AC250" s="125">
        <v>43444</v>
      </c>
      <c r="AF250" s="43" t="s">
        <v>75</v>
      </c>
      <c r="AG250" s="43" t="s">
        <v>322</v>
      </c>
      <c r="AH250" s="43" t="s">
        <v>969</v>
      </c>
      <c r="AJ250" s="140">
        <v>78</v>
      </c>
      <c r="AK250" s="140">
        <v>0</v>
      </c>
      <c r="AL250" s="140">
        <v>8</v>
      </c>
      <c r="AM250" s="140">
        <v>0</v>
      </c>
      <c r="AN250" s="140">
        <v>1</v>
      </c>
      <c r="AO250" s="140">
        <v>19</v>
      </c>
      <c r="AP250" s="140">
        <v>52</v>
      </c>
      <c r="AQ250" s="140">
        <v>6</v>
      </c>
      <c r="AR250" s="140">
        <v>0</v>
      </c>
      <c r="AS250" s="140">
        <v>0</v>
      </c>
      <c r="AT250" s="140">
        <v>0</v>
      </c>
      <c r="AU250" s="140">
        <v>1</v>
      </c>
      <c r="AV250" s="140">
        <v>19</v>
      </c>
      <c r="AW250" s="140">
        <v>52</v>
      </c>
      <c r="AX250" s="140">
        <v>6</v>
      </c>
      <c r="AY250" s="140">
        <v>0</v>
      </c>
      <c r="AZ250" s="140">
        <v>0</v>
      </c>
      <c r="BA250" s="140">
        <v>0</v>
      </c>
      <c r="BB250" s="140">
        <v>0</v>
      </c>
      <c r="BC250" s="140">
        <v>0</v>
      </c>
      <c r="BD250" s="140">
        <v>0</v>
      </c>
      <c r="BE250" s="140">
        <v>0</v>
      </c>
      <c r="BF250" s="140">
        <v>0</v>
      </c>
      <c r="BG250" s="140">
        <v>0</v>
      </c>
      <c r="BH250" s="140">
        <v>0</v>
      </c>
      <c r="BI250" s="140">
        <v>0</v>
      </c>
      <c r="BJ250" s="140">
        <v>0</v>
      </c>
      <c r="BK250" s="140">
        <v>0</v>
      </c>
      <c r="BL250" s="140">
        <v>0</v>
      </c>
      <c r="BM250" s="140">
        <v>0</v>
      </c>
      <c r="BN250" s="140">
        <v>0</v>
      </c>
      <c r="BO250" s="140">
        <v>0</v>
      </c>
      <c r="BP250" s="43" t="s">
        <v>140</v>
      </c>
      <c r="BX250" s="43">
        <v>5</v>
      </c>
      <c r="CA250" s="90">
        <f t="shared" ref="CA250:CD251" si="17">$M250/4</f>
        <v>19.5</v>
      </c>
      <c r="CB250" s="90">
        <f t="shared" si="17"/>
        <v>19.5</v>
      </c>
      <c r="CC250" s="90">
        <f t="shared" si="17"/>
        <v>19.5</v>
      </c>
      <c r="CD250" s="90">
        <f t="shared" si="17"/>
        <v>19.5</v>
      </c>
      <c r="CT250" s="90">
        <f t="shared" si="13"/>
        <v>78</v>
      </c>
      <c r="CU250" s="90">
        <f t="shared" si="14"/>
        <v>78</v>
      </c>
    </row>
    <row r="251" spans="1:99" ht="12" customHeight="1">
      <c r="A251" s="43">
        <v>3515</v>
      </c>
      <c r="B251" s="89" t="s">
        <v>813</v>
      </c>
      <c r="C251" s="89" t="s">
        <v>966</v>
      </c>
      <c r="D251" s="89" t="s">
        <v>967</v>
      </c>
      <c r="F251" s="43">
        <v>524039</v>
      </c>
      <c r="G251" s="43">
        <v>175460</v>
      </c>
      <c r="H251" s="89" t="s">
        <v>178</v>
      </c>
      <c r="I251" s="125">
        <v>43444</v>
      </c>
      <c r="K251" s="140">
        <v>2</v>
      </c>
      <c r="L251" s="140">
        <v>19</v>
      </c>
      <c r="M251" s="140">
        <v>17</v>
      </c>
      <c r="N251" s="140">
        <v>97</v>
      </c>
      <c r="O251" s="140">
        <v>95</v>
      </c>
      <c r="P251" s="43" t="s">
        <v>329</v>
      </c>
      <c r="Q251" s="89" t="s">
        <v>968</v>
      </c>
      <c r="R251" s="43" t="s">
        <v>392</v>
      </c>
      <c r="S251" s="125">
        <v>42010</v>
      </c>
      <c r="T251" s="117">
        <v>42489</v>
      </c>
      <c r="V251" s="43" t="s">
        <v>317</v>
      </c>
      <c r="X251" s="43" t="s">
        <v>318</v>
      </c>
      <c r="Y251" s="43" t="s">
        <v>361</v>
      </c>
      <c r="Z251" s="43" t="s">
        <v>361</v>
      </c>
      <c r="AA251" s="43" t="s">
        <v>320</v>
      </c>
      <c r="AB251" s="144">
        <v>5.7999998331069898E-2</v>
      </c>
      <c r="AC251" s="125">
        <v>43444</v>
      </c>
      <c r="AF251" s="43" t="s">
        <v>54</v>
      </c>
      <c r="AG251" s="43" t="s">
        <v>399</v>
      </c>
      <c r="AH251" s="43" t="s">
        <v>969</v>
      </c>
      <c r="AJ251" s="140">
        <v>19</v>
      </c>
      <c r="AK251" s="140">
        <v>0</v>
      </c>
      <c r="AL251" s="140">
        <v>2</v>
      </c>
      <c r="AM251" s="140">
        <v>0</v>
      </c>
      <c r="AN251" s="140">
        <v>0</v>
      </c>
      <c r="AO251" s="140">
        <v>14</v>
      </c>
      <c r="AP251" s="140">
        <v>5</v>
      </c>
      <c r="AQ251" s="140">
        <v>-2</v>
      </c>
      <c r="AR251" s="140">
        <v>0</v>
      </c>
      <c r="AS251" s="140">
        <v>0</v>
      </c>
      <c r="AT251" s="140">
        <v>0</v>
      </c>
      <c r="AU251" s="140">
        <v>0</v>
      </c>
      <c r="AV251" s="140">
        <v>14</v>
      </c>
      <c r="AW251" s="140">
        <v>5</v>
      </c>
      <c r="AX251" s="140">
        <v>-2</v>
      </c>
      <c r="AY251" s="140">
        <v>0</v>
      </c>
      <c r="AZ251" s="140">
        <v>0</v>
      </c>
      <c r="BA251" s="140">
        <v>0</v>
      </c>
      <c r="BB251" s="140">
        <v>0</v>
      </c>
      <c r="BC251" s="140">
        <v>0</v>
      </c>
      <c r="BD251" s="140">
        <v>0</v>
      </c>
      <c r="BE251" s="140">
        <v>0</v>
      </c>
      <c r="BF251" s="140">
        <v>0</v>
      </c>
      <c r="BG251" s="140">
        <v>0</v>
      </c>
      <c r="BH251" s="140">
        <v>0</v>
      </c>
      <c r="BI251" s="140">
        <v>0</v>
      </c>
      <c r="BJ251" s="140">
        <v>0</v>
      </c>
      <c r="BK251" s="140">
        <v>0</v>
      </c>
      <c r="BL251" s="140">
        <v>0</v>
      </c>
      <c r="BM251" s="140">
        <v>0</v>
      </c>
      <c r="BN251" s="140">
        <v>0</v>
      </c>
      <c r="BO251" s="140">
        <v>0</v>
      </c>
      <c r="BP251" s="43" t="s">
        <v>140</v>
      </c>
      <c r="BX251" s="43">
        <v>5</v>
      </c>
      <c r="CA251" s="90">
        <f t="shared" si="17"/>
        <v>4.25</v>
      </c>
      <c r="CB251" s="90">
        <f t="shared" si="17"/>
        <v>4.25</v>
      </c>
      <c r="CC251" s="90">
        <f t="shared" si="17"/>
        <v>4.25</v>
      </c>
      <c r="CD251" s="90">
        <f t="shared" si="17"/>
        <v>4.25</v>
      </c>
      <c r="CT251" s="90">
        <f t="shared" si="13"/>
        <v>17</v>
      </c>
      <c r="CU251" s="90">
        <f t="shared" si="14"/>
        <v>17</v>
      </c>
    </row>
    <row r="252" spans="1:99" ht="12" customHeight="1">
      <c r="A252" s="43">
        <v>3521</v>
      </c>
      <c r="B252" s="89" t="s">
        <v>813</v>
      </c>
      <c r="C252" s="89" t="s">
        <v>970</v>
      </c>
      <c r="D252" s="89" t="s">
        <v>971</v>
      </c>
      <c r="E252" s="89" t="s">
        <v>972</v>
      </c>
      <c r="F252" s="43">
        <v>527156</v>
      </c>
      <c r="G252" s="43">
        <v>175243</v>
      </c>
      <c r="H252" s="89" t="s">
        <v>174</v>
      </c>
      <c r="I252" s="125">
        <v>43862</v>
      </c>
      <c r="K252" s="140">
        <v>0</v>
      </c>
      <c r="L252" s="140">
        <v>109</v>
      </c>
      <c r="M252" s="140">
        <v>109</v>
      </c>
      <c r="N252" s="140">
        <v>446</v>
      </c>
      <c r="O252" s="140">
        <v>204</v>
      </c>
      <c r="P252" s="43" t="s">
        <v>329</v>
      </c>
      <c r="Q252" s="89" t="s">
        <v>973</v>
      </c>
      <c r="R252" s="43" t="s">
        <v>360</v>
      </c>
      <c r="S252" s="125">
        <v>43028</v>
      </c>
      <c r="T252" s="117">
        <v>43480</v>
      </c>
      <c r="V252" s="43" t="s">
        <v>317</v>
      </c>
      <c r="X252" s="43" t="s">
        <v>318</v>
      </c>
      <c r="Y252" s="43" t="s">
        <v>361</v>
      </c>
      <c r="Z252" s="43" t="s">
        <v>361</v>
      </c>
      <c r="AA252" s="43" t="s">
        <v>320</v>
      </c>
      <c r="AB252" s="144">
        <v>0.54500001668930098</v>
      </c>
      <c r="AC252" s="125">
        <v>43862</v>
      </c>
      <c r="AD252" s="43" t="s">
        <v>329</v>
      </c>
      <c r="AF252" s="43" t="s">
        <v>55</v>
      </c>
      <c r="AG252" s="43" t="s">
        <v>526</v>
      </c>
      <c r="AH252" s="43" t="s">
        <v>974</v>
      </c>
      <c r="AJ252" s="140">
        <v>109</v>
      </c>
      <c r="AK252" s="140">
        <v>0</v>
      </c>
      <c r="AL252" s="140">
        <v>0</v>
      </c>
      <c r="AM252" s="140">
        <v>0</v>
      </c>
      <c r="AN252" s="140">
        <v>0</v>
      </c>
      <c r="AO252" s="140">
        <v>31</v>
      </c>
      <c r="AP252" s="140">
        <v>52</v>
      </c>
      <c r="AQ252" s="140">
        <v>25</v>
      </c>
      <c r="AR252" s="140">
        <v>1</v>
      </c>
      <c r="AS252" s="140">
        <v>0</v>
      </c>
      <c r="AT252" s="140">
        <v>0</v>
      </c>
      <c r="AU252" s="140">
        <v>0</v>
      </c>
      <c r="AV252" s="140">
        <v>31</v>
      </c>
      <c r="AW252" s="140">
        <v>52</v>
      </c>
      <c r="AX252" s="140">
        <v>25</v>
      </c>
      <c r="AY252" s="140">
        <v>1</v>
      </c>
      <c r="AZ252" s="140">
        <v>0</v>
      </c>
      <c r="BA252" s="140">
        <v>0</v>
      </c>
      <c r="BB252" s="140">
        <v>0</v>
      </c>
      <c r="BC252" s="140">
        <v>0</v>
      </c>
      <c r="BD252" s="140">
        <v>0</v>
      </c>
      <c r="BE252" s="140">
        <v>0</v>
      </c>
      <c r="BF252" s="140">
        <v>0</v>
      </c>
      <c r="BG252" s="140">
        <v>0</v>
      </c>
      <c r="BH252" s="140">
        <v>0</v>
      </c>
      <c r="BI252" s="140">
        <v>0</v>
      </c>
      <c r="BJ252" s="140">
        <v>0</v>
      </c>
      <c r="BK252" s="140">
        <v>0</v>
      </c>
      <c r="BL252" s="140">
        <v>0</v>
      </c>
      <c r="BM252" s="140">
        <v>0</v>
      </c>
      <c r="BN252" s="140">
        <v>0</v>
      </c>
      <c r="BO252" s="140">
        <v>0</v>
      </c>
      <c r="BS252" s="43" t="s">
        <v>329</v>
      </c>
      <c r="BX252" s="43">
        <v>4</v>
      </c>
      <c r="CB252" s="90">
        <f>M252</f>
        <v>109</v>
      </c>
      <c r="CT252" s="90">
        <f t="shared" si="13"/>
        <v>109</v>
      </c>
      <c r="CU252" s="90">
        <f t="shared" si="14"/>
        <v>109</v>
      </c>
    </row>
    <row r="253" spans="1:99" ht="12" customHeight="1">
      <c r="A253" s="43">
        <v>3521</v>
      </c>
      <c r="B253" s="89" t="s">
        <v>813</v>
      </c>
      <c r="C253" s="89" t="s">
        <v>970</v>
      </c>
      <c r="D253" s="89" t="s">
        <v>971</v>
      </c>
      <c r="E253" s="89" t="s">
        <v>972</v>
      </c>
      <c r="F253" s="43">
        <v>527156</v>
      </c>
      <c r="G253" s="43">
        <v>175243</v>
      </c>
      <c r="H253" s="89" t="s">
        <v>174</v>
      </c>
      <c r="I253" s="125">
        <v>43862</v>
      </c>
      <c r="K253" s="140">
        <v>0</v>
      </c>
      <c r="L253" s="140">
        <v>54</v>
      </c>
      <c r="M253" s="140">
        <v>54</v>
      </c>
      <c r="N253" s="140">
        <v>446</v>
      </c>
      <c r="O253" s="140">
        <v>204</v>
      </c>
      <c r="P253" s="43" t="s">
        <v>329</v>
      </c>
      <c r="Q253" s="89" t="s">
        <v>973</v>
      </c>
      <c r="R253" s="43" t="s">
        <v>360</v>
      </c>
      <c r="S253" s="125">
        <v>43028</v>
      </c>
      <c r="T253" s="117">
        <v>43480</v>
      </c>
      <c r="V253" s="43" t="s">
        <v>317</v>
      </c>
      <c r="X253" s="43" t="s">
        <v>318</v>
      </c>
      <c r="Y253" s="43" t="s">
        <v>361</v>
      </c>
      <c r="Z253" s="43" t="s">
        <v>361</v>
      </c>
      <c r="AA253" s="43" t="s">
        <v>320</v>
      </c>
      <c r="AB253" s="144">
        <v>0.270000010728836</v>
      </c>
      <c r="AC253" s="125">
        <v>43862</v>
      </c>
      <c r="AD253" s="43" t="s">
        <v>329</v>
      </c>
      <c r="AF253" s="43" t="s">
        <v>55</v>
      </c>
      <c r="AG253" s="43" t="s">
        <v>526</v>
      </c>
      <c r="AH253" s="43" t="s">
        <v>974</v>
      </c>
      <c r="AJ253" s="140">
        <v>54</v>
      </c>
      <c r="AK253" s="140">
        <v>0</v>
      </c>
      <c r="AL253" s="140">
        <v>0</v>
      </c>
      <c r="AM253" s="140">
        <v>0</v>
      </c>
      <c r="AN253" s="140">
        <v>0</v>
      </c>
      <c r="AO253" s="140">
        <v>54</v>
      </c>
      <c r="AP253" s="140">
        <v>0</v>
      </c>
      <c r="AQ253" s="140">
        <v>0</v>
      </c>
      <c r="AR253" s="140">
        <v>0</v>
      </c>
      <c r="AS253" s="140">
        <v>0</v>
      </c>
      <c r="AT253" s="140">
        <v>0</v>
      </c>
      <c r="AU253" s="140">
        <v>0</v>
      </c>
      <c r="AV253" s="140">
        <v>54</v>
      </c>
      <c r="AW253" s="140">
        <v>0</v>
      </c>
      <c r="AX253" s="140">
        <v>0</v>
      </c>
      <c r="AY253" s="140">
        <v>0</v>
      </c>
      <c r="AZ253" s="140">
        <v>0</v>
      </c>
      <c r="BA253" s="140">
        <v>0</v>
      </c>
      <c r="BB253" s="140">
        <v>0</v>
      </c>
      <c r="BC253" s="140">
        <v>0</v>
      </c>
      <c r="BD253" s="140">
        <v>0</v>
      </c>
      <c r="BE253" s="140">
        <v>0</v>
      </c>
      <c r="BF253" s="140">
        <v>0</v>
      </c>
      <c r="BG253" s="140">
        <v>0</v>
      </c>
      <c r="BH253" s="140">
        <v>0</v>
      </c>
      <c r="BI253" s="140">
        <v>0</v>
      </c>
      <c r="BJ253" s="140">
        <v>0</v>
      </c>
      <c r="BK253" s="140">
        <v>0</v>
      </c>
      <c r="BL253" s="140">
        <v>0</v>
      </c>
      <c r="BM253" s="140">
        <v>0</v>
      </c>
      <c r="BN253" s="140">
        <v>0</v>
      </c>
      <c r="BO253" s="140">
        <v>0</v>
      </c>
      <c r="BS253" s="43" t="s">
        <v>329</v>
      </c>
      <c r="BX253" s="43">
        <v>4</v>
      </c>
      <c r="CB253" s="90">
        <f>M253</f>
        <v>54</v>
      </c>
      <c r="CT253" s="90">
        <f t="shared" si="13"/>
        <v>54</v>
      </c>
      <c r="CU253" s="90">
        <f t="shared" si="14"/>
        <v>54</v>
      </c>
    </row>
    <row r="254" spans="1:99" ht="12" customHeight="1">
      <c r="A254" s="43">
        <v>3521</v>
      </c>
      <c r="B254" s="89" t="s">
        <v>813</v>
      </c>
      <c r="C254" s="89" t="s">
        <v>970</v>
      </c>
      <c r="D254" s="89" t="s">
        <v>971</v>
      </c>
      <c r="E254" s="89" t="s">
        <v>972</v>
      </c>
      <c r="F254" s="43">
        <v>527156</v>
      </c>
      <c r="G254" s="43">
        <v>175243</v>
      </c>
      <c r="H254" s="89" t="s">
        <v>174</v>
      </c>
      <c r="I254" s="125">
        <v>43862</v>
      </c>
      <c r="K254" s="140">
        <v>0</v>
      </c>
      <c r="L254" s="140">
        <v>35</v>
      </c>
      <c r="M254" s="140">
        <v>35</v>
      </c>
      <c r="N254" s="140">
        <v>446</v>
      </c>
      <c r="O254" s="140">
        <v>204</v>
      </c>
      <c r="P254" s="43" t="s">
        <v>329</v>
      </c>
      <c r="Q254" s="89" t="s">
        <v>973</v>
      </c>
      <c r="R254" s="43" t="s">
        <v>360</v>
      </c>
      <c r="S254" s="125">
        <v>43028</v>
      </c>
      <c r="T254" s="117">
        <v>43480</v>
      </c>
      <c r="V254" s="43" t="s">
        <v>317</v>
      </c>
      <c r="X254" s="43" t="s">
        <v>318</v>
      </c>
      <c r="Y254" s="43" t="s">
        <v>361</v>
      </c>
      <c r="Z254" s="43" t="s">
        <v>361</v>
      </c>
      <c r="AA254" s="43" t="s">
        <v>320</v>
      </c>
      <c r="AB254" s="144">
        <v>0.17499999701976801</v>
      </c>
      <c r="AC254" s="125">
        <v>43862</v>
      </c>
      <c r="AD254" s="43" t="s">
        <v>329</v>
      </c>
      <c r="AF254" s="43" t="s">
        <v>54</v>
      </c>
      <c r="AG254" s="43" t="s">
        <v>831</v>
      </c>
      <c r="AH254" s="43" t="s">
        <v>974</v>
      </c>
      <c r="AJ254" s="140">
        <v>35</v>
      </c>
      <c r="AK254" s="140">
        <v>0</v>
      </c>
      <c r="AL254" s="140">
        <v>0</v>
      </c>
      <c r="AM254" s="140">
        <v>0</v>
      </c>
      <c r="AN254" s="140">
        <v>0</v>
      </c>
      <c r="AO254" s="140">
        <v>18</v>
      </c>
      <c r="AP254" s="140">
        <v>13</v>
      </c>
      <c r="AQ254" s="140">
        <v>4</v>
      </c>
      <c r="AR254" s="140">
        <v>0</v>
      </c>
      <c r="AS254" s="140">
        <v>0</v>
      </c>
      <c r="AT254" s="140">
        <v>0</v>
      </c>
      <c r="AU254" s="140">
        <v>0</v>
      </c>
      <c r="AV254" s="140">
        <v>18</v>
      </c>
      <c r="AW254" s="140">
        <v>13</v>
      </c>
      <c r="AX254" s="140">
        <v>4</v>
      </c>
      <c r="AY254" s="140">
        <v>0</v>
      </c>
      <c r="AZ254" s="140">
        <v>0</v>
      </c>
      <c r="BA254" s="140">
        <v>0</v>
      </c>
      <c r="BB254" s="140">
        <v>0</v>
      </c>
      <c r="BC254" s="140">
        <v>0</v>
      </c>
      <c r="BD254" s="140">
        <v>0</v>
      </c>
      <c r="BE254" s="140">
        <v>0</v>
      </c>
      <c r="BF254" s="140">
        <v>0</v>
      </c>
      <c r="BG254" s="140">
        <v>0</v>
      </c>
      <c r="BH254" s="140">
        <v>0</v>
      </c>
      <c r="BI254" s="140">
        <v>0</v>
      </c>
      <c r="BJ254" s="140">
        <v>0</v>
      </c>
      <c r="BK254" s="140">
        <v>0</v>
      </c>
      <c r="BL254" s="140">
        <v>0</v>
      </c>
      <c r="BM254" s="140">
        <v>0</v>
      </c>
      <c r="BN254" s="140">
        <v>0</v>
      </c>
      <c r="BO254" s="140">
        <v>0</v>
      </c>
      <c r="BS254" s="43" t="s">
        <v>329</v>
      </c>
      <c r="BX254" s="43">
        <v>4</v>
      </c>
      <c r="CB254" s="90">
        <f>M254</f>
        <v>35</v>
      </c>
      <c r="CT254" s="90">
        <f t="shared" si="13"/>
        <v>35</v>
      </c>
      <c r="CU254" s="90">
        <f t="shared" si="14"/>
        <v>35</v>
      </c>
    </row>
    <row r="255" spans="1:99" ht="12" customHeight="1">
      <c r="A255" s="43">
        <v>3521</v>
      </c>
      <c r="B255" s="89" t="s">
        <v>813</v>
      </c>
      <c r="C255" s="89" t="s">
        <v>970</v>
      </c>
      <c r="D255" s="89" t="s">
        <v>971</v>
      </c>
      <c r="E255" s="89" t="s">
        <v>972</v>
      </c>
      <c r="F255" s="43">
        <v>527156</v>
      </c>
      <c r="G255" s="43">
        <v>175243</v>
      </c>
      <c r="H255" s="89" t="s">
        <v>174</v>
      </c>
      <c r="I255" s="125">
        <v>43862</v>
      </c>
      <c r="K255" s="140">
        <v>61</v>
      </c>
      <c r="L255" s="140">
        <v>0</v>
      </c>
      <c r="M255" s="140">
        <v>-61</v>
      </c>
      <c r="N255" s="140">
        <v>446</v>
      </c>
      <c r="O255" s="140">
        <v>204</v>
      </c>
      <c r="P255" s="43" t="s">
        <v>329</v>
      </c>
      <c r="Q255" s="89" t="s">
        <v>973</v>
      </c>
      <c r="R255" s="43" t="s">
        <v>360</v>
      </c>
      <c r="S255" s="125">
        <v>43028</v>
      </c>
      <c r="T255" s="117">
        <v>43480</v>
      </c>
      <c r="V255" s="43" t="s">
        <v>317</v>
      </c>
      <c r="X255" s="43" t="s">
        <v>318</v>
      </c>
      <c r="Y255" s="43" t="s">
        <v>361</v>
      </c>
      <c r="Z255" s="43" t="s">
        <v>361</v>
      </c>
      <c r="AA255" s="43" t="s">
        <v>320</v>
      </c>
      <c r="AB255" s="144">
        <v>0</v>
      </c>
      <c r="AC255" s="125">
        <v>43862</v>
      </c>
      <c r="AD255" s="43" t="s">
        <v>329</v>
      </c>
      <c r="AF255" s="43" t="s">
        <v>75</v>
      </c>
      <c r="AG255" s="43" t="s">
        <v>322</v>
      </c>
      <c r="AH255" s="43" t="s">
        <v>974</v>
      </c>
      <c r="AJ255" s="140">
        <v>0</v>
      </c>
      <c r="AK255" s="140">
        <v>0</v>
      </c>
      <c r="AL255" s="140">
        <v>0</v>
      </c>
      <c r="AM255" s="140">
        <v>0</v>
      </c>
      <c r="AN255" s="140">
        <v>-1</v>
      </c>
      <c r="AO255" s="140">
        <v>-26</v>
      </c>
      <c r="AP255" s="140">
        <v>-26</v>
      </c>
      <c r="AQ255" s="140">
        <v>-7</v>
      </c>
      <c r="AR255" s="140">
        <v>-1</v>
      </c>
      <c r="AS255" s="140">
        <v>0</v>
      </c>
      <c r="AT255" s="140">
        <v>0</v>
      </c>
      <c r="AU255" s="140">
        <v>-1</v>
      </c>
      <c r="AV255" s="140">
        <v>-26</v>
      </c>
      <c r="AW255" s="140">
        <v>-26</v>
      </c>
      <c r="AX255" s="140">
        <v>-7</v>
      </c>
      <c r="AY255" s="140">
        <v>-1</v>
      </c>
      <c r="AZ255" s="140">
        <v>0</v>
      </c>
      <c r="BA255" s="140">
        <v>0</v>
      </c>
      <c r="BB255" s="140">
        <v>0</v>
      </c>
      <c r="BC255" s="140">
        <v>0</v>
      </c>
      <c r="BD255" s="140">
        <v>0</v>
      </c>
      <c r="BE255" s="140">
        <v>0</v>
      </c>
      <c r="BF255" s="140">
        <v>0</v>
      </c>
      <c r="BG255" s="140">
        <v>0</v>
      </c>
      <c r="BH255" s="140">
        <v>0</v>
      </c>
      <c r="BI255" s="140">
        <v>0</v>
      </c>
      <c r="BJ255" s="140">
        <v>0</v>
      </c>
      <c r="BK255" s="140">
        <v>0</v>
      </c>
      <c r="BL255" s="140">
        <v>0</v>
      </c>
      <c r="BM255" s="140">
        <v>0</v>
      </c>
      <c r="BN255" s="140">
        <v>0</v>
      </c>
      <c r="BO255" s="140">
        <v>0</v>
      </c>
      <c r="BS255" s="43" t="s">
        <v>329</v>
      </c>
      <c r="BX255" s="43">
        <v>4</v>
      </c>
      <c r="CB255" s="90">
        <f>M255</f>
        <v>-61</v>
      </c>
      <c r="CT255" s="90">
        <f t="shared" si="13"/>
        <v>-61</v>
      </c>
      <c r="CU255" s="90">
        <f t="shared" si="14"/>
        <v>-61</v>
      </c>
    </row>
    <row r="256" spans="1:99" ht="12" customHeight="1">
      <c r="A256" s="43">
        <v>3521</v>
      </c>
      <c r="B256" s="89" t="s">
        <v>813</v>
      </c>
      <c r="C256" s="89" t="s">
        <v>970</v>
      </c>
      <c r="D256" s="89" t="s">
        <v>971</v>
      </c>
      <c r="E256" s="89" t="s">
        <v>972</v>
      </c>
      <c r="F256" s="43">
        <v>527156</v>
      </c>
      <c r="G256" s="43">
        <v>175243</v>
      </c>
      <c r="H256" s="89" t="s">
        <v>174</v>
      </c>
      <c r="I256" s="125">
        <v>43862</v>
      </c>
      <c r="K256" s="140">
        <v>97</v>
      </c>
      <c r="L256" s="140">
        <v>0</v>
      </c>
      <c r="M256" s="140">
        <v>-97</v>
      </c>
      <c r="N256" s="140">
        <v>446</v>
      </c>
      <c r="O256" s="140">
        <v>204</v>
      </c>
      <c r="P256" s="43" t="s">
        <v>329</v>
      </c>
      <c r="Q256" s="89" t="s">
        <v>973</v>
      </c>
      <c r="R256" s="43" t="s">
        <v>360</v>
      </c>
      <c r="S256" s="125">
        <v>43028</v>
      </c>
      <c r="T256" s="117">
        <v>43480</v>
      </c>
      <c r="V256" s="43" t="s">
        <v>317</v>
      </c>
      <c r="X256" s="43" t="s">
        <v>318</v>
      </c>
      <c r="Y256" s="43" t="s">
        <v>361</v>
      </c>
      <c r="Z256" s="43" t="s">
        <v>361</v>
      </c>
      <c r="AA256" s="43" t="s">
        <v>320</v>
      </c>
      <c r="AB256" s="144">
        <v>0</v>
      </c>
      <c r="AC256" s="125">
        <v>43862</v>
      </c>
      <c r="AD256" s="43" t="s">
        <v>329</v>
      </c>
      <c r="AF256" s="43" t="s">
        <v>55</v>
      </c>
      <c r="AG256" s="43" t="s">
        <v>526</v>
      </c>
      <c r="AH256" s="43" t="s">
        <v>974</v>
      </c>
      <c r="AJ256" s="140">
        <v>0</v>
      </c>
      <c r="AK256" s="140">
        <v>0</v>
      </c>
      <c r="AL256" s="140">
        <v>0</v>
      </c>
      <c r="AM256" s="140">
        <v>0</v>
      </c>
      <c r="AN256" s="140">
        <v>-2</v>
      </c>
      <c r="AO256" s="140">
        <v>-31</v>
      </c>
      <c r="AP256" s="140">
        <v>-39</v>
      </c>
      <c r="AQ256" s="140">
        <v>-25</v>
      </c>
      <c r="AR256" s="140">
        <v>0</v>
      </c>
      <c r="AS256" s="140">
        <v>0</v>
      </c>
      <c r="AT256" s="140">
        <v>0</v>
      </c>
      <c r="AU256" s="140">
        <v>-2</v>
      </c>
      <c r="AV256" s="140">
        <v>-31</v>
      </c>
      <c r="AW256" s="140">
        <v>-39</v>
      </c>
      <c r="AX256" s="140">
        <v>-25</v>
      </c>
      <c r="AY256" s="140">
        <v>0</v>
      </c>
      <c r="AZ256" s="140">
        <v>0</v>
      </c>
      <c r="BA256" s="140">
        <v>0</v>
      </c>
      <c r="BB256" s="140">
        <v>0</v>
      </c>
      <c r="BC256" s="140">
        <v>0</v>
      </c>
      <c r="BD256" s="140">
        <v>0</v>
      </c>
      <c r="BE256" s="140">
        <v>0</v>
      </c>
      <c r="BF256" s="140">
        <v>0</v>
      </c>
      <c r="BG256" s="140">
        <v>0</v>
      </c>
      <c r="BH256" s="140">
        <v>0</v>
      </c>
      <c r="BI256" s="140">
        <v>0</v>
      </c>
      <c r="BJ256" s="140">
        <v>0</v>
      </c>
      <c r="BK256" s="140">
        <v>0</v>
      </c>
      <c r="BL256" s="140">
        <v>0</v>
      </c>
      <c r="BM256" s="140">
        <v>0</v>
      </c>
      <c r="BN256" s="140">
        <v>0</v>
      </c>
      <c r="BO256" s="140">
        <v>0</v>
      </c>
      <c r="BS256" s="43" t="s">
        <v>329</v>
      </c>
      <c r="BX256" s="43">
        <v>4</v>
      </c>
      <c r="CB256" s="90">
        <f>M256</f>
        <v>-97</v>
      </c>
      <c r="CT256" s="90">
        <f t="shared" si="13"/>
        <v>-97</v>
      </c>
      <c r="CU256" s="90">
        <f t="shared" si="14"/>
        <v>-97</v>
      </c>
    </row>
    <row r="257" spans="1:99" ht="12" customHeight="1">
      <c r="A257" s="43">
        <v>3526</v>
      </c>
      <c r="B257" s="89" t="s">
        <v>813</v>
      </c>
      <c r="C257" s="89" t="s">
        <v>975</v>
      </c>
      <c r="D257" s="89" t="s">
        <v>976</v>
      </c>
      <c r="E257" s="89" t="s">
        <v>367</v>
      </c>
      <c r="F257" s="43">
        <v>526547</v>
      </c>
      <c r="G257" s="43">
        <v>175744</v>
      </c>
      <c r="H257" s="89" t="s">
        <v>177</v>
      </c>
      <c r="I257" s="125">
        <v>43555</v>
      </c>
      <c r="K257" s="140">
        <v>0</v>
      </c>
      <c r="L257" s="140">
        <v>47</v>
      </c>
      <c r="M257" s="140">
        <v>47</v>
      </c>
      <c r="N257" s="140">
        <v>299</v>
      </c>
      <c r="O257" s="140">
        <v>299</v>
      </c>
      <c r="P257" s="43" t="s">
        <v>329</v>
      </c>
      <c r="Q257" s="89" t="s">
        <v>977</v>
      </c>
      <c r="R257" s="43" t="s">
        <v>406</v>
      </c>
      <c r="S257" s="125">
        <v>43448</v>
      </c>
      <c r="T257" s="117">
        <v>43482</v>
      </c>
      <c r="V257" s="43" t="s">
        <v>317</v>
      </c>
      <c r="X257" s="43" t="s">
        <v>318</v>
      </c>
      <c r="Y257" s="43" t="s">
        <v>361</v>
      </c>
      <c r="Z257" s="43" t="s">
        <v>361</v>
      </c>
      <c r="AA257" s="43" t="s">
        <v>320</v>
      </c>
      <c r="AB257" s="144">
        <v>6.4000003039836897E-2</v>
      </c>
      <c r="AC257" s="125">
        <v>43555</v>
      </c>
      <c r="AF257" s="43" t="s">
        <v>75</v>
      </c>
      <c r="AG257" s="43" t="s">
        <v>322</v>
      </c>
      <c r="AH257" s="43" t="s">
        <v>978</v>
      </c>
      <c r="AJ257" s="140">
        <v>0</v>
      </c>
      <c r="AK257" s="140">
        <v>0</v>
      </c>
      <c r="AL257" s="140">
        <v>0</v>
      </c>
      <c r="AM257" s="140">
        <v>0</v>
      </c>
      <c r="AN257" s="140">
        <v>0</v>
      </c>
      <c r="AO257" s="140">
        <v>5</v>
      </c>
      <c r="AP257" s="140">
        <v>38</v>
      </c>
      <c r="AQ257" s="140">
        <v>4</v>
      </c>
      <c r="AR257" s="140">
        <v>0</v>
      </c>
      <c r="AS257" s="140">
        <v>0</v>
      </c>
      <c r="AT257" s="140">
        <v>0</v>
      </c>
      <c r="AU257" s="140">
        <v>0</v>
      </c>
      <c r="AV257" s="140">
        <v>5</v>
      </c>
      <c r="AW257" s="140">
        <v>38</v>
      </c>
      <c r="AX257" s="140">
        <v>4</v>
      </c>
      <c r="AY257" s="140">
        <v>0</v>
      </c>
      <c r="AZ257" s="140">
        <v>0</v>
      </c>
      <c r="BA257" s="140">
        <v>0</v>
      </c>
      <c r="BB257" s="140">
        <v>0</v>
      </c>
      <c r="BC257" s="140">
        <v>0</v>
      </c>
      <c r="BD257" s="140">
        <v>0</v>
      </c>
      <c r="BE257" s="140">
        <v>0</v>
      </c>
      <c r="BF257" s="140">
        <v>0</v>
      </c>
      <c r="BG257" s="140">
        <v>0</v>
      </c>
      <c r="BH257" s="140">
        <v>0</v>
      </c>
      <c r="BI257" s="140">
        <v>0</v>
      </c>
      <c r="BJ257" s="140">
        <v>0</v>
      </c>
      <c r="BK257" s="140">
        <v>0</v>
      </c>
      <c r="BL257" s="140">
        <v>0</v>
      </c>
      <c r="BM257" s="140">
        <v>0</v>
      </c>
      <c r="BN257" s="140">
        <v>0</v>
      </c>
      <c r="BO257" s="140">
        <v>0</v>
      </c>
      <c r="BV257" s="43" t="s">
        <v>329</v>
      </c>
      <c r="BX257" s="43">
        <v>5</v>
      </c>
      <c r="CA257" s="90">
        <f t="shared" ref="CA257:CD261" si="18">$M257/4</f>
        <v>11.75</v>
      </c>
      <c r="CB257" s="90">
        <f t="shared" si="18"/>
        <v>11.75</v>
      </c>
      <c r="CC257" s="90">
        <f t="shared" si="18"/>
        <v>11.75</v>
      </c>
      <c r="CD257" s="90">
        <f t="shared" si="18"/>
        <v>11.75</v>
      </c>
      <c r="CT257" s="90">
        <f t="shared" si="13"/>
        <v>47</v>
      </c>
      <c r="CU257" s="90">
        <f t="shared" si="14"/>
        <v>47</v>
      </c>
    </row>
    <row r="258" spans="1:99" ht="12" customHeight="1">
      <c r="A258" s="43">
        <v>3526</v>
      </c>
      <c r="B258" s="89" t="s">
        <v>813</v>
      </c>
      <c r="C258" s="89" t="s">
        <v>975</v>
      </c>
      <c r="D258" s="89" t="s">
        <v>976</v>
      </c>
      <c r="E258" s="89" t="s">
        <v>367</v>
      </c>
      <c r="F258" s="43">
        <v>526547</v>
      </c>
      <c r="G258" s="43">
        <v>175744</v>
      </c>
      <c r="H258" s="89" t="s">
        <v>177</v>
      </c>
      <c r="I258" s="125">
        <v>43555</v>
      </c>
      <c r="K258" s="140">
        <v>0</v>
      </c>
      <c r="L258" s="140">
        <v>20</v>
      </c>
      <c r="M258" s="140">
        <v>20</v>
      </c>
      <c r="N258" s="140">
        <v>299</v>
      </c>
      <c r="O258" s="140">
        <v>299</v>
      </c>
      <c r="P258" s="43" t="s">
        <v>329</v>
      </c>
      <c r="Q258" s="89" t="s">
        <v>977</v>
      </c>
      <c r="R258" s="43" t="s">
        <v>406</v>
      </c>
      <c r="S258" s="125">
        <v>43448</v>
      </c>
      <c r="T258" s="117">
        <v>43482</v>
      </c>
      <c r="V258" s="43" t="s">
        <v>317</v>
      </c>
      <c r="X258" s="43" t="s">
        <v>318</v>
      </c>
      <c r="Y258" s="43" t="s">
        <v>361</v>
      </c>
      <c r="Z258" s="43" t="s">
        <v>361</v>
      </c>
      <c r="AA258" s="43" t="s">
        <v>320</v>
      </c>
      <c r="AB258" s="144">
        <v>2.8000000864267301E-2</v>
      </c>
      <c r="AC258" s="125">
        <v>43555</v>
      </c>
      <c r="AF258" s="43" t="s">
        <v>54</v>
      </c>
      <c r="AG258" s="43" t="s">
        <v>831</v>
      </c>
      <c r="AH258" s="43" t="s">
        <v>978</v>
      </c>
      <c r="AJ258" s="140">
        <v>0</v>
      </c>
      <c r="AK258" s="140">
        <v>0</v>
      </c>
      <c r="AL258" s="140">
        <v>29</v>
      </c>
      <c r="AM258" s="140">
        <v>0</v>
      </c>
      <c r="AN258" s="140">
        <v>0</v>
      </c>
      <c r="AO258" s="140">
        <v>12</v>
      </c>
      <c r="AP258" s="140">
        <v>8</v>
      </c>
      <c r="AQ258" s="140">
        <v>0</v>
      </c>
      <c r="AR258" s="140">
        <v>0</v>
      </c>
      <c r="AS258" s="140">
        <v>0</v>
      </c>
      <c r="AT258" s="140">
        <v>0</v>
      </c>
      <c r="AU258" s="140">
        <v>0</v>
      </c>
      <c r="AV258" s="140">
        <v>12</v>
      </c>
      <c r="AW258" s="140">
        <v>8</v>
      </c>
      <c r="AX258" s="140">
        <v>0</v>
      </c>
      <c r="AY258" s="140">
        <v>0</v>
      </c>
      <c r="AZ258" s="140">
        <v>0</v>
      </c>
      <c r="BA258" s="140">
        <v>0</v>
      </c>
      <c r="BB258" s="140">
        <v>0</v>
      </c>
      <c r="BC258" s="140">
        <v>0</v>
      </c>
      <c r="BD258" s="140">
        <v>0</v>
      </c>
      <c r="BE258" s="140">
        <v>0</v>
      </c>
      <c r="BF258" s="140">
        <v>0</v>
      </c>
      <c r="BG258" s="140">
        <v>0</v>
      </c>
      <c r="BH258" s="140">
        <v>0</v>
      </c>
      <c r="BI258" s="140">
        <v>0</v>
      </c>
      <c r="BJ258" s="140">
        <v>0</v>
      </c>
      <c r="BK258" s="140">
        <v>0</v>
      </c>
      <c r="BL258" s="140">
        <v>0</v>
      </c>
      <c r="BM258" s="140">
        <v>0</v>
      </c>
      <c r="BN258" s="140">
        <v>0</v>
      </c>
      <c r="BO258" s="140">
        <v>0</v>
      </c>
      <c r="BV258" s="43" t="s">
        <v>329</v>
      </c>
      <c r="BX258" s="43">
        <v>5</v>
      </c>
      <c r="CA258" s="90">
        <f t="shared" si="18"/>
        <v>5</v>
      </c>
      <c r="CB258" s="90">
        <f t="shared" si="18"/>
        <v>5</v>
      </c>
      <c r="CC258" s="90">
        <f t="shared" si="18"/>
        <v>5</v>
      </c>
      <c r="CD258" s="90">
        <f t="shared" si="18"/>
        <v>5</v>
      </c>
      <c r="CT258" s="90">
        <f t="shared" ref="CT258:CT321" si="19">SUM(BZ258:CD258)</f>
        <v>20</v>
      </c>
      <c r="CU258" s="90">
        <f t="shared" ref="CU258:CU321" si="20">SUM(BZ258:CI258)</f>
        <v>20</v>
      </c>
    </row>
    <row r="259" spans="1:99" ht="12" customHeight="1">
      <c r="A259" s="43">
        <v>3526</v>
      </c>
      <c r="B259" s="89" t="s">
        <v>813</v>
      </c>
      <c r="C259" s="89" t="s">
        <v>975</v>
      </c>
      <c r="D259" s="89" t="s">
        <v>976</v>
      </c>
      <c r="E259" s="89" t="s">
        <v>369</v>
      </c>
      <c r="F259" s="43">
        <v>526547</v>
      </c>
      <c r="G259" s="43">
        <v>175744</v>
      </c>
      <c r="H259" s="89" t="s">
        <v>177</v>
      </c>
      <c r="I259" s="125">
        <v>43555</v>
      </c>
      <c r="K259" s="140">
        <v>0</v>
      </c>
      <c r="L259" s="140">
        <v>72</v>
      </c>
      <c r="M259" s="140">
        <v>72</v>
      </c>
      <c r="N259" s="140">
        <v>299</v>
      </c>
      <c r="O259" s="140">
        <v>299</v>
      </c>
      <c r="P259" s="43" t="s">
        <v>329</v>
      </c>
      <c r="Q259" s="89" t="s">
        <v>977</v>
      </c>
      <c r="R259" s="43" t="s">
        <v>406</v>
      </c>
      <c r="S259" s="125">
        <v>43448</v>
      </c>
      <c r="T259" s="117">
        <v>43482</v>
      </c>
      <c r="V259" s="43" t="s">
        <v>317</v>
      </c>
      <c r="X259" s="43" t="s">
        <v>318</v>
      </c>
      <c r="Y259" s="43" t="s">
        <v>361</v>
      </c>
      <c r="Z259" s="43" t="s">
        <v>361</v>
      </c>
      <c r="AA259" s="43" t="s">
        <v>320</v>
      </c>
      <c r="AB259" s="144">
        <v>9.8999999463558197E-2</v>
      </c>
      <c r="AC259" s="125">
        <v>43555</v>
      </c>
      <c r="AF259" s="43" t="s">
        <v>75</v>
      </c>
      <c r="AG259" s="43" t="s">
        <v>322</v>
      </c>
      <c r="AH259" s="43" t="s">
        <v>978</v>
      </c>
      <c r="AJ259" s="140">
        <v>0</v>
      </c>
      <c r="AK259" s="140">
        <v>0</v>
      </c>
      <c r="AL259" s="140">
        <v>0</v>
      </c>
      <c r="AM259" s="140">
        <v>0</v>
      </c>
      <c r="AN259" s="140">
        <v>0</v>
      </c>
      <c r="AO259" s="140">
        <v>6</v>
      </c>
      <c r="AP259" s="140">
        <v>57</v>
      </c>
      <c r="AQ259" s="140">
        <v>9</v>
      </c>
      <c r="AR259" s="140">
        <v>0</v>
      </c>
      <c r="AS259" s="140">
        <v>0</v>
      </c>
      <c r="AT259" s="140">
        <v>0</v>
      </c>
      <c r="AU259" s="140">
        <v>0</v>
      </c>
      <c r="AV259" s="140">
        <v>6</v>
      </c>
      <c r="AW259" s="140">
        <v>57</v>
      </c>
      <c r="AX259" s="140">
        <v>9</v>
      </c>
      <c r="AY259" s="140">
        <v>0</v>
      </c>
      <c r="AZ259" s="140">
        <v>0</v>
      </c>
      <c r="BA259" s="140">
        <v>0</v>
      </c>
      <c r="BB259" s="140">
        <v>0</v>
      </c>
      <c r="BC259" s="140">
        <v>0</v>
      </c>
      <c r="BD259" s="140">
        <v>0</v>
      </c>
      <c r="BE259" s="140">
        <v>0</v>
      </c>
      <c r="BF259" s="140">
        <v>0</v>
      </c>
      <c r="BG259" s="140">
        <v>0</v>
      </c>
      <c r="BH259" s="140">
        <v>0</v>
      </c>
      <c r="BI259" s="140">
        <v>0</v>
      </c>
      <c r="BJ259" s="140">
        <v>0</v>
      </c>
      <c r="BK259" s="140">
        <v>0</v>
      </c>
      <c r="BL259" s="140">
        <v>0</v>
      </c>
      <c r="BM259" s="140">
        <v>0</v>
      </c>
      <c r="BN259" s="140">
        <v>0</v>
      </c>
      <c r="BO259" s="140">
        <v>0</v>
      </c>
      <c r="BV259" s="43" t="s">
        <v>329</v>
      </c>
      <c r="BX259" s="43">
        <v>5</v>
      </c>
      <c r="CA259" s="90">
        <f t="shared" si="18"/>
        <v>18</v>
      </c>
      <c r="CB259" s="90">
        <f t="shared" si="18"/>
        <v>18</v>
      </c>
      <c r="CC259" s="90">
        <f t="shared" si="18"/>
        <v>18</v>
      </c>
      <c r="CD259" s="90">
        <f t="shared" si="18"/>
        <v>18</v>
      </c>
      <c r="CT259" s="90">
        <f t="shared" si="19"/>
        <v>72</v>
      </c>
      <c r="CU259" s="90">
        <f t="shared" si="20"/>
        <v>72</v>
      </c>
    </row>
    <row r="260" spans="1:99" ht="12" customHeight="1">
      <c r="A260" s="43">
        <v>3526</v>
      </c>
      <c r="B260" s="89" t="s">
        <v>813</v>
      </c>
      <c r="C260" s="89" t="s">
        <v>975</v>
      </c>
      <c r="D260" s="89" t="s">
        <v>976</v>
      </c>
      <c r="E260" s="89" t="s">
        <v>369</v>
      </c>
      <c r="F260" s="43">
        <v>526547</v>
      </c>
      <c r="G260" s="43">
        <v>175744</v>
      </c>
      <c r="H260" s="89" t="s">
        <v>177</v>
      </c>
      <c r="I260" s="125">
        <v>43555</v>
      </c>
      <c r="K260" s="140">
        <v>0</v>
      </c>
      <c r="L260" s="140">
        <v>30</v>
      </c>
      <c r="M260" s="140">
        <v>30</v>
      </c>
      <c r="N260" s="140">
        <v>299</v>
      </c>
      <c r="O260" s="140">
        <v>299</v>
      </c>
      <c r="P260" s="43" t="s">
        <v>329</v>
      </c>
      <c r="Q260" s="89" t="s">
        <v>977</v>
      </c>
      <c r="R260" s="43" t="s">
        <v>406</v>
      </c>
      <c r="S260" s="125">
        <v>43448</v>
      </c>
      <c r="T260" s="117">
        <v>43482</v>
      </c>
      <c r="V260" s="43" t="s">
        <v>317</v>
      </c>
      <c r="X260" s="43" t="s">
        <v>318</v>
      </c>
      <c r="Y260" s="43" t="s">
        <v>361</v>
      </c>
      <c r="Z260" s="43" t="s">
        <v>361</v>
      </c>
      <c r="AA260" s="43" t="s">
        <v>320</v>
      </c>
      <c r="AB260" s="144">
        <v>4.1000001132488299E-2</v>
      </c>
      <c r="AC260" s="125">
        <v>43555</v>
      </c>
      <c r="AF260" s="43" t="s">
        <v>54</v>
      </c>
      <c r="AG260" s="43" t="s">
        <v>831</v>
      </c>
      <c r="AH260" s="43" t="s">
        <v>978</v>
      </c>
      <c r="AJ260" s="140">
        <v>0</v>
      </c>
      <c r="AK260" s="140">
        <v>0</v>
      </c>
      <c r="AL260" s="140">
        <v>0</v>
      </c>
      <c r="AM260" s="140">
        <v>0</v>
      </c>
      <c r="AN260" s="140">
        <v>0</v>
      </c>
      <c r="AO260" s="140">
        <v>20</v>
      </c>
      <c r="AP260" s="140">
        <v>10</v>
      </c>
      <c r="AQ260" s="140">
        <v>0</v>
      </c>
      <c r="AR260" s="140">
        <v>0</v>
      </c>
      <c r="AS260" s="140">
        <v>0</v>
      </c>
      <c r="AT260" s="140">
        <v>0</v>
      </c>
      <c r="AU260" s="140">
        <v>0</v>
      </c>
      <c r="AV260" s="140">
        <v>20</v>
      </c>
      <c r="AW260" s="140">
        <v>10</v>
      </c>
      <c r="AX260" s="140">
        <v>0</v>
      </c>
      <c r="AY260" s="140">
        <v>0</v>
      </c>
      <c r="AZ260" s="140">
        <v>0</v>
      </c>
      <c r="BA260" s="140">
        <v>0</v>
      </c>
      <c r="BB260" s="140">
        <v>0</v>
      </c>
      <c r="BC260" s="140">
        <v>0</v>
      </c>
      <c r="BD260" s="140">
        <v>0</v>
      </c>
      <c r="BE260" s="140">
        <v>0</v>
      </c>
      <c r="BF260" s="140">
        <v>0</v>
      </c>
      <c r="BG260" s="140">
        <v>0</v>
      </c>
      <c r="BH260" s="140">
        <v>0</v>
      </c>
      <c r="BI260" s="140">
        <v>0</v>
      </c>
      <c r="BJ260" s="140">
        <v>0</v>
      </c>
      <c r="BK260" s="140">
        <v>0</v>
      </c>
      <c r="BL260" s="140">
        <v>0</v>
      </c>
      <c r="BM260" s="140">
        <v>0</v>
      </c>
      <c r="BN260" s="140">
        <v>0</v>
      </c>
      <c r="BO260" s="140">
        <v>0</v>
      </c>
      <c r="BV260" s="43" t="s">
        <v>329</v>
      </c>
      <c r="BX260" s="43">
        <v>5</v>
      </c>
      <c r="CA260" s="90">
        <f t="shared" si="18"/>
        <v>7.5</v>
      </c>
      <c r="CB260" s="90">
        <f t="shared" si="18"/>
        <v>7.5</v>
      </c>
      <c r="CC260" s="90">
        <f t="shared" si="18"/>
        <v>7.5</v>
      </c>
      <c r="CD260" s="90">
        <f t="shared" si="18"/>
        <v>7.5</v>
      </c>
      <c r="CT260" s="90">
        <f t="shared" si="19"/>
        <v>30</v>
      </c>
      <c r="CU260" s="90">
        <f t="shared" si="20"/>
        <v>30</v>
      </c>
    </row>
    <row r="261" spans="1:99" ht="12" customHeight="1">
      <c r="A261" s="43">
        <v>3526</v>
      </c>
      <c r="B261" s="89" t="s">
        <v>813</v>
      </c>
      <c r="C261" s="89" t="s">
        <v>979</v>
      </c>
      <c r="D261" s="89" t="s">
        <v>976</v>
      </c>
      <c r="E261" s="89" t="s">
        <v>454</v>
      </c>
      <c r="F261" s="43">
        <v>526547</v>
      </c>
      <c r="G261" s="43">
        <v>175744</v>
      </c>
      <c r="H261" s="89" t="s">
        <v>177</v>
      </c>
      <c r="I261" s="125">
        <v>43555</v>
      </c>
      <c r="K261" s="140">
        <v>0</v>
      </c>
      <c r="L261" s="140">
        <v>129</v>
      </c>
      <c r="M261" s="140">
        <v>129</v>
      </c>
      <c r="N261" s="140">
        <v>129</v>
      </c>
      <c r="O261" s="140">
        <v>129</v>
      </c>
      <c r="P261" s="43" t="s">
        <v>329</v>
      </c>
      <c r="Q261" s="89" t="s">
        <v>980</v>
      </c>
      <c r="R261" s="43" t="s">
        <v>406</v>
      </c>
      <c r="S261" s="125">
        <v>43810</v>
      </c>
      <c r="T261" s="117">
        <v>43818</v>
      </c>
      <c r="U261" s="43" t="s">
        <v>329</v>
      </c>
      <c r="V261" s="43" t="s">
        <v>317</v>
      </c>
      <c r="X261" s="43" t="s">
        <v>318</v>
      </c>
      <c r="Y261" s="43" t="s">
        <v>361</v>
      </c>
      <c r="Z261" s="43" t="s">
        <v>361</v>
      </c>
      <c r="AA261" s="43" t="s">
        <v>320</v>
      </c>
      <c r="AB261" s="144">
        <v>0.178000003099442</v>
      </c>
      <c r="AC261" s="125">
        <v>43555</v>
      </c>
      <c r="AF261" s="43" t="s">
        <v>75</v>
      </c>
      <c r="AG261" s="43" t="s">
        <v>322</v>
      </c>
      <c r="AH261" s="43" t="s">
        <v>978</v>
      </c>
      <c r="AJ261" s="140">
        <v>0</v>
      </c>
      <c r="AK261" s="140">
        <v>0</v>
      </c>
      <c r="AL261" s="140">
        <v>0</v>
      </c>
      <c r="AM261" s="140">
        <v>0</v>
      </c>
      <c r="AN261" s="140">
        <v>2</v>
      </c>
      <c r="AO261" s="140">
        <v>40</v>
      </c>
      <c r="AP261" s="140">
        <v>76</v>
      </c>
      <c r="AQ261" s="140">
        <v>11</v>
      </c>
      <c r="AR261" s="140">
        <v>0</v>
      </c>
      <c r="AS261" s="140">
        <v>0</v>
      </c>
      <c r="AT261" s="140">
        <v>0</v>
      </c>
      <c r="AU261" s="140">
        <v>2</v>
      </c>
      <c r="AV261" s="140">
        <v>40</v>
      </c>
      <c r="AW261" s="140">
        <v>76</v>
      </c>
      <c r="AX261" s="140">
        <v>11</v>
      </c>
      <c r="AY261" s="140">
        <v>0</v>
      </c>
      <c r="AZ261" s="140">
        <v>0</v>
      </c>
      <c r="BA261" s="140">
        <v>0</v>
      </c>
      <c r="BB261" s="140">
        <v>0</v>
      </c>
      <c r="BC261" s="140">
        <v>0</v>
      </c>
      <c r="BD261" s="140">
        <v>0</v>
      </c>
      <c r="BE261" s="140">
        <v>0</v>
      </c>
      <c r="BF261" s="140">
        <v>0</v>
      </c>
      <c r="BG261" s="140">
        <v>0</v>
      </c>
      <c r="BH261" s="140">
        <v>0</v>
      </c>
      <c r="BI261" s="140">
        <v>0</v>
      </c>
      <c r="BJ261" s="140">
        <v>0</v>
      </c>
      <c r="BK261" s="140">
        <v>0</v>
      </c>
      <c r="BL261" s="140">
        <v>0</v>
      </c>
      <c r="BM261" s="140">
        <v>0</v>
      </c>
      <c r="BN261" s="140">
        <v>0</v>
      </c>
      <c r="BO261" s="140">
        <v>0</v>
      </c>
      <c r="BV261" s="43" t="s">
        <v>329</v>
      </c>
      <c r="BX261" s="43">
        <v>5</v>
      </c>
      <c r="CA261" s="90">
        <f t="shared" si="18"/>
        <v>32.25</v>
      </c>
      <c r="CB261" s="90">
        <f t="shared" si="18"/>
        <v>32.25</v>
      </c>
      <c r="CC261" s="90">
        <f t="shared" si="18"/>
        <v>32.25</v>
      </c>
      <c r="CD261" s="90">
        <f t="shared" si="18"/>
        <v>32.25</v>
      </c>
      <c r="CT261" s="90">
        <f t="shared" si="19"/>
        <v>129</v>
      </c>
      <c r="CU261" s="90">
        <f t="shared" si="20"/>
        <v>129</v>
      </c>
    </row>
    <row r="262" spans="1:99" ht="12" customHeight="1">
      <c r="A262" s="43">
        <v>3568</v>
      </c>
      <c r="B262" s="89" t="s">
        <v>813</v>
      </c>
      <c r="C262" s="89" t="s">
        <v>410</v>
      </c>
      <c r="D262" s="89" t="s">
        <v>411</v>
      </c>
      <c r="F262" s="43">
        <v>521152</v>
      </c>
      <c r="G262" s="43">
        <v>174359</v>
      </c>
      <c r="H262" s="89" t="s">
        <v>149</v>
      </c>
      <c r="I262" s="125">
        <v>43190</v>
      </c>
      <c r="K262" s="140">
        <v>1</v>
      </c>
      <c r="L262" s="140">
        <v>1</v>
      </c>
      <c r="M262" s="140">
        <v>0</v>
      </c>
      <c r="N262" s="140">
        <v>2</v>
      </c>
      <c r="O262" s="140">
        <v>1</v>
      </c>
      <c r="Q262" s="89" t="s">
        <v>412</v>
      </c>
      <c r="R262" s="43" t="s">
        <v>316</v>
      </c>
      <c r="S262" s="125">
        <v>42905</v>
      </c>
      <c r="T262" s="117">
        <v>43027</v>
      </c>
      <c r="V262" s="43" t="s">
        <v>317</v>
      </c>
      <c r="X262" s="43" t="s">
        <v>413</v>
      </c>
      <c r="Y262" s="43" t="s">
        <v>361</v>
      </c>
      <c r="Z262" s="43" t="s">
        <v>320</v>
      </c>
      <c r="AA262" s="43" t="s">
        <v>353</v>
      </c>
      <c r="AB262" s="144">
        <v>6.9000000000000006E-2</v>
      </c>
      <c r="AC262" s="125">
        <v>43646</v>
      </c>
      <c r="AD262" s="43" t="s">
        <v>329</v>
      </c>
      <c r="AF262" s="43" t="s">
        <v>75</v>
      </c>
      <c r="AG262" s="43" t="s">
        <v>322</v>
      </c>
      <c r="AJ262" s="140">
        <v>0</v>
      </c>
      <c r="AK262" s="140">
        <v>1</v>
      </c>
      <c r="AL262" s="140">
        <v>0</v>
      </c>
      <c r="AM262" s="140">
        <v>0</v>
      </c>
      <c r="AN262" s="140">
        <v>0</v>
      </c>
      <c r="AO262" s="140">
        <v>0</v>
      </c>
      <c r="AP262" s="140">
        <v>0</v>
      </c>
      <c r="AQ262" s="140">
        <v>0</v>
      </c>
      <c r="AR262" s="140">
        <v>-1</v>
      </c>
      <c r="AS262" s="140">
        <v>1</v>
      </c>
      <c r="AT262" s="140">
        <v>0</v>
      </c>
      <c r="AU262" s="140">
        <v>0</v>
      </c>
      <c r="AV262" s="140">
        <v>0</v>
      </c>
      <c r="AW262" s="140">
        <v>0</v>
      </c>
      <c r="AX262" s="140">
        <v>0</v>
      </c>
      <c r="AY262" s="140">
        <v>0</v>
      </c>
      <c r="AZ262" s="140">
        <v>0</v>
      </c>
      <c r="BA262" s="140">
        <v>0</v>
      </c>
      <c r="BB262" s="140">
        <v>0</v>
      </c>
      <c r="BC262" s="140">
        <v>0</v>
      </c>
      <c r="BD262" s="140">
        <v>0</v>
      </c>
      <c r="BE262" s="140">
        <v>0</v>
      </c>
      <c r="BF262" s="140">
        <v>-1</v>
      </c>
      <c r="BG262" s="140">
        <v>1</v>
      </c>
      <c r="BH262" s="140">
        <v>0</v>
      </c>
      <c r="BI262" s="140">
        <v>0</v>
      </c>
      <c r="BJ262" s="140">
        <v>0</v>
      </c>
      <c r="BK262" s="140">
        <v>0</v>
      </c>
      <c r="BL262" s="140">
        <v>0</v>
      </c>
      <c r="BM262" s="140">
        <v>0</v>
      </c>
      <c r="BN262" s="140">
        <v>0</v>
      </c>
      <c r="BO262" s="140">
        <v>0</v>
      </c>
      <c r="BX262" s="43">
        <v>2</v>
      </c>
      <c r="BZ262" s="90">
        <f>M262</f>
        <v>0</v>
      </c>
      <c r="CT262" s="90">
        <f t="shared" si="19"/>
        <v>0</v>
      </c>
      <c r="CU262" s="90">
        <f t="shared" si="20"/>
        <v>0</v>
      </c>
    </row>
    <row r="263" spans="1:99" ht="12" customHeight="1">
      <c r="A263" s="43">
        <v>3652</v>
      </c>
      <c r="B263" s="89" t="s">
        <v>813</v>
      </c>
      <c r="C263" s="89" t="s">
        <v>981</v>
      </c>
      <c r="D263" s="89" t="s">
        <v>982</v>
      </c>
      <c r="F263" s="43">
        <v>527224</v>
      </c>
      <c r="G263" s="43">
        <v>177200</v>
      </c>
      <c r="H263" s="89" t="s">
        <v>177</v>
      </c>
      <c r="I263" s="125">
        <v>43571</v>
      </c>
      <c r="K263" s="140">
        <v>0</v>
      </c>
      <c r="L263" s="140">
        <v>4</v>
      </c>
      <c r="M263" s="140">
        <v>4</v>
      </c>
      <c r="N263" s="140">
        <v>4</v>
      </c>
      <c r="O263" s="140">
        <v>4</v>
      </c>
      <c r="Q263" s="89" t="s">
        <v>983</v>
      </c>
      <c r="R263" s="43" t="s">
        <v>316</v>
      </c>
      <c r="S263" s="125">
        <v>42412</v>
      </c>
      <c r="T263" s="117">
        <v>42517</v>
      </c>
      <c r="V263" s="43" t="s">
        <v>317</v>
      </c>
      <c r="X263" s="43" t="s">
        <v>318</v>
      </c>
      <c r="Y263" s="43" t="s">
        <v>361</v>
      </c>
      <c r="Z263" s="43" t="s">
        <v>320</v>
      </c>
      <c r="AA263" s="43" t="s">
        <v>353</v>
      </c>
      <c r="AB263" s="144">
        <v>4.1999999433755902E-2</v>
      </c>
      <c r="AC263" s="125">
        <v>43571</v>
      </c>
      <c r="AD263" s="43" t="s">
        <v>329</v>
      </c>
      <c r="AF263" s="43" t="s">
        <v>75</v>
      </c>
      <c r="AG263" s="43" t="s">
        <v>322</v>
      </c>
      <c r="AJ263" s="140">
        <v>0</v>
      </c>
      <c r="AK263" s="140">
        <v>0</v>
      </c>
      <c r="AL263" s="140">
        <v>0</v>
      </c>
      <c r="AM263" s="140">
        <v>0</v>
      </c>
      <c r="AN263" s="140">
        <v>0</v>
      </c>
      <c r="AO263" s="140">
        <v>0</v>
      </c>
      <c r="AP263" s="140">
        <v>4</v>
      </c>
      <c r="AQ263" s="140">
        <v>0</v>
      </c>
      <c r="AR263" s="140">
        <v>0</v>
      </c>
      <c r="AS263" s="140">
        <v>0</v>
      </c>
      <c r="AT263" s="140">
        <v>0</v>
      </c>
      <c r="AU263" s="140">
        <v>0</v>
      </c>
      <c r="AV263" s="140">
        <v>0</v>
      </c>
      <c r="AW263" s="140">
        <v>4</v>
      </c>
      <c r="AX263" s="140">
        <v>0</v>
      </c>
      <c r="AY263" s="140">
        <v>0</v>
      </c>
      <c r="AZ263" s="140">
        <v>0</v>
      </c>
      <c r="BA263" s="140">
        <v>0</v>
      </c>
      <c r="BB263" s="140">
        <v>0</v>
      </c>
      <c r="BC263" s="140">
        <v>0</v>
      </c>
      <c r="BD263" s="140">
        <v>0</v>
      </c>
      <c r="BE263" s="140">
        <v>0</v>
      </c>
      <c r="BF263" s="140">
        <v>0</v>
      </c>
      <c r="BG263" s="140">
        <v>0</v>
      </c>
      <c r="BH263" s="140">
        <v>0</v>
      </c>
      <c r="BI263" s="140">
        <v>0</v>
      </c>
      <c r="BJ263" s="140">
        <v>0</v>
      </c>
      <c r="BK263" s="140">
        <v>0</v>
      </c>
      <c r="BL263" s="140">
        <v>0</v>
      </c>
      <c r="BM263" s="140">
        <v>0</v>
      </c>
      <c r="BN263" s="140">
        <v>0</v>
      </c>
      <c r="BO263" s="140">
        <v>0</v>
      </c>
      <c r="BV263" s="43" t="s">
        <v>329</v>
      </c>
      <c r="BX263" s="43">
        <v>2</v>
      </c>
      <c r="BZ263" s="90">
        <f>M263</f>
        <v>4</v>
      </c>
      <c r="CT263" s="90">
        <f t="shared" si="19"/>
        <v>4</v>
      </c>
      <c r="CU263" s="90">
        <f t="shared" si="20"/>
        <v>4</v>
      </c>
    </row>
    <row r="264" spans="1:99" ht="12" customHeight="1">
      <c r="A264" s="43">
        <v>3704</v>
      </c>
      <c r="B264" s="89" t="s">
        <v>813</v>
      </c>
      <c r="C264" s="89" t="s">
        <v>984</v>
      </c>
      <c r="D264" s="89" t="s">
        <v>985</v>
      </c>
      <c r="F264" s="43">
        <v>527795</v>
      </c>
      <c r="G264" s="43">
        <v>171699</v>
      </c>
      <c r="H264" s="89" t="s">
        <v>172</v>
      </c>
      <c r="I264" s="125">
        <v>43011</v>
      </c>
      <c r="K264" s="140">
        <v>0</v>
      </c>
      <c r="L264" s="140">
        <v>1</v>
      </c>
      <c r="M264" s="140">
        <v>1</v>
      </c>
      <c r="N264" s="140">
        <v>1</v>
      </c>
      <c r="O264" s="140">
        <v>1</v>
      </c>
      <c r="Q264" s="89" t="s">
        <v>986</v>
      </c>
      <c r="R264" s="43" t="s">
        <v>316</v>
      </c>
      <c r="S264" s="125">
        <v>43809</v>
      </c>
      <c r="T264" s="117">
        <v>43872</v>
      </c>
      <c r="U264" s="43" t="s">
        <v>329</v>
      </c>
      <c r="V264" s="43" t="s">
        <v>317</v>
      </c>
      <c r="X264" s="43" t="s">
        <v>318</v>
      </c>
      <c r="Y264" s="43" t="s">
        <v>361</v>
      </c>
      <c r="Z264" s="43" t="s">
        <v>320</v>
      </c>
      <c r="AA264" s="43" t="s">
        <v>353</v>
      </c>
      <c r="AB264" s="144">
        <v>4.0000001899898104E-3</v>
      </c>
      <c r="AC264" s="125">
        <v>43011</v>
      </c>
      <c r="AF264" s="43" t="s">
        <v>75</v>
      </c>
      <c r="AG264" s="43" t="s">
        <v>322</v>
      </c>
      <c r="AJ264" s="140">
        <v>0</v>
      </c>
      <c r="AK264" s="140">
        <v>0</v>
      </c>
      <c r="AL264" s="140">
        <v>0</v>
      </c>
      <c r="AM264" s="140">
        <v>0</v>
      </c>
      <c r="AN264" s="140">
        <v>0</v>
      </c>
      <c r="AO264" s="140">
        <v>0</v>
      </c>
      <c r="AP264" s="140">
        <v>1</v>
      </c>
      <c r="AQ264" s="140">
        <v>0</v>
      </c>
      <c r="AR264" s="140">
        <v>0</v>
      </c>
      <c r="AS264" s="140">
        <v>0</v>
      </c>
      <c r="AT264" s="140">
        <v>0</v>
      </c>
      <c r="AU264" s="140">
        <v>0</v>
      </c>
      <c r="AV264" s="140">
        <v>0</v>
      </c>
      <c r="AW264" s="140">
        <v>0</v>
      </c>
      <c r="AX264" s="140">
        <v>0</v>
      </c>
      <c r="AY264" s="140">
        <v>0</v>
      </c>
      <c r="AZ264" s="140">
        <v>0</v>
      </c>
      <c r="BA264" s="140">
        <v>0</v>
      </c>
      <c r="BB264" s="140">
        <v>0</v>
      </c>
      <c r="BC264" s="140">
        <v>0</v>
      </c>
      <c r="BD264" s="140">
        <v>1</v>
      </c>
      <c r="BE264" s="140">
        <v>0</v>
      </c>
      <c r="BF264" s="140">
        <v>0</v>
      </c>
      <c r="BG264" s="140">
        <v>0</v>
      </c>
      <c r="BH264" s="140">
        <v>0</v>
      </c>
      <c r="BI264" s="140">
        <v>0</v>
      </c>
      <c r="BJ264" s="140">
        <v>0</v>
      </c>
      <c r="BK264" s="140">
        <v>0</v>
      </c>
      <c r="BL264" s="140">
        <v>0</v>
      </c>
      <c r="BM264" s="140">
        <v>0</v>
      </c>
      <c r="BN264" s="140">
        <v>0</v>
      </c>
      <c r="BO264" s="140">
        <v>0</v>
      </c>
      <c r="BX264" s="43">
        <v>2</v>
      </c>
      <c r="BZ264" s="90">
        <f>M264</f>
        <v>1</v>
      </c>
      <c r="CT264" s="90">
        <f t="shared" si="19"/>
        <v>1</v>
      </c>
      <c r="CU264" s="90">
        <f t="shared" si="20"/>
        <v>1</v>
      </c>
    </row>
    <row r="265" spans="1:99" ht="12" customHeight="1">
      <c r="A265" s="43">
        <v>3938</v>
      </c>
      <c r="B265" s="89" t="s">
        <v>813</v>
      </c>
      <c r="C265" s="89" t="s">
        <v>987</v>
      </c>
      <c r="D265" s="89" t="s">
        <v>988</v>
      </c>
      <c r="E265" s="89" t="s">
        <v>989</v>
      </c>
      <c r="F265" s="43">
        <v>529318</v>
      </c>
      <c r="G265" s="43">
        <v>177190</v>
      </c>
      <c r="H265" s="89" t="s">
        <v>148</v>
      </c>
      <c r="I265" s="125">
        <v>43549</v>
      </c>
      <c r="K265" s="140">
        <v>0</v>
      </c>
      <c r="L265" s="140">
        <v>168</v>
      </c>
      <c r="M265" s="140">
        <v>168</v>
      </c>
      <c r="N265" s="140">
        <v>386</v>
      </c>
      <c r="O265" s="140">
        <v>386</v>
      </c>
      <c r="P265" s="43" t="s">
        <v>329</v>
      </c>
      <c r="Q265" s="89" t="s">
        <v>990</v>
      </c>
      <c r="R265" s="43" t="s">
        <v>360</v>
      </c>
      <c r="S265" s="125">
        <v>42551</v>
      </c>
      <c r="T265" s="117">
        <v>42695</v>
      </c>
      <c r="V265" s="43" t="s">
        <v>317</v>
      </c>
      <c r="X265" s="43" t="s">
        <v>318</v>
      </c>
      <c r="Y265" s="43" t="s">
        <v>361</v>
      </c>
      <c r="Z265" s="43" t="s">
        <v>361</v>
      </c>
      <c r="AA265" s="43" t="s">
        <v>320</v>
      </c>
      <c r="AB265" s="144">
        <v>0.30899998545646701</v>
      </c>
      <c r="AC265" s="125">
        <v>43549</v>
      </c>
      <c r="AF265" s="43" t="s">
        <v>54</v>
      </c>
      <c r="AG265" s="43" t="s">
        <v>831</v>
      </c>
      <c r="AH265" s="43" t="s">
        <v>991</v>
      </c>
      <c r="AJ265" s="140">
        <v>168</v>
      </c>
      <c r="AK265" s="140">
        <v>0</v>
      </c>
      <c r="AL265" s="140">
        <v>17</v>
      </c>
      <c r="AM265" s="140">
        <v>26</v>
      </c>
      <c r="AN265" s="140">
        <v>0</v>
      </c>
      <c r="AO265" s="140">
        <v>62</v>
      </c>
      <c r="AP265" s="140">
        <v>44</v>
      </c>
      <c r="AQ265" s="140">
        <v>30</v>
      </c>
      <c r="AR265" s="140">
        <v>32</v>
      </c>
      <c r="AS265" s="140">
        <v>0</v>
      </c>
      <c r="AT265" s="140">
        <v>0</v>
      </c>
      <c r="AU265" s="140">
        <v>0</v>
      </c>
      <c r="AV265" s="140">
        <v>62</v>
      </c>
      <c r="AW265" s="140">
        <v>44</v>
      </c>
      <c r="AX265" s="140">
        <v>30</v>
      </c>
      <c r="AY265" s="140">
        <v>32</v>
      </c>
      <c r="AZ265" s="140">
        <v>0</v>
      </c>
      <c r="BA265" s="140">
        <v>0</v>
      </c>
      <c r="BB265" s="140">
        <v>0</v>
      </c>
      <c r="BC265" s="140">
        <v>0</v>
      </c>
      <c r="BD265" s="140">
        <v>0</v>
      </c>
      <c r="BE265" s="140">
        <v>0</v>
      </c>
      <c r="BF265" s="140">
        <v>0</v>
      </c>
      <c r="BG265" s="140">
        <v>0</v>
      </c>
      <c r="BH265" s="140">
        <v>0</v>
      </c>
      <c r="BI265" s="140">
        <v>0</v>
      </c>
      <c r="BJ265" s="140">
        <v>0</v>
      </c>
      <c r="BK265" s="140">
        <v>0</v>
      </c>
      <c r="BL265" s="140">
        <v>0</v>
      </c>
      <c r="BM265" s="140">
        <v>0</v>
      </c>
      <c r="BN265" s="140">
        <v>0</v>
      </c>
      <c r="BO265" s="140">
        <v>0</v>
      </c>
      <c r="BQ265" s="43" t="s">
        <v>329</v>
      </c>
      <c r="BX265" s="43">
        <v>21</v>
      </c>
      <c r="CA265" s="90">
        <f>M265</f>
        <v>168</v>
      </c>
      <c r="CT265" s="90">
        <f t="shared" si="19"/>
        <v>168</v>
      </c>
      <c r="CU265" s="90">
        <f t="shared" si="20"/>
        <v>168</v>
      </c>
    </row>
    <row r="266" spans="1:99" ht="12" customHeight="1">
      <c r="A266" s="43">
        <v>3938</v>
      </c>
      <c r="B266" s="89" t="s">
        <v>813</v>
      </c>
      <c r="C266" s="89" t="s">
        <v>987</v>
      </c>
      <c r="D266" s="89" t="s">
        <v>988</v>
      </c>
      <c r="E266" s="89" t="s">
        <v>992</v>
      </c>
      <c r="F266" s="43">
        <v>529318</v>
      </c>
      <c r="G266" s="43">
        <v>177190</v>
      </c>
      <c r="H266" s="89" t="s">
        <v>148</v>
      </c>
      <c r="I266" s="125">
        <v>43549</v>
      </c>
      <c r="K266" s="140">
        <v>0</v>
      </c>
      <c r="L266" s="140">
        <v>136</v>
      </c>
      <c r="M266" s="140">
        <v>136</v>
      </c>
      <c r="N266" s="140">
        <v>386</v>
      </c>
      <c r="O266" s="140">
        <v>386</v>
      </c>
      <c r="P266" s="43" t="s">
        <v>329</v>
      </c>
      <c r="Q266" s="89" t="s">
        <v>990</v>
      </c>
      <c r="R266" s="43" t="s">
        <v>360</v>
      </c>
      <c r="S266" s="125">
        <v>42551</v>
      </c>
      <c r="T266" s="117">
        <v>42695</v>
      </c>
      <c r="V266" s="43" t="s">
        <v>317</v>
      </c>
      <c r="X266" s="43" t="s">
        <v>318</v>
      </c>
      <c r="Y266" s="43" t="s">
        <v>361</v>
      </c>
      <c r="Z266" s="43" t="s">
        <v>361</v>
      </c>
      <c r="AA266" s="43" t="s">
        <v>320</v>
      </c>
      <c r="AB266" s="144">
        <v>0.25</v>
      </c>
      <c r="AC266" s="125">
        <v>43549</v>
      </c>
      <c r="AF266" s="43" t="s">
        <v>54</v>
      </c>
      <c r="AG266" s="43" t="s">
        <v>399</v>
      </c>
      <c r="AH266" s="43" t="s">
        <v>991</v>
      </c>
      <c r="AJ266" s="140">
        <v>136</v>
      </c>
      <c r="AK266" s="140">
        <v>0</v>
      </c>
      <c r="AL266" s="140">
        <v>14</v>
      </c>
      <c r="AM266" s="140">
        <v>13</v>
      </c>
      <c r="AN266" s="140">
        <v>6</v>
      </c>
      <c r="AO266" s="140">
        <v>78</v>
      </c>
      <c r="AP266" s="140">
        <v>52</v>
      </c>
      <c r="AQ266" s="140">
        <v>0</v>
      </c>
      <c r="AR266" s="140">
        <v>0</v>
      </c>
      <c r="AS266" s="140">
        <v>0</v>
      </c>
      <c r="AT266" s="140">
        <v>0</v>
      </c>
      <c r="AU266" s="140">
        <v>6</v>
      </c>
      <c r="AV266" s="140">
        <v>78</v>
      </c>
      <c r="AW266" s="140">
        <v>52</v>
      </c>
      <c r="AX266" s="140">
        <v>0</v>
      </c>
      <c r="AY266" s="140">
        <v>0</v>
      </c>
      <c r="AZ266" s="140">
        <v>0</v>
      </c>
      <c r="BA266" s="140">
        <v>0</v>
      </c>
      <c r="BB266" s="140">
        <v>0</v>
      </c>
      <c r="BC266" s="140">
        <v>0</v>
      </c>
      <c r="BD266" s="140">
        <v>0</v>
      </c>
      <c r="BE266" s="140">
        <v>0</v>
      </c>
      <c r="BF266" s="140">
        <v>0</v>
      </c>
      <c r="BG266" s="140">
        <v>0</v>
      </c>
      <c r="BH266" s="140">
        <v>0</v>
      </c>
      <c r="BI266" s="140">
        <v>0</v>
      </c>
      <c r="BJ266" s="140">
        <v>0</v>
      </c>
      <c r="BK266" s="140">
        <v>0</v>
      </c>
      <c r="BL266" s="140">
        <v>0</v>
      </c>
      <c r="BM266" s="140">
        <v>0</v>
      </c>
      <c r="BN266" s="140">
        <v>0</v>
      </c>
      <c r="BO266" s="140">
        <v>0</v>
      </c>
      <c r="BQ266" s="43" t="s">
        <v>329</v>
      </c>
      <c r="BX266" s="43">
        <v>21</v>
      </c>
      <c r="CA266" s="90">
        <f>M266</f>
        <v>136</v>
      </c>
      <c r="CT266" s="90">
        <f t="shared" si="19"/>
        <v>136</v>
      </c>
      <c r="CU266" s="90">
        <f t="shared" si="20"/>
        <v>136</v>
      </c>
    </row>
    <row r="267" spans="1:99" ht="12" customHeight="1">
      <c r="A267" s="43">
        <v>3938</v>
      </c>
      <c r="B267" s="89" t="s">
        <v>813</v>
      </c>
      <c r="C267" s="89" t="s">
        <v>987</v>
      </c>
      <c r="D267" s="89" t="s">
        <v>988</v>
      </c>
      <c r="E267" s="89" t="s">
        <v>993</v>
      </c>
      <c r="F267" s="43">
        <v>529318</v>
      </c>
      <c r="G267" s="43">
        <v>177190</v>
      </c>
      <c r="H267" s="89" t="s">
        <v>148</v>
      </c>
      <c r="I267" s="125">
        <v>43549</v>
      </c>
      <c r="K267" s="140">
        <v>0</v>
      </c>
      <c r="L267" s="140">
        <v>82</v>
      </c>
      <c r="M267" s="140">
        <v>82</v>
      </c>
      <c r="N267" s="140">
        <v>386</v>
      </c>
      <c r="O267" s="140">
        <v>386</v>
      </c>
      <c r="P267" s="43" t="s">
        <v>329</v>
      </c>
      <c r="Q267" s="89" t="s">
        <v>990</v>
      </c>
      <c r="R267" s="43" t="s">
        <v>360</v>
      </c>
      <c r="S267" s="125">
        <v>42551</v>
      </c>
      <c r="T267" s="117">
        <v>42695</v>
      </c>
      <c r="V267" s="43" t="s">
        <v>317</v>
      </c>
      <c r="X267" s="43" t="s">
        <v>318</v>
      </c>
      <c r="Y267" s="43" t="s">
        <v>361</v>
      </c>
      <c r="Z267" s="43" t="s">
        <v>361</v>
      </c>
      <c r="AA267" s="43" t="s">
        <v>320</v>
      </c>
      <c r="AB267" s="144">
        <v>0.15099999308586101</v>
      </c>
      <c r="AC267" s="125">
        <v>43913</v>
      </c>
      <c r="AD267" s="43" t="s">
        <v>329</v>
      </c>
      <c r="AF267" s="43" t="s">
        <v>54</v>
      </c>
      <c r="AG267" s="43" t="s">
        <v>831</v>
      </c>
      <c r="AH267" s="43" t="s">
        <v>991</v>
      </c>
      <c r="AJ267" s="140">
        <v>82</v>
      </c>
      <c r="AK267" s="140">
        <v>0</v>
      </c>
      <c r="AL267" s="140">
        <v>8</v>
      </c>
      <c r="AM267" s="140">
        <v>0</v>
      </c>
      <c r="AN267" s="140">
        <v>0</v>
      </c>
      <c r="AO267" s="140">
        <v>0</v>
      </c>
      <c r="AP267" s="140">
        <v>40</v>
      </c>
      <c r="AQ267" s="140">
        <v>39</v>
      </c>
      <c r="AR267" s="140">
        <v>3</v>
      </c>
      <c r="AS267" s="140">
        <v>0</v>
      </c>
      <c r="AT267" s="140">
        <v>0</v>
      </c>
      <c r="AU267" s="140">
        <v>0</v>
      </c>
      <c r="AV267" s="140">
        <v>0</v>
      </c>
      <c r="AW267" s="140">
        <v>40</v>
      </c>
      <c r="AX267" s="140">
        <v>39</v>
      </c>
      <c r="AY267" s="140">
        <v>3</v>
      </c>
      <c r="AZ267" s="140">
        <v>0</v>
      </c>
      <c r="BA267" s="140">
        <v>0</v>
      </c>
      <c r="BB267" s="140">
        <v>0</v>
      </c>
      <c r="BC267" s="140">
        <v>0</v>
      </c>
      <c r="BD267" s="140">
        <v>0</v>
      </c>
      <c r="BE267" s="140">
        <v>0</v>
      </c>
      <c r="BF267" s="140">
        <v>0</v>
      </c>
      <c r="BG267" s="140">
        <v>0</v>
      </c>
      <c r="BH267" s="140">
        <v>0</v>
      </c>
      <c r="BI267" s="140">
        <v>0</v>
      </c>
      <c r="BJ267" s="140">
        <v>0</v>
      </c>
      <c r="BK267" s="140">
        <v>0</v>
      </c>
      <c r="BL267" s="140">
        <v>0</v>
      </c>
      <c r="BM267" s="140">
        <v>0</v>
      </c>
      <c r="BN267" s="140">
        <v>0</v>
      </c>
      <c r="BO267" s="140">
        <v>0</v>
      </c>
      <c r="BQ267" s="43" t="s">
        <v>329</v>
      </c>
      <c r="BX267" s="43">
        <v>21</v>
      </c>
      <c r="CA267" s="90">
        <f>M267</f>
        <v>82</v>
      </c>
      <c r="CT267" s="90">
        <f t="shared" si="19"/>
        <v>82</v>
      </c>
      <c r="CU267" s="90">
        <f t="shared" si="20"/>
        <v>82</v>
      </c>
    </row>
    <row r="268" spans="1:99" ht="12" customHeight="1">
      <c r="A268" s="43">
        <v>3943</v>
      </c>
      <c r="B268" s="89" t="s">
        <v>813</v>
      </c>
      <c r="C268" s="89" t="s">
        <v>994</v>
      </c>
      <c r="D268" s="89" t="s">
        <v>995</v>
      </c>
      <c r="E268" s="89" t="s">
        <v>996</v>
      </c>
      <c r="F268" s="43">
        <v>529575</v>
      </c>
      <c r="G268" s="43">
        <v>177401</v>
      </c>
      <c r="H268" s="89" t="s">
        <v>148</v>
      </c>
      <c r="I268" s="125">
        <v>43711</v>
      </c>
      <c r="K268" s="140">
        <v>0</v>
      </c>
      <c r="L268" s="140">
        <v>733</v>
      </c>
      <c r="M268" s="140">
        <v>733</v>
      </c>
      <c r="N268" s="140">
        <v>894</v>
      </c>
      <c r="O268" s="140">
        <v>894</v>
      </c>
      <c r="P268" s="43" t="s">
        <v>329</v>
      </c>
      <c r="Q268" s="89" t="s">
        <v>997</v>
      </c>
      <c r="R268" s="43" t="s">
        <v>466</v>
      </c>
      <c r="S268" s="125">
        <v>43081</v>
      </c>
      <c r="T268" s="117">
        <v>43553</v>
      </c>
      <c r="V268" s="43" t="s">
        <v>317</v>
      </c>
      <c r="X268" s="43" t="s">
        <v>318</v>
      </c>
      <c r="Y268" s="43" t="s">
        <v>361</v>
      </c>
      <c r="Z268" s="43" t="s">
        <v>461</v>
      </c>
      <c r="AA268" s="43" t="s">
        <v>320</v>
      </c>
      <c r="AB268" s="144">
        <v>0.71600002050399802</v>
      </c>
      <c r="AC268" s="125">
        <v>43711</v>
      </c>
      <c r="AD268" s="43" t="s">
        <v>329</v>
      </c>
      <c r="AF268" s="43" t="s">
        <v>75</v>
      </c>
      <c r="AG268" s="43" t="s">
        <v>998</v>
      </c>
      <c r="AH268" s="43" t="s">
        <v>999</v>
      </c>
      <c r="AJ268" s="140">
        <v>0</v>
      </c>
      <c r="AK268" s="140">
        <v>660</v>
      </c>
      <c r="AL268" s="140">
        <v>0</v>
      </c>
      <c r="AM268" s="140">
        <v>73</v>
      </c>
      <c r="AN268" s="140">
        <v>176</v>
      </c>
      <c r="AO268" s="140">
        <v>175</v>
      </c>
      <c r="AP268" s="140">
        <v>305</v>
      </c>
      <c r="AQ268" s="140">
        <v>77</v>
      </c>
      <c r="AR268" s="140">
        <v>0</v>
      </c>
      <c r="AS268" s="140">
        <v>0</v>
      </c>
      <c r="AT268" s="140">
        <v>0</v>
      </c>
      <c r="AU268" s="140">
        <v>176</v>
      </c>
      <c r="AV268" s="140">
        <v>175</v>
      </c>
      <c r="AW268" s="140">
        <v>305</v>
      </c>
      <c r="AX268" s="140">
        <v>77</v>
      </c>
      <c r="AY268" s="140">
        <v>0</v>
      </c>
      <c r="AZ268" s="140">
        <v>0</v>
      </c>
      <c r="BA268" s="140">
        <v>0</v>
      </c>
      <c r="BB268" s="140">
        <v>0</v>
      </c>
      <c r="BC268" s="140">
        <v>0</v>
      </c>
      <c r="BD268" s="140">
        <v>0</v>
      </c>
      <c r="BE268" s="140">
        <v>0</v>
      </c>
      <c r="BF268" s="140">
        <v>0</v>
      </c>
      <c r="BG268" s="140">
        <v>0</v>
      </c>
      <c r="BH268" s="140">
        <v>0</v>
      </c>
      <c r="BI268" s="140">
        <v>0</v>
      </c>
      <c r="BJ268" s="140">
        <v>0</v>
      </c>
      <c r="BK268" s="140">
        <v>0</v>
      </c>
      <c r="BL268" s="140">
        <v>0</v>
      </c>
      <c r="BM268" s="140">
        <v>0</v>
      </c>
      <c r="BN268" s="140">
        <v>0</v>
      </c>
      <c r="BO268" s="140">
        <v>0</v>
      </c>
      <c r="BQ268" s="43" t="s">
        <v>329</v>
      </c>
      <c r="BX268" s="43">
        <v>21</v>
      </c>
      <c r="CC268" s="90">
        <f t="shared" ref="CC268:CC273" si="21">M268</f>
        <v>733</v>
      </c>
      <c r="CT268" s="90">
        <f t="shared" si="19"/>
        <v>733</v>
      </c>
      <c r="CU268" s="90">
        <f t="shared" si="20"/>
        <v>733</v>
      </c>
    </row>
    <row r="269" spans="1:99" ht="12" customHeight="1">
      <c r="A269" s="43">
        <v>3943</v>
      </c>
      <c r="B269" s="89" t="s">
        <v>813</v>
      </c>
      <c r="C269" s="89" t="s">
        <v>994</v>
      </c>
      <c r="D269" s="89" t="s">
        <v>995</v>
      </c>
      <c r="E269" s="89" t="s">
        <v>996</v>
      </c>
      <c r="F269" s="43">
        <v>529575</v>
      </c>
      <c r="G269" s="43">
        <v>177401</v>
      </c>
      <c r="H269" s="89" t="s">
        <v>148</v>
      </c>
      <c r="I269" s="125">
        <v>43711</v>
      </c>
      <c r="K269" s="140">
        <v>0</v>
      </c>
      <c r="L269" s="140">
        <v>161</v>
      </c>
      <c r="M269" s="140">
        <v>161</v>
      </c>
      <c r="N269" s="140">
        <v>894</v>
      </c>
      <c r="O269" s="140">
        <v>894</v>
      </c>
      <c r="P269" s="43" t="s">
        <v>329</v>
      </c>
      <c r="Q269" s="89" t="s">
        <v>997</v>
      </c>
      <c r="R269" s="43" t="s">
        <v>466</v>
      </c>
      <c r="S269" s="125">
        <v>43081</v>
      </c>
      <c r="T269" s="117">
        <v>43553</v>
      </c>
      <c r="V269" s="43" t="s">
        <v>317</v>
      </c>
      <c r="X269" s="43" t="s">
        <v>318</v>
      </c>
      <c r="Y269" s="43" t="s">
        <v>361</v>
      </c>
      <c r="Z269" s="43" t="s">
        <v>361</v>
      </c>
      <c r="AA269" s="43" t="s">
        <v>1000</v>
      </c>
      <c r="AB269" s="144">
        <v>0.15700000524520899</v>
      </c>
      <c r="AC269" s="125">
        <v>43711</v>
      </c>
      <c r="AD269" s="43" t="s">
        <v>329</v>
      </c>
      <c r="AF269" s="43" t="s">
        <v>54</v>
      </c>
      <c r="AG269" s="43" t="s">
        <v>1001</v>
      </c>
      <c r="AH269" s="43" t="s">
        <v>999</v>
      </c>
      <c r="AJ269" s="140">
        <v>0</v>
      </c>
      <c r="AK269" s="140">
        <v>145</v>
      </c>
      <c r="AL269" s="140">
        <v>0</v>
      </c>
      <c r="AM269" s="140">
        <v>16</v>
      </c>
      <c r="AN269" s="140">
        <v>0</v>
      </c>
      <c r="AO269" s="140">
        <v>56</v>
      </c>
      <c r="AP269" s="140">
        <v>95</v>
      </c>
      <c r="AQ269" s="140">
        <v>10</v>
      </c>
      <c r="AR269" s="140">
        <v>0</v>
      </c>
      <c r="AS269" s="140">
        <v>0</v>
      </c>
      <c r="AT269" s="140">
        <v>0</v>
      </c>
      <c r="AU269" s="140">
        <v>0</v>
      </c>
      <c r="AV269" s="140">
        <v>56</v>
      </c>
      <c r="AW269" s="140">
        <v>95</v>
      </c>
      <c r="AX269" s="140">
        <v>10</v>
      </c>
      <c r="AY269" s="140">
        <v>0</v>
      </c>
      <c r="AZ269" s="140">
        <v>0</v>
      </c>
      <c r="BA269" s="140">
        <v>0</v>
      </c>
      <c r="BB269" s="140">
        <v>0</v>
      </c>
      <c r="BC269" s="140">
        <v>0</v>
      </c>
      <c r="BD269" s="140">
        <v>0</v>
      </c>
      <c r="BE269" s="140">
        <v>0</v>
      </c>
      <c r="BF269" s="140">
        <v>0</v>
      </c>
      <c r="BG269" s="140">
        <v>0</v>
      </c>
      <c r="BH269" s="140">
        <v>0</v>
      </c>
      <c r="BI269" s="140">
        <v>0</v>
      </c>
      <c r="BJ269" s="140">
        <v>0</v>
      </c>
      <c r="BK269" s="140">
        <v>0</v>
      </c>
      <c r="BL269" s="140">
        <v>0</v>
      </c>
      <c r="BM269" s="140">
        <v>0</v>
      </c>
      <c r="BN269" s="140">
        <v>0</v>
      </c>
      <c r="BO269" s="140">
        <v>0</v>
      </c>
      <c r="BQ269" s="43" t="s">
        <v>329</v>
      </c>
      <c r="BX269" s="43">
        <v>21</v>
      </c>
      <c r="CC269" s="90">
        <f t="shared" si="21"/>
        <v>161</v>
      </c>
      <c r="CT269" s="90">
        <f t="shared" si="19"/>
        <v>161</v>
      </c>
      <c r="CU269" s="90">
        <f t="shared" si="20"/>
        <v>161</v>
      </c>
    </row>
    <row r="270" spans="1:99" ht="12" customHeight="1">
      <c r="A270" s="43">
        <v>3943</v>
      </c>
      <c r="B270" s="89" t="s">
        <v>813</v>
      </c>
      <c r="C270" s="89" t="s">
        <v>1002</v>
      </c>
      <c r="D270" s="89" t="s">
        <v>995</v>
      </c>
      <c r="E270" s="89" t="s">
        <v>1003</v>
      </c>
      <c r="F270" s="43">
        <v>529575</v>
      </c>
      <c r="G270" s="43">
        <v>177401</v>
      </c>
      <c r="H270" s="89" t="s">
        <v>148</v>
      </c>
      <c r="I270" s="125">
        <v>43798</v>
      </c>
      <c r="K270" s="140">
        <v>0</v>
      </c>
      <c r="L270" s="140">
        <v>96</v>
      </c>
      <c r="M270" s="140">
        <v>96</v>
      </c>
      <c r="N270" s="140">
        <v>262</v>
      </c>
      <c r="O270" s="140">
        <v>262</v>
      </c>
      <c r="P270" s="43" t="s">
        <v>329</v>
      </c>
      <c r="Q270" s="89" t="s">
        <v>1004</v>
      </c>
      <c r="R270" s="43" t="s">
        <v>466</v>
      </c>
      <c r="S270" s="125">
        <v>43572</v>
      </c>
      <c r="T270" s="117">
        <v>43635</v>
      </c>
      <c r="U270" s="43" t="s">
        <v>329</v>
      </c>
      <c r="V270" s="43" t="s">
        <v>317</v>
      </c>
      <c r="X270" s="43" t="s">
        <v>318</v>
      </c>
      <c r="Y270" s="43" t="s">
        <v>361</v>
      </c>
      <c r="Z270" s="43" t="s">
        <v>361</v>
      </c>
      <c r="AA270" s="43" t="s">
        <v>320</v>
      </c>
      <c r="AB270" s="144">
        <v>0.104000002145767</v>
      </c>
      <c r="AC270" s="125">
        <v>43921</v>
      </c>
      <c r="AD270" s="43" t="s">
        <v>329</v>
      </c>
      <c r="AF270" s="43" t="s">
        <v>75</v>
      </c>
      <c r="AG270" s="43" t="s">
        <v>322</v>
      </c>
      <c r="AH270" s="43" t="s">
        <v>999</v>
      </c>
      <c r="AJ270" s="140">
        <v>0</v>
      </c>
      <c r="AK270" s="140">
        <v>86</v>
      </c>
      <c r="AL270" s="140">
        <v>0</v>
      </c>
      <c r="AM270" s="140">
        <v>10</v>
      </c>
      <c r="AN270" s="140">
        <v>0</v>
      </c>
      <c r="AO270" s="140">
        <v>32</v>
      </c>
      <c r="AP270" s="140">
        <v>43</v>
      </c>
      <c r="AQ270" s="140">
        <v>21</v>
      </c>
      <c r="AR270" s="140">
        <v>0</v>
      </c>
      <c r="AS270" s="140">
        <v>0</v>
      </c>
      <c r="AT270" s="140">
        <v>0</v>
      </c>
      <c r="AU270" s="140">
        <v>0</v>
      </c>
      <c r="AV270" s="140">
        <v>32</v>
      </c>
      <c r="AW270" s="140">
        <v>43</v>
      </c>
      <c r="AX270" s="140">
        <v>21</v>
      </c>
      <c r="AY270" s="140">
        <v>0</v>
      </c>
      <c r="AZ270" s="140">
        <v>0</v>
      </c>
      <c r="BA270" s="140">
        <v>0</v>
      </c>
      <c r="BB270" s="140">
        <v>0</v>
      </c>
      <c r="BC270" s="140">
        <v>0</v>
      </c>
      <c r="BD270" s="140">
        <v>0</v>
      </c>
      <c r="BE270" s="140">
        <v>0</v>
      </c>
      <c r="BF270" s="140">
        <v>0</v>
      </c>
      <c r="BG270" s="140">
        <v>0</v>
      </c>
      <c r="BH270" s="140">
        <v>0</v>
      </c>
      <c r="BI270" s="140">
        <v>0</v>
      </c>
      <c r="BJ270" s="140">
        <v>0</v>
      </c>
      <c r="BK270" s="140">
        <v>0</v>
      </c>
      <c r="BL270" s="140">
        <v>0</v>
      </c>
      <c r="BM270" s="140">
        <v>0</v>
      </c>
      <c r="BN270" s="140">
        <v>0</v>
      </c>
      <c r="BO270" s="140">
        <v>0</v>
      </c>
      <c r="BQ270" s="43" t="s">
        <v>329</v>
      </c>
      <c r="BX270" s="43">
        <v>21</v>
      </c>
      <c r="CC270" s="90">
        <f t="shared" si="21"/>
        <v>96</v>
      </c>
      <c r="CT270" s="90">
        <f t="shared" si="19"/>
        <v>96</v>
      </c>
      <c r="CU270" s="90">
        <f t="shared" si="20"/>
        <v>96</v>
      </c>
    </row>
    <row r="271" spans="1:99" ht="12" customHeight="1">
      <c r="A271" s="43">
        <v>3943</v>
      </c>
      <c r="B271" s="89" t="s">
        <v>813</v>
      </c>
      <c r="C271" s="89" t="s">
        <v>1002</v>
      </c>
      <c r="D271" s="89" t="s">
        <v>995</v>
      </c>
      <c r="E271" s="89" t="s">
        <v>1005</v>
      </c>
      <c r="F271" s="43">
        <v>529575</v>
      </c>
      <c r="G271" s="43">
        <v>177401</v>
      </c>
      <c r="H271" s="89" t="s">
        <v>148</v>
      </c>
      <c r="I271" s="125">
        <v>43798</v>
      </c>
      <c r="K271" s="140">
        <v>0</v>
      </c>
      <c r="L271" s="140">
        <v>100</v>
      </c>
      <c r="M271" s="140">
        <v>100</v>
      </c>
      <c r="N271" s="140">
        <v>262</v>
      </c>
      <c r="O271" s="140">
        <v>262</v>
      </c>
      <c r="P271" s="43" t="s">
        <v>329</v>
      </c>
      <c r="Q271" s="89" t="s">
        <v>1004</v>
      </c>
      <c r="R271" s="43" t="s">
        <v>466</v>
      </c>
      <c r="S271" s="125">
        <v>43572</v>
      </c>
      <c r="T271" s="117">
        <v>43635</v>
      </c>
      <c r="U271" s="43" t="s">
        <v>329</v>
      </c>
      <c r="V271" s="43" t="s">
        <v>317</v>
      </c>
      <c r="X271" s="43" t="s">
        <v>318</v>
      </c>
      <c r="Y271" s="43" t="s">
        <v>361</v>
      </c>
      <c r="Z271" s="43" t="s">
        <v>361</v>
      </c>
      <c r="AA271" s="43" t="s">
        <v>320</v>
      </c>
      <c r="AB271" s="144">
        <v>0.108000002801418</v>
      </c>
      <c r="AC271" s="125">
        <v>43921</v>
      </c>
      <c r="AD271" s="43" t="s">
        <v>329</v>
      </c>
      <c r="AF271" s="43" t="s">
        <v>75</v>
      </c>
      <c r="AG271" s="43" t="s">
        <v>322</v>
      </c>
      <c r="AH271" s="43" t="s">
        <v>999</v>
      </c>
      <c r="AJ271" s="140">
        <v>0</v>
      </c>
      <c r="AK271" s="140">
        <v>90</v>
      </c>
      <c r="AL271" s="140">
        <v>0</v>
      </c>
      <c r="AM271" s="140">
        <v>10</v>
      </c>
      <c r="AN271" s="140">
        <v>0</v>
      </c>
      <c r="AO271" s="140">
        <v>30</v>
      </c>
      <c r="AP271" s="140">
        <v>70</v>
      </c>
      <c r="AQ271" s="140">
        <v>0</v>
      </c>
      <c r="AR271" s="140">
        <v>0</v>
      </c>
      <c r="AS271" s="140">
        <v>0</v>
      </c>
      <c r="AT271" s="140">
        <v>0</v>
      </c>
      <c r="AU271" s="140">
        <v>0</v>
      </c>
      <c r="AV271" s="140">
        <v>30</v>
      </c>
      <c r="AW271" s="140">
        <v>70</v>
      </c>
      <c r="AX271" s="140">
        <v>0</v>
      </c>
      <c r="AY271" s="140">
        <v>0</v>
      </c>
      <c r="AZ271" s="140">
        <v>0</v>
      </c>
      <c r="BA271" s="140">
        <v>0</v>
      </c>
      <c r="BB271" s="140">
        <v>0</v>
      </c>
      <c r="BC271" s="140">
        <v>0</v>
      </c>
      <c r="BD271" s="140">
        <v>0</v>
      </c>
      <c r="BE271" s="140">
        <v>0</v>
      </c>
      <c r="BF271" s="140">
        <v>0</v>
      </c>
      <c r="BG271" s="140">
        <v>0</v>
      </c>
      <c r="BH271" s="140">
        <v>0</v>
      </c>
      <c r="BI271" s="140">
        <v>0</v>
      </c>
      <c r="BJ271" s="140">
        <v>0</v>
      </c>
      <c r="BK271" s="140">
        <v>0</v>
      </c>
      <c r="BL271" s="140">
        <v>0</v>
      </c>
      <c r="BM271" s="140">
        <v>0</v>
      </c>
      <c r="BN271" s="140">
        <v>0</v>
      </c>
      <c r="BO271" s="140">
        <v>0</v>
      </c>
      <c r="BQ271" s="43" t="s">
        <v>329</v>
      </c>
      <c r="BX271" s="43">
        <v>21</v>
      </c>
      <c r="CC271" s="90">
        <f t="shared" si="21"/>
        <v>100</v>
      </c>
      <c r="CT271" s="90">
        <f t="shared" si="19"/>
        <v>100</v>
      </c>
      <c r="CU271" s="90">
        <f t="shared" si="20"/>
        <v>100</v>
      </c>
    </row>
    <row r="272" spans="1:99" ht="12" customHeight="1">
      <c r="A272" s="43">
        <v>3943</v>
      </c>
      <c r="B272" s="89" t="s">
        <v>813</v>
      </c>
      <c r="C272" s="89" t="s">
        <v>1002</v>
      </c>
      <c r="D272" s="89" t="s">
        <v>995</v>
      </c>
      <c r="E272" s="89" t="s">
        <v>1006</v>
      </c>
      <c r="F272" s="43">
        <v>529575</v>
      </c>
      <c r="G272" s="43">
        <v>177401</v>
      </c>
      <c r="H272" s="89" t="s">
        <v>148</v>
      </c>
      <c r="I272" s="125">
        <v>43798</v>
      </c>
      <c r="K272" s="140">
        <v>0</v>
      </c>
      <c r="L272" s="140">
        <v>40</v>
      </c>
      <c r="M272" s="140">
        <v>40</v>
      </c>
      <c r="N272" s="140">
        <v>262</v>
      </c>
      <c r="O272" s="140">
        <v>262</v>
      </c>
      <c r="P272" s="43" t="s">
        <v>329</v>
      </c>
      <c r="Q272" s="89" t="s">
        <v>1004</v>
      </c>
      <c r="R272" s="43" t="s">
        <v>466</v>
      </c>
      <c r="S272" s="125">
        <v>43572</v>
      </c>
      <c r="T272" s="117">
        <v>43635</v>
      </c>
      <c r="U272" s="43" t="s">
        <v>329</v>
      </c>
      <c r="V272" s="43" t="s">
        <v>317</v>
      </c>
      <c r="X272" s="43" t="s">
        <v>318</v>
      </c>
      <c r="Y272" s="43" t="s">
        <v>361</v>
      </c>
      <c r="Z272" s="43" t="s">
        <v>361</v>
      </c>
      <c r="AA272" s="43" t="s">
        <v>320</v>
      </c>
      <c r="AB272" s="144">
        <v>4.3000001460313797E-2</v>
      </c>
      <c r="AC272" s="125">
        <v>43921</v>
      </c>
      <c r="AD272" s="43" t="s">
        <v>329</v>
      </c>
      <c r="AF272" s="43" t="s">
        <v>55</v>
      </c>
      <c r="AG272" s="43" t="s">
        <v>457</v>
      </c>
      <c r="AH272" s="43" t="s">
        <v>999</v>
      </c>
      <c r="AJ272" s="140">
        <v>0</v>
      </c>
      <c r="AK272" s="140">
        <v>36</v>
      </c>
      <c r="AL272" s="140">
        <v>0</v>
      </c>
      <c r="AM272" s="140">
        <v>4</v>
      </c>
      <c r="AN272" s="140">
        <v>0</v>
      </c>
      <c r="AO272" s="140">
        <v>10</v>
      </c>
      <c r="AP272" s="140">
        <v>17</v>
      </c>
      <c r="AQ272" s="140">
        <v>12</v>
      </c>
      <c r="AR272" s="140">
        <v>1</v>
      </c>
      <c r="AS272" s="140">
        <v>0</v>
      </c>
      <c r="AT272" s="140">
        <v>0</v>
      </c>
      <c r="AU272" s="140">
        <v>0</v>
      </c>
      <c r="AV272" s="140">
        <v>10</v>
      </c>
      <c r="AW272" s="140">
        <v>17</v>
      </c>
      <c r="AX272" s="140">
        <v>12</v>
      </c>
      <c r="AY272" s="140">
        <v>1</v>
      </c>
      <c r="AZ272" s="140">
        <v>0</v>
      </c>
      <c r="BA272" s="140">
        <v>0</v>
      </c>
      <c r="BB272" s="140">
        <v>0</v>
      </c>
      <c r="BC272" s="140">
        <v>0</v>
      </c>
      <c r="BD272" s="140">
        <v>0</v>
      </c>
      <c r="BE272" s="140">
        <v>0</v>
      </c>
      <c r="BF272" s="140">
        <v>0</v>
      </c>
      <c r="BG272" s="140">
        <v>0</v>
      </c>
      <c r="BH272" s="140">
        <v>0</v>
      </c>
      <c r="BI272" s="140">
        <v>0</v>
      </c>
      <c r="BJ272" s="140">
        <v>0</v>
      </c>
      <c r="BK272" s="140">
        <v>0</v>
      </c>
      <c r="BL272" s="140">
        <v>0</v>
      </c>
      <c r="BM272" s="140">
        <v>0</v>
      </c>
      <c r="BN272" s="140">
        <v>0</v>
      </c>
      <c r="BO272" s="140">
        <v>0</v>
      </c>
      <c r="BQ272" s="43" t="s">
        <v>329</v>
      </c>
      <c r="BX272" s="43">
        <v>21</v>
      </c>
      <c r="CC272" s="90">
        <f t="shared" si="21"/>
        <v>40</v>
      </c>
      <c r="CT272" s="90">
        <f t="shared" si="19"/>
        <v>40</v>
      </c>
      <c r="CU272" s="90">
        <f t="shared" si="20"/>
        <v>40</v>
      </c>
    </row>
    <row r="273" spans="1:99" ht="12" customHeight="1">
      <c r="A273" s="43">
        <v>3943</v>
      </c>
      <c r="B273" s="89" t="s">
        <v>813</v>
      </c>
      <c r="C273" s="89" t="s">
        <v>1002</v>
      </c>
      <c r="D273" s="89" t="s">
        <v>995</v>
      </c>
      <c r="E273" s="89" t="s">
        <v>1006</v>
      </c>
      <c r="F273" s="43">
        <v>529575</v>
      </c>
      <c r="G273" s="43">
        <v>177401</v>
      </c>
      <c r="H273" s="89" t="s">
        <v>148</v>
      </c>
      <c r="I273" s="125">
        <v>43798</v>
      </c>
      <c r="K273" s="140">
        <v>0</v>
      </c>
      <c r="L273" s="140">
        <v>26</v>
      </c>
      <c r="M273" s="140">
        <v>26</v>
      </c>
      <c r="N273" s="140">
        <v>262</v>
      </c>
      <c r="O273" s="140">
        <v>262</v>
      </c>
      <c r="P273" s="43" t="s">
        <v>329</v>
      </c>
      <c r="Q273" s="89" t="s">
        <v>1004</v>
      </c>
      <c r="R273" s="43" t="s">
        <v>466</v>
      </c>
      <c r="S273" s="125">
        <v>43572</v>
      </c>
      <c r="T273" s="117">
        <v>43635</v>
      </c>
      <c r="U273" s="43" t="s">
        <v>329</v>
      </c>
      <c r="V273" s="43" t="s">
        <v>317</v>
      </c>
      <c r="X273" s="43" t="s">
        <v>318</v>
      </c>
      <c r="Y273" s="43" t="s">
        <v>361</v>
      </c>
      <c r="Z273" s="43" t="s">
        <v>361</v>
      </c>
      <c r="AA273" s="43" t="s">
        <v>320</v>
      </c>
      <c r="AB273" s="144">
        <v>2.8000000864267301E-2</v>
      </c>
      <c r="AC273" s="125">
        <v>43921</v>
      </c>
      <c r="AD273" s="43" t="s">
        <v>329</v>
      </c>
      <c r="AF273" s="43" t="s">
        <v>54</v>
      </c>
      <c r="AG273" s="43" t="s">
        <v>399</v>
      </c>
      <c r="AH273" s="43" t="s">
        <v>999</v>
      </c>
      <c r="AJ273" s="140">
        <v>0</v>
      </c>
      <c r="AK273" s="140">
        <v>23</v>
      </c>
      <c r="AL273" s="140">
        <v>0</v>
      </c>
      <c r="AM273" s="140">
        <v>3</v>
      </c>
      <c r="AN273" s="140">
        <v>0</v>
      </c>
      <c r="AO273" s="140">
        <v>8</v>
      </c>
      <c r="AP273" s="140">
        <v>18</v>
      </c>
      <c r="AQ273" s="140">
        <v>0</v>
      </c>
      <c r="AR273" s="140">
        <v>0</v>
      </c>
      <c r="AS273" s="140">
        <v>0</v>
      </c>
      <c r="AT273" s="140">
        <v>0</v>
      </c>
      <c r="AU273" s="140">
        <v>0</v>
      </c>
      <c r="AV273" s="140">
        <v>8</v>
      </c>
      <c r="AW273" s="140">
        <v>18</v>
      </c>
      <c r="AX273" s="140">
        <v>0</v>
      </c>
      <c r="AY273" s="140">
        <v>0</v>
      </c>
      <c r="AZ273" s="140">
        <v>0</v>
      </c>
      <c r="BA273" s="140">
        <v>0</v>
      </c>
      <c r="BB273" s="140">
        <v>0</v>
      </c>
      <c r="BC273" s="140">
        <v>0</v>
      </c>
      <c r="BD273" s="140">
        <v>0</v>
      </c>
      <c r="BE273" s="140">
        <v>0</v>
      </c>
      <c r="BF273" s="140">
        <v>0</v>
      </c>
      <c r="BG273" s="140">
        <v>0</v>
      </c>
      <c r="BH273" s="140">
        <v>0</v>
      </c>
      <c r="BI273" s="140">
        <v>0</v>
      </c>
      <c r="BJ273" s="140">
        <v>0</v>
      </c>
      <c r="BK273" s="140">
        <v>0</v>
      </c>
      <c r="BL273" s="140">
        <v>0</v>
      </c>
      <c r="BM273" s="140">
        <v>0</v>
      </c>
      <c r="BN273" s="140">
        <v>0</v>
      </c>
      <c r="BO273" s="140">
        <v>0</v>
      </c>
      <c r="BQ273" s="43" t="s">
        <v>329</v>
      </c>
      <c r="BX273" s="43">
        <v>21</v>
      </c>
      <c r="CC273" s="90">
        <f t="shared" si="21"/>
        <v>26</v>
      </c>
      <c r="CT273" s="90">
        <f t="shared" si="19"/>
        <v>26</v>
      </c>
      <c r="CU273" s="90">
        <f t="shared" si="20"/>
        <v>26</v>
      </c>
    </row>
    <row r="274" spans="1:99" ht="12" customHeight="1">
      <c r="A274" s="43">
        <v>3961</v>
      </c>
      <c r="B274" s="89" t="s">
        <v>813</v>
      </c>
      <c r="C274" s="89" t="s">
        <v>1007</v>
      </c>
      <c r="D274" s="89" t="s">
        <v>1008</v>
      </c>
      <c r="F274" s="43">
        <v>527645</v>
      </c>
      <c r="G274" s="43">
        <v>171873</v>
      </c>
      <c r="H274" s="89" t="s">
        <v>141</v>
      </c>
      <c r="I274" s="125">
        <v>43376</v>
      </c>
      <c r="K274" s="140">
        <v>0</v>
      </c>
      <c r="L274" s="140">
        <v>29</v>
      </c>
      <c r="M274" s="140">
        <v>29</v>
      </c>
      <c r="N274" s="140">
        <v>41</v>
      </c>
      <c r="O274" s="140">
        <v>41</v>
      </c>
      <c r="P274" s="43" t="s">
        <v>329</v>
      </c>
      <c r="Q274" s="89" t="s">
        <v>1009</v>
      </c>
      <c r="R274" s="43" t="s">
        <v>392</v>
      </c>
      <c r="S274" s="125">
        <v>42971</v>
      </c>
      <c r="T274" s="117">
        <v>43322</v>
      </c>
      <c r="V274" s="43" t="s">
        <v>317</v>
      </c>
      <c r="X274" s="43" t="s">
        <v>318</v>
      </c>
      <c r="Y274" s="43" t="s">
        <v>361</v>
      </c>
      <c r="Z274" s="43" t="s">
        <v>361</v>
      </c>
      <c r="AA274" s="43" t="s">
        <v>320</v>
      </c>
      <c r="AB274" s="144">
        <v>0.14599999785423301</v>
      </c>
      <c r="AC274" s="125">
        <v>43376</v>
      </c>
      <c r="AF274" s="43" t="s">
        <v>75</v>
      </c>
      <c r="AG274" s="43" t="s">
        <v>322</v>
      </c>
      <c r="AH274" s="43" t="s">
        <v>943</v>
      </c>
      <c r="AJ274" s="140">
        <v>0</v>
      </c>
      <c r="AK274" s="140">
        <v>26</v>
      </c>
      <c r="AL274" s="140">
        <v>0</v>
      </c>
      <c r="AM274" s="140">
        <v>3</v>
      </c>
      <c r="AN274" s="140">
        <v>0</v>
      </c>
      <c r="AO274" s="140">
        <v>7</v>
      </c>
      <c r="AP274" s="140">
        <v>20</v>
      </c>
      <c r="AQ274" s="140">
        <v>2</v>
      </c>
      <c r="AR274" s="140">
        <v>0</v>
      </c>
      <c r="AS274" s="140">
        <v>0</v>
      </c>
      <c r="AT274" s="140">
        <v>0</v>
      </c>
      <c r="AU274" s="140">
        <v>0</v>
      </c>
      <c r="AV274" s="140">
        <v>7</v>
      </c>
      <c r="AW274" s="140">
        <v>20</v>
      </c>
      <c r="AX274" s="140">
        <v>2</v>
      </c>
      <c r="AY274" s="140">
        <v>0</v>
      </c>
      <c r="AZ274" s="140">
        <v>0</v>
      </c>
      <c r="BA274" s="140">
        <v>0</v>
      </c>
      <c r="BB274" s="140">
        <v>0</v>
      </c>
      <c r="BC274" s="140">
        <v>0</v>
      </c>
      <c r="BD274" s="140">
        <v>0</v>
      </c>
      <c r="BE274" s="140">
        <v>0</v>
      </c>
      <c r="BF274" s="140">
        <v>0</v>
      </c>
      <c r="BG274" s="140">
        <v>0</v>
      </c>
      <c r="BH274" s="140">
        <v>0</v>
      </c>
      <c r="BI274" s="140">
        <v>0</v>
      </c>
      <c r="BJ274" s="140">
        <v>0</v>
      </c>
      <c r="BK274" s="140">
        <v>0</v>
      </c>
      <c r="BL274" s="140">
        <v>0</v>
      </c>
      <c r="BM274" s="140">
        <v>0</v>
      </c>
      <c r="BN274" s="140">
        <v>0</v>
      </c>
      <c r="BO274" s="140">
        <v>0</v>
      </c>
      <c r="BP274" s="43" t="s">
        <v>141</v>
      </c>
      <c r="BX274" s="43">
        <v>4</v>
      </c>
      <c r="CA274" s="90">
        <f>M274</f>
        <v>29</v>
      </c>
      <c r="CT274" s="90">
        <f t="shared" si="19"/>
        <v>29</v>
      </c>
      <c r="CU274" s="90">
        <f t="shared" si="20"/>
        <v>29</v>
      </c>
    </row>
    <row r="275" spans="1:99" ht="12" customHeight="1">
      <c r="A275" s="43">
        <v>3961</v>
      </c>
      <c r="B275" s="89" t="s">
        <v>813</v>
      </c>
      <c r="C275" s="89" t="s">
        <v>1007</v>
      </c>
      <c r="D275" s="89" t="s">
        <v>1008</v>
      </c>
      <c r="F275" s="43">
        <v>527645</v>
      </c>
      <c r="G275" s="43">
        <v>171873</v>
      </c>
      <c r="H275" s="89" t="s">
        <v>141</v>
      </c>
      <c r="I275" s="125">
        <v>43376</v>
      </c>
      <c r="K275" s="140">
        <v>0</v>
      </c>
      <c r="L275" s="140">
        <v>12</v>
      </c>
      <c r="M275" s="140">
        <v>12</v>
      </c>
      <c r="N275" s="140">
        <v>41</v>
      </c>
      <c r="O275" s="140">
        <v>41</v>
      </c>
      <c r="P275" s="43" t="s">
        <v>329</v>
      </c>
      <c r="Q275" s="89" t="s">
        <v>1009</v>
      </c>
      <c r="R275" s="43" t="s">
        <v>392</v>
      </c>
      <c r="S275" s="125">
        <v>42971</v>
      </c>
      <c r="T275" s="117">
        <v>43322</v>
      </c>
      <c r="V275" s="43" t="s">
        <v>317</v>
      </c>
      <c r="X275" s="43" t="s">
        <v>318</v>
      </c>
      <c r="Y275" s="43" t="s">
        <v>361</v>
      </c>
      <c r="Z275" s="43" t="s">
        <v>361</v>
      </c>
      <c r="AA275" s="43" t="s">
        <v>320</v>
      </c>
      <c r="AB275" s="144">
        <v>5.9999998658895499E-2</v>
      </c>
      <c r="AC275" s="125">
        <v>43376</v>
      </c>
      <c r="AF275" s="43" t="s">
        <v>54</v>
      </c>
      <c r="AG275" s="43" t="s">
        <v>399</v>
      </c>
      <c r="AH275" s="43" t="s">
        <v>943</v>
      </c>
      <c r="AJ275" s="140">
        <v>0</v>
      </c>
      <c r="AK275" s="140">
        <v>11</v>
      </c>
      <c r="AL275" s="140">
        <v>0</v>
      </c>
      <c r="AM275" s="140">
        <v>1</v>
      </c>
      <c r="AN275" s="140">
        <v>0</v>
      </c>
      <c r="AO275" s="140">
        <v>2</v>
      </c>
      <c r="AP275" s="140">
        <v>8</v>
      </c>
      <c r="AQ275" s="140">
        <v>1</v>
      </c>
      <c r="AR275" s="140">
        <v>1</v>
      </c>
      <c r="AS275" s="140">
        <v>0</v>
      </c>
      <c r="AT275" s="140">
        <v>0</v>
      </c>
      <c r="AU275" s="140">
        <v>0</v>
      </c>
      <c r="AV275" s="140">
        <v>2</v>
      </c>
      <c r="AW275" s="140">
        <v>8</v>
      </c>
      <c r="AX275" s="140">
        <v>1</v>
      </c>
      <c r="AY275" s="140">
        <v>1</v>
      </c>
      <c r="AZ275" s="140">
        <v>0</v>
      </c>
      <c r="BA275" s="140">
        <v>0</v>
      </c>
      <c r="BB275" s="140">
        <v>0</v>
      </c>
      <c r="BC275" s="140">
        <v>0</v>
      </c>
      <c r="BD275" s="140">
        <v>0</v>
      </c>
      <c r="BE275" s="140">
        <v>0</v>
      </c>
      <c r="BF275" s="140">
        <v>0</v>
      </c>
      <c r="BG275" s="140">
        <v>0</v>
      </c>
      <c r="BH275" s="140">
        <v>0</v>
      </c>
      <c r="BI275" s="140">
        <v>0</v>
      </c>
      <c r="BJ275" s="140">
        <v>0</v>
      </c>
      <c r="BK275" s="140">
        <v>0</v>
      </c>
      <c r="BL275" s="140">
        <v>0</v>
      </c>
      <c r="BM275" s="140">
        <v>0</v>
      </c>
      <c r="BN275" s="140">
        <v>0</v>
      </c>
      <c r="BO275" s="140">
        <v>0</v>
      </c>
      <c r="BP275" s="43" t="s">
        <v>141</v>
      </c>
      <c r="BX275" s="43">
        <v>4</v>
      </c>
      <c r="CA275" s="90">
        <f>M275</f>
        <v>12</v>
      </c>
      <c r="CT275" s="90">
        <f t="shared" si="19"/>
        <v>12</v>
      </c>
      <c r="CU275" s="90">
        <f t="shared" si="20"/>
        <v>12</v>
      </c>
    </row>
    <row r="276" spans="1:99" ht="12" customHeight="1">
      <c r="A276" s="43">
        <v>4122</v>
      </c>
      <c r="B276" s="89" t="s">
        <v>813</v>
      </c>
      <c r="C276" s="89" t="s">
        <v>1010</v>
      </c>
      <c r="D276" s="89" t="s">
        <v>1011</v>
      </c>
      <c r="F276" s="43">
        <v>529138</v>
      </c>
      <c r="G276" s="43">
        <v>174076</v>
      </c>
      <c r="H276" s="89" t="s">
        <v>138</v>
      </c>
      <c r="I276" s="125">
        <v>43528</v>
      </c>
      <c r="K276" s="140">
        <v>0</v>
      </c>
      <c r="L276" s="140">
        <v>1</v>
      </c>
      <c r="M276" s="140">
        <v>1</v>
      </c>
      <c r="N276" s="140">
        <v>1</v>
      </c>
      <c r="O276" s="140">
        <v>1</v>
      </c>
      <c r="Q276" s="89" t="s">
        <v>1012</v>
      </c>
      <c r="R276" s="43" t="s">
        <v>316</v>
      </c>
      <c r="S276" s="125">
        <v>42790</v>
      </c>
      <c r="T276" s="117">
        <v>42846</v>
      </c>
      <c r="V276" s="43" t="s">
        <v>317</v>
      </c>
      <c r="X276" s="43" t="s">
        <v>318</v>
      </c>
      <c r="Y276" s="43" t="s">
        <v>361</v>
      </c>
      <c r="Z276" s="43" t="s">
        <v>320</v>
      </c>
      <c r="AA276" s="43" t="s">
        <v>353</v>
      </c>
      <c r="AB276" s="144">
        <v>7.0000002160668399E-3</v>
      </c>
      <c r="AC276" s="125">
        <v>43528</v>
      </c>
      <c r="AF276" s="43" t="s">
        <v>75</v>
      </c>
      <c r="AG276" s="43" t="s">
        <v>322</v>
      </c>
      <c r="AJ276" s="140">
        <v>0</v>
      </c>
      <c r="AK276" s="140">
        <v>0</v>
      </c>
      <c r="AL276" s="140">
        <v>0</v>
      </c>
      <c r="AM276" s="140">
        <v>0</v>
      </c>
      <c r="AN276" s="140">
        <v>0</v>
      </c>
      <c r="AO276" s="140">
        <v>0</v>
      </c>
      <c r="AP276" s="140">
        <v>0</v>
      </c>
      <c r="AQ276" s="140">
        <v>1</v>
      </c>
      <c r="AR276" s="140">
        <v>0</v>
      </c>
      <c r="AS276" s="140">
        <v>0</v>
      </c>
      <c r="AT276" s="140">
        <v>0</v>
      </c>
      <c r="AU276" s="140">
        <v>0</v>
      </c>
      <c r="AV276" s="140">
        <v>0</v>
      </c>
      <c r="AW276" s="140">
        <v>0</v>
      </c>
      <c r="AX276" s="140">
        <v>0</v>
      </c>
      <c r="AY276" s="140">
        <v>0</v>
      </c>
      <c r="AZ276" s="140">
        <v>0</v>
      </c>
      <c r="BA276" s="140">
        <v>0</v>
      </c>
      <c r="BB276" s="140">
        <v>0</v>
      </c>
      <c r="BC276" s="140">
        <v>0</v>
      </c>
      <c r="BD276" s="140">
        <v>0</v>
      </c>
      <c r="BE276" s="140">
        <v>1</v>
      </c>
      <c r="BF276" s="140">
        <v>0</v>
      </c>
      <c r="BG276" s="140">
        <v>0</v>
      </c>
      <c r="BH276" s="140">
        <v>0</v>
      </c>
      <c r="BI276" s="140">
        <v>0</v>
      </c>
      <c r="BJ276" s="140">
        <v>0</v>
      </c>
      <c r="BK276" s="140">
        <v>0</v>
      </c>
      <c r="BL276" s="140">
        <v>0</v>
      </c>
      <c r="BM276" s="140">
        <v>0</v>
      </c>
      <c r="BN276" s="140">
        <v>0</v>
      </c>
      <c r="BO276" s="140">
        <v>0</v>
      </c>
      <c r="BX276" s="43">
        <v>2</v>
      </c>
      <c r="BZ276" s="90">
        <f>M276</f>
        <v>1</v>
      </c>
      <c r="CT276" s="90">
        <f t="shared" si="19"/>
        <v>1</v>
      </c>
      <c r="CU276" s="90">
        <f t="shared" si="20"/>
        <v>1</v>
      </c>
    </row>
    <row r="277" spans="1:99" ht="12" customHeight="1">
      <c r="A277" s="43">
        <v>4260</v>
      </c>
      <c r="B277" s="89" t="s">
        <v>813</v>
      </c>
      <c r="C277" s="89" t="s">
        <v>1013</v>
      </c>
      <c r="D277" s="89" t="s">
        <v>1014</v>
      </c>
      <c r="F277" s="43">
        <v>526461</v>
      </c>
      <c r="G277" s="43">
        <v>172543</v>
      </c>
      <c r="H277" s="89" t="s">
        <v>168</v>
      </c>
      <c r="I277" s="125">
        <v>43190</v>
      </c>
      <c r="K277" s="140">
        <v>0</v>
      </c>
      <c r="L277" s="140">
        <v>4</v>
      </c>
      <c r="M277" s="140">
        <v>4</v>
      </c>
      <c r="N277" s="140">
        <v>4</v>
      </c>
      <c r="O277" s="140">
        <v>4</v>
      </c>
      <c r="Q277" s="89" t="s">
        <v>1015</v>
      </c>
      <c r="R277" s="43" t="s">
        <v>316</v>
      </c>
      <c r="S277" s="125">
        <v>41568</v>
      </c>
      <c r="T277" s="117">
        <v>41568</v>
      </c>
      <c r="V277" s="43" t="s">
        <v>317</v>
      </c>
      <c r="X277" s="43" t="s">
        <v>318</v>
      </c>
      <c r="Y277" s="43" t="s">
        <v>319</v>
      </c>
      <c r="Z277" s="43" t="s">
        <v>320</v>
      </c>
      <c r="AA277" s="43" t="s">
        <v>30</v>
      </c>
      <c r="AB277" s="144">
        <v>3.4000001847744002E-2</v>
      </c>
      <c r="AC277" s="125">
        <v>43190</v>
      </c>
      <c r="AF277" s="43" t="s">
        <v>75</v>
      </c>
      <c r="AG277" s="43" t="s">
        <v>322</v>
      </c>
      <c r="AJ277" s="140">
        <v>0</v>
      </c>
      <c r="AK277" s="140">
        <v>0</v>
      </c>
      <c r="AL277" s="140">
        <v>0</v>
      </c>
      <c r="AM277" s="140">
        <v>0</v>
      </c>
      <c r="AN277" s="140">
        <v>0</v>
      </c>
      <c r="AO277" s="140">
        <v>1</v>
      </c>
      <c r="AP277" s="140">
        <v>2</v>
      </c>
      <c r="AQ277" s="140">
        <v>1</v>
      </c>
      <c r="AR277" s="140">
        <v>0</v>
      </c>
      <c r="AS277" s="140">
        <v>0</v>
      </c>
      <c r="AT277" s="140">
        <v>0</v>
      </c>
      <c r="AU277" s="140">
        <v>0</v>
      </c>
      <c r="AV277" s="140">
        <v>1</v>
      </c>
      <c r="AW277" s="140">
        <v>2</v>
      </c>
      <c r="AX277" s="140">
        <v>1</v>
      </c>
      <c r="AY277" s="140">
        <v>0</v>
      </c>
      <c r="AZ277" s="140">
        <v>0</v>
      </c>
      <c r="BA277" s="140">
        <v>0</v>
      </c>
      <c r="BB277" s="140">
        <v>0</v>
      </c>
      <c r="BC277" s="140">
        <v>0</v>
      </c>
      <c r="BD277" s="140">
        <v>0</v>
      </c>
      <c r="BE277" s="140">
        <v>0</v>
      </c>
      <c r="BF277" s="140">
        <v>0</v>
      </c>
      <c r="BG277" s="140">
        <v>0</v>
      </c>
      <c r="BH277" s="140">
        <v>0</v>
      </c>
      <c r="BI277" s="140">
        <v>0</v>
      </c>
      <c r="BJ277" s="140">
        <v>0</v>
      </c>
      <c r="BK277" s="140">
        <v>0</v>
      </c>
      <c r="BL277" s="140">
        <v>0</v>
      </c>
      <c r="BM277" s="140">
        <v>0</v>
      </c>
      <c r="BN277" s="140">
        <v>0</v>
      </c>
      <c r="BO277" s="140">
        <v>0</v>
      </c>
      <c r="BX277" s="43">
        <v>13</v>
      </c>
      <c r="BZ277" s="90">
        <f>M277</f>
        <v>4</v>
      </c>
      <c r="CT277" s="90">
        <f t="shared" si="19"/>
        <v>4</v>
      </c>
      <c r="CU277" s="90">
        <f t="shared" si="20"/>
        <v>4</v>
      </c>
    </row>
    <row r="278" spans="1:99" ht="12" customHeight="1">
      <c r="A278" s="43">
        <v>4368</v>
      </c>
      <c r="B278" s="89" t="s">
        <v>813</v>
      </c>
      <c r="C278" s="89" t="s">
        <v>1016</v>
      </c>
      <c r="D278" s="89" t="s">
        <v>1017</v>
      </c>
      <c r="F278" s="43">
        <v>528539</v>
      </c>
      <c r="G278" s="43">
        <v>175783</v>
      </c>
      <c r="H278" s="89" t="s">
        <v>175</v>
      </c>
      <c r="I278" s="125">
        <v>42445</v>
      </c>
      <c r="K278" s="140">
        <v>0</v>
      </c>
      <c r="L278" s="140">
        <v>2</v>
      </c>
      <c r="M278" s="140">
        <v>2</v>
      </c>
      <c r="N278" s="140">
        <v>2</v>
      </c>
      <c r="O278" s="140">
        <v>2</v>
      </c>
      <c r="Q278" s="89" t="s">
        <v>1018</v>
      </c>
      <c r="R278" s="43" t="s">
        <v>316</v>
      </c>
      <c r="S278" s="125">
        <v>42293</v>
      </c>
      <c r="T278" s="117">
        <v>42445</v>
      </c>
      <c r="V278" s="43" t="s">
        <v>317</v>
      </c>
      <c r="X278" s="43" t="s">
        <v>318</v>
      </c>
      <c r="Y278" s="43" t="s">
        <v>319</v>
      </c>
      <c r="Z278" s="43" t="s">
        <v>320</v>
      </c>
      <c r="AA278" s="43" t="s">
        <v>353</v>
      </c>
      <c r="AB278" s="144">
        <v>7.0000002160668399E-3</v>
      </c>
      <c r="AC278" s="125">
        <v>42445</v>
      </c>
      <c r="AF278" s="43" t="s">
        <v>75</v>
      </c>
      <c r="AG278" s="43" t="s">
        <v>322</v>
      </c>
      <c r="AJ278" s="140">
        <v>0</v>
      </c>
      <c r="AK278" s="140">
        <v>0</v>
      </c>
      <c r="AL278" s="140">
        <v>0</v>
      </c>
      <c r="AM278" s="140">
        <v>0</v>
      </c>
      <c r="AN278" s="140">
        <v>0</v>
      </c>
      <c r="AO278" s="140">
        <v>1</v>
      </c>
      <c r="AP278" s="140">
        <v>0</v>
      </c>
      <c r="AQ278" s="140">
        <v>1</v>
      </c>
      <c r="AR278" s="140">
        <v>0</v>
      </c>
      <c r="AS278" s="140">
        <v>0</v>
      </c>
      <c r="AT278" s="140">
        <v>0</v>
      </c>
      <c r="AU278" s="140">
        <v>0</v>
      </c>
      <c r="AV278" s="140">
        <v>1</v>
      </c>
      <c r="AW278" s="140">
        <v>0</v>
      </c>
      <c r="AX278" s="140">
        <v>1</v>
      </c>
      <c r="AY278" s="140">
        <v>0</v>
      </c>
      <c r="AZ278" s="140">
        <v>0</v>
      </c>
      <c r="BA278" s="140">
        <v>0</v>
      </c>
      <c r="BB278" s="140">
        <v>0</v>
      </c>
      <c r="BC278" s="140">
        <v>0</v>
      </c>
      <c r="BD278" s="140">
        <v>0</v>
      </c>
      <c r="BE278" s="140">
        <v>0</v>
      </c>
      <c r="BF278" s="140">
        <v>0</v>
      </c>
      <c r="BG278" s="140">
        <v>0</v>
      </c>
      <c r="BH278" s="140">
        <v>0</v>
      </c>
      <c r="BI278" s="140">
        <v>0</v>
      </c>
      <c r="BJ278" s="140">
        <v>0</v>
      </c>
      <c r="BK278" s="140">
        <v>0</v>
      </c>
      <c r="BL278" s="140">
        <v>0</v>
      </c>
      <c r="BM278" s="140">
        <v>0</v>
      </c>
      <c r="BN278" s="140">
        <v>0</v>
      </c>
      <c r="BO278" s="140">
        <v>0</v>
      </c>
      <c r="BX278" s="43">
        <v>13</v>
      </c>
      <c r="BZ278" s="90">
        <f>M278</f>
        <v>2</v>
      </c>
      <c r="CT278" s="90">
        <f t="shared" si="19"/>
        <v>2</v>
      </c>
      <c r="CU278" s="90">
        <f t="shared" si="20"/>
        <v>2</v>
      </c>
    </row>
    <row r="279" spans="1:99" ht="12" customHeight="1">
      <c r="A279" s="43">
        <v>4474</v>
      </c>
      <c r="B279" s="89" t="s">
        <v>813</v>
      </c>
      <c r="C279" s="89" t="s">
        <v>1019</v>
      </c>
      <c r="D279" s="89" t="s">
        <v>1020</v>
      </c>
      <c r="F279" s="43">
        <v>527533</v>
      </c>
      <c r="G279" s="43">
        <v>171477</v>
      </c>
      <c r="H279" s="89" t="s">
        <v>172</v>
      </c>
      <c r="I279" s="125">
        <v>43683</v>
      </c>
      <c r="K279" s="140">
        <v>0</v>
      </c>
      <c r="L279" s="140">
        <v>13</v>
      </c>
      <c r="M279" s="140">
        <v>13</v>
      </c>
      <c r="N279" s="140">
        <v>19</v>
      </c>
      <c r="O279" s="140">
        <v>19</v>
      </c>
      <c r="P279" s="43" t="s">
        <v>329</v>
      </c>
      <c r="Q279" s="89" t="s">
        <v>1021</v>
      </c>
      <c r="R279" s="43" t="s">
        <v>392</v>
      </c>
      <c r="S279" s="125">
        <v>41891</v>
      </c>
      <c r="T279" s="117">
        <v>42594</v>
      </c>
      <c r="V279" s="43" t="s">
        <v>317</v>
      </c>
      <c r="X279" s="43" t="s">
        <v>318</v>
      </c>
      <c r="Y279" s="43" t="s">
        <v>336</v>
      </c>
      <c r="Z279" s="43" t="s">
        <v>536</v>
      </c>
      <c r="AA279" s="43" t="s">
        <v>320</v>
      </c>
      <c r="AB279" s="144">
        <v>0.10000000149011599</v>
      </c>
      <c r="AC279" s="125">
        <v>43683</v>
      </c>
      <c r="AD279" s="43" t="s">
        <v>329</v>
      </c>
      <c r="AF279" s="43" t="s">
        <v>75</v>
      </c>
      <c r="AG279" s="43" t="s">
        <v>998</v>
      </c>
      <c r="AH279" s="43" t="s">
        <v>1022</v>
      </c>
      <c r="AJ279" s="140">
        <v>9</v>
      </c>
      <c r="AK279" s="140">
        <v>0</v>
      </c>
      <c r="AL279" s="140">
        <v>2</v>
      </c>
      <c r="AM279" s="140">
        <v>0</v>
      </c>
      <c r="AN279" s="140">
        <v>1</v>
      </c>
      <c r="AO279" s="140">
        <v>1</v>
      </c>
      <c r="AP279" s="140">
        <v>11</v>
      </c>
      <c r="AQ279" s="140">
        <v>0</v>
      </c>
      <c r="AR279" s="140">
        <v>0</v>
      </c>
      <c r="AS279" s="140">
        <v>0</v>
      </c>
      <c r="AT279" s="140">
        <v>0</v>
      </c>
      <c r="AU279" s="140">
        <v>1</v>
      </c>
      <c r="AV279" s="140">
        <v>1</v>
      </c>
      <c r="AW279" s="140">
        <v>11</v>
      </c>
      <c r="AX279" s="140">
        <v>0</v>
      </c>
      <c r="AY279" s="140">
        <v>0</v>
      </c>
      <c r="AZ279" s="140">
        <v>0</v>
      </c>
      <c r="BA279" s="140">
        <v>0</v>
      </c>
      <c r="BB279" s="140">
        <v>0</v>
      </c>
      <c r="BC279" s="140">
        <v>0</v>
      </c>
      <c r="BD279" s="140">
        <v>0</v>
      </c>
      <c r="BE279" s="140">
        <v>0</v>
      </c>
      <c r="BF279" s="140">
        <v>0</v>
      </c>
      <c r="BG279" s="140">
        <v>0</v>
      </c>
      <c r="BH279" s="140">
        <v>0</v>
      </c>
      <c r="BI279" s="140">
        <v>0</v>
      </c>
      <c r="BJ279" s="140">
        <v>0</v>
      </c>
      <c r="BK279" s="140">
        <v>0</v>
      </c>
      <c r="BL279" s="140">
        <v>0</v>
      </c>
      <c r="BM279" s="140">
        <v>0</v>
      </c>
      <c r="BN279" s="140">
        <v>0</v>
      </c>
      <c r="BO279" s="140">
        <v>0</v>
      </c>
      <c r="BP279" s="43" t="s">
        <v>141</v>
      </c>
      <c r="BX279" s="43">
        <v>13</v>
      </c>
      <c r="BZ279" s="90">
        <f>M279</f>
        <v>13</v>
      </c>
      <c r="CT279" s="90">
        <f t="shared" si="19"/>
        <v>13</v>
      </c>
      <c r="CU279" s="90">
        <f t="shared" si="20"/>
        <v>13</v>
      </c>
    </row>
    <row r="280" spans="1:99" ht="12" customHeight="1">
      <c r="A280" s="43">
        <v>4474</v>
      </c>
      <c r="B280" s="89" t="s">
        <v>813</v>
      </c>
      <c r="C280" s="89" t="s">
        <v>1019</v>
      </c>
      <c r="D280" s="89" t="s">
        <v>1020</v>
      </c>
      <c r="F280" s="43">
        <v>527533</v>
      </c>
      <c r="G280" s="43">
        <v>171477</v>
      </c>
      <c r="H280" s="89" t="s">
        <v>172</v>
      </c>
      <c r="I280" s="125">
        <v>43683</v>
      </c>
      <c r="K280" s="140">
        <v>0</v>
      </c>
      <c r="L280" s="140">
        <v>6</v>
      </c>
      <c r="M280" s="140">
        <v>6</v>
      </c>
      <c r="N280" s="140">
        <v>19</v>
      </c>
      <c r="O280" s="140">
        <v>19</v>
      </c>
      <c r="P280" s="43" t="s">
        <v>329</v>
      </c>
      <c r="Q280" s="89" t="s">
        <v>1021</v>
      </c>
      <c r="R280" s="43" t="s">
        <v>392</v>
      </c>
      <c r="S280" s="125">
        <v>41891</v>
      </c>
      <c r="T280" s="117">
        <v>42594</v>
      </c>
      <c r="V280" s="43" t="s">
        <v>317</v>
      </c>
      <c r="X280" s="43" t="s">
        <v>318</v>
      </c>
      <c r="Y280" s="43" t="s">
        <v>336</v>
      </c>
      <c r="Z280" s="43" t="s">
        <v>536</v>
      </c>
      <c r="AA280" s="43" t="s">
        <v>320</v>
      </c>
      <c r="AB280" s="144">
        <v>4.3000001460313797E-2</v>
      </c>
      <c r="AC280" s="125">
        <v>43683</v>
      </c>
      <c r="AD280" s="43" t="s">
        <v>329</v>
      </c>
      <c r="AF280" s="43" t="s">
        <v>54</v>
      </c>
      <c r="AG280" s="43" t="s">
        <v>831</v>
      </c>
      <c r="AH280" s="43" t="s">
        <v>1022</v>
      </c>
      <c r="AJ280" s="140">
        <v>0</v>
      </c>
      <c r="AK280" s="140">
        <v>0</v>
      </c>
      <c r="AL280" s="140">
        <v>0</v>
      </c>
      <c r="AM280" s="140">
        <v>0</v>
      </c>
      <c r="AN280" s="140">
        <v>0</v>
      </c>
      <c r="AO280" s="140">
        <v>3</v>
      </c>
      <c r="AP280" s="140">
        <v>3</v>
      </c>
      <c r="AQ280" s="140">
        <v>0</v>
      </c>
      <c r="AR280" s="140">
        <v>0</v>
      </c>
      <c r="AS280" s="140">
        <v>0</v>
      </c>
      <c r="AT280" s="140">
        <v>0</v>
      </c>
      <c r="AU280" s="140">
        <v>0</v>
      </c>
      <c r="AV280" s="140">
        <v>3</v>
      </c>
      <c r="AW280" s="140">
        <v>3</v>
      </c>
      <c r="AX280" s="140">
        <v>0</v>
      </c>
      <c r="AY280" s="140">
        <v>0</v>
      </c>
      <c r="AZ280" s="140">
        <v>0</v>
      </c>
      <c r="BA280" s="140">
        <v>0</v>
      </c>
      <c r="BB280" s="140">
        <v>0</v>
      </c>
      <c r="BC280" s="140">
        <v>0</v>
      </c>
      <c r="BD280" s="140">
        <v>0</v>
      </c>
      <c r="BE280" s="140">
        <v>0</v>
      </c>
      <c r="BF280" s="140">
        <v>0</v>
      </c>
      <c r="BG280" s="140">
        <v>0</v>
      </c>
      <c r="BH280" s="140">
        <v>0</v>
      </c>
      <c r="BI280" s="140">
        <v>0</v>
      </c>
      <c r="BJ280" s="140">
        <v>0</v>
      </c>
      <c r="BK280" s="140">
        <v>0</v>
      </c>
      <c r="BL280" s="140">
        <v>0</v>
      </c>
      <c r="BM280" s="140">
        <v>0</v>
      </c>
      <c r="BN280" s="140">
        <v>0</v>
      </c>
      <c r="BO280" s="140">
        <v>0</v>
      </c>
      <c r="BP280" s="43" t="s">
        <v>141</v>
      </c>
      <c r="BX280" s="43">
        <v>13</v>
      </c>
      <c r="BZ280" s="90">
        <f>M280</f>
        <v>6</v>
      </c>
      <c r="CT280" s="90">
        <f t="shared" si="19"/>
        <v>6</v>
      </c>
      <c r="CU280" s="90">
        <f t="shared" si="20"/>
        <v>6</v>
      </c>
    </row>
    <row r="281" spans="1:99" ht="12" customHeight="1">
      <c r="A281" s="43">
        <v>4482</v>
      </c>
      <c r="B281" s="89" t="s">
        <v>813</v>
      </c>
      <c r="C281" s="89" t="s">
        <v>1023</v>
      </c>
      <c r="D281" s="89" t="s">
        <v>1024</v>
      </c>
      <c r="F281" s="43">
        <v>525443</v>
      </c>
      <c r="G281" s="43">
        <v>175090</v>
      </c>
      <c r="H281" s="89" t="s">
        <v>178</v>
      </c>
      <c r="I281" s="125">
        <v>43009</v>
      </c>
      <c r="K281" s="140">
        <v>0</v>
      </c>
      <c r="L281" s="140">
        <v>80</v>
      </c>
      <c r="M281" s="140">
        <v>80</v>
      </c>
      <c r="N281" s="140">
        <v>109</v>
      </c>
      <c r="O281" s="140">
        <v>109</v>
      </c>
      <c r="P281" s="43" t="s">
        <v>329</v>
      </c>
      <c r="Q281" s="89" t="s">
        <v>1025</v>
      </c>
      <c r="R281" s="43" t="s">
        <v>392</v>
      </c>
      <c r="S281" s="125">
        <v>42668</v>
      </c>
      <c r="T281" s="117">
        <v>42985</v>
      </c>
      <c r="V281" s="43" t="s">
        <v>317</v>
      </c>
      <c r="X281" s="43" t="s">
        <v>318</v>
      </c>
      <c r="Y281" s="43" t="s">
        <v>361</v>
      </c>
      <c r="Z281" s="43" t="s">
        <v>361</v>
      </c>
      <c r="AA281" s="43" t="s">
        <v>320</v>
      </c>
      <c r="AB281" s="144">
        <v>0.14200000464916199</v>
      </c>
      <c r="AC281" s="125">
        <v>43009</v>
      </c>
      <c r="AF281" s="43" t="s">
        <v>75</v>
      </c>
      <c r="AG281" s="43" t="s">
        <v>322</v>
      </c>
      <c r="AH281" s="43" t="s">
        <v>1026</v>
      </c>
      <c r="AJ281" s="140">
        <v>80</v>
      </c>
      <c r="AK281" s="140">
        <v>75</v>
      </c>
      <c r="AL281" s="140">
        <v>0</v>
      </c>
      <c r="AM281" s="140">
        <v>5</v>
      </c>
      <c r="AN281" s="140">
        <v>0</v>
      </c>
      <c r="AO281" s="140">
        <v>6</v>
      </c>
      <c r="AP281" s="140">
        <v>64</v>
      </c>
      <c r="AQ281" s="140">
        <v>10</v>
      </c>
      <c r="AR281" s="140">
        <v>0</v>
      </c>
      <c r="AS281" s="140">
        <v>0</v>
      </c>
      <c r="AT281" s="140">
        <v>0</v>
      </c>
      <c r="AU281" s="140">
        <v>0</v>
      </c>
      <c r="AV281" s="140">
        <v>6</v>
      </c>
      <c r="AW281" s="140">
        <v>64</v>
      </c>
      <c r="AX281" s="140">
        <v>10</v>
      </c>
      <c r="AY281" s="140">
        <v>0</v>
      </c>
      <c r="AZ281" s="140">
        <v>0</v>
      </c>
      <c r="BA281" s="140">
        <v>0</v>
      </c>
      <c r="BB281" s="140">
        <v>0</v>
      </c>
      <c r="BC281" s="140">
        <v>0</v>
      </c>
      <c r="BD281" s="140">
        <v>0</v>
      </c>
      <c r="BE281" s="140">
        <v>0</v>
      </c>
      <c r="BF281" s="140">
        <v>0</v>
      </c>
      <c r="BG281" s="140">
        <v>0</v>
      </c>
      <c r="BH281" s="140">
        <v>0</v>
      </c>
      <c r="BI281" s="140">
        <v>0</v>
      </c>
      <c r="BJ281" s="140">
        <v>0</v>
      </c>
      <c r="BK281" s="140">
        <v>0</v>
      </c>
      <c r="BL281" s="140">
        <v>0</v>
      </c>
      <c r="BM281" s="140">
        <v>0</v>
      </c>
      <c r="BN281" s="140">
        <v>0</v>
      </c>
      <c r="BO281" s="140">
        <v>0</v>
      </c>
      <c r="BR281" s="43" t="s">
        <v>329</v>
      </c>
      <c r="BX281" s="43">
        <v>5</v>
      </c>
      <c r="CA281" s="90">
        <f t="shared" ref="CA281:CD282" si="22">$M281/4</f>
        <v>20</v>
      </c>
      <c r="CB281" s="90">
        <f t="shared" si="22"/>
        <v>20</v>
      </c>
      <c r="CC281" s="90">
        <f t="shared" si="22"/>
        <v>20</v>
      </c>
      <c r="CD281" s="90">
        <f t="shared" si="22"/>
        <v>20</v>
      </c>
      <c r="CT281" s="90">
        <f t="shared" si="19"/>
        <v>80</v>
      </c>
      <c r="CU281" s="90">
        <f t="shared" si="20"/>
        <v>80</v>
      </c>
    </row>
    <row r="282" spans="1:99" ht="12" customHeight="1">
      <c r="A282" s="43">
        <v>4482</v>
      </c>
      <c r="B282" s="89" t="s">
        <v>813</v>
      </c>
      <c r="C282" s="89" t="s">
        <v>1023</v>
      </c>
      <c r="D282" s="89" t="s">
        <v>1024</v>
      </c>
      <c r="F282" s="43">
        <v>525443</v>
      </c>
      <c r="G282" s="43">
        <v>175090</v>
      </c>
      <c r="H282" s="89" t="s">
        <v>178</v>
      </c>
      <c r="I282" s="125">
        <v>43009</v>
      </c>
      <c r="K282" s="140">
        <v>0</v>
      </c>
      <c r="L282" s="140">
        <v>29</v>
      </c>
      <c r="M282" s="140">
        <v>29</v>
      </c>
      <c r="N282" s="140">
        <v>109</v>
      </c>
      <c r="O282" s="140">
        <v>109</v>
      </c>
      <c r="P282" s="43" t="s">
        <v>329</v>
      </c>
      <c r="Q282" s="89" t="s">
        <v>1025</v>
      </c>
      <c r="R282" s="43" t="s">
        <v>392</v>
      </c>
      <c r="S282" s="125">
        <v>42668</v>
      </c>
      <c r="T282" s="117">
        <v>42985</v>
      </c>
      <c r="V282" s="43" t="s">
        <v>317</v>
      </c>
      <c r="X282" s="43" t="s">
        <v>318</v>
      </c>
      <c r="Y282" s="43" t="s">
        <v>361</v>
      </c>
      <c r="Z282" s="43" t="s">
        <v>361</v>
      </c>
      <c r="AA282" s="43" t="s">
        <v>320</v>
      </c>
      <c r="AB282" s="144">
        <v>9.4999998807907104E-2</v>
      </c>
      <c r="AC282" s="125">
        <v>43009</v>
      </c>
      <c r="AF282" s="43" t="s">
        <v>54</v>
      </c>
      <c r="AG282" s="43" t="s">
        <v>399</v>
      </c>
      <c r="AH282" s="43" t="s">
        <v>1026</v>
      </c>
      <c r="AJ282" s="140">
        <v>29</v>
      </c>
      <c r="AK282" s="140">
        <v>23</v>
      </c>
      <c r="AL282" s="140">
        <v>0</v>
      </c>
      <c r="AM282" s="140">
        <v>6</v>
      </c>
      <c r="AN282" s="140">
        <v>0</v>
      </c>
      <c r="AO282" s="140">
        <v>16</v>
      </c>
      <c r="AP282" s="140">
        <v>13</v>
      </c>
      <c r="AQ282" s="140">
        <v>0</v>
      </c>
      <c r="AR282" s="140">
        <v>0</v>
      </c>
      <c r="AS282" s="140">
        <v>0</v>
      </c>
      <c r="AT282" s="140">
        <v>0</v>
      </c>
      <c r="AU282" s="140">
        <v>0</v>
      </c>
      <c r="AV282" s="140">
        <v>16</v>
      </c>
      <c r="AW282" s="140">
        <v>13</v>
      </c>
      <c r="AX282" s="140">
        <v>0</v>
      </c>
      <c r="AY282" s="140">
        <v>0</v>
      </c>
      <c r="AZ282" s="140">
        <v>0</v>
      </c>
      <c r="BA282" s="140">
        <v>0</v>
      </c>
      <c r="BB282" s="140">
        <v>0</v>
      </c>
      <c r="BC282" s="140">
        <v>0</v>
      </c>
      <c r="BD282" s="140">
        <v>0</v>
      </c>
      <c r="BE282" s="140">
        <v>0</v>
      </c>
      <c r="BF282" s="140">
        <v>0</v>
      </c>
      <c r="BG282" s="140">
        <v>0</v>
      </c>
      <c r="BH282" s="140">
        <v>0</v>
      </c>
      <c r="BI282" s="140">
        <v>0</v>
      </c>
      <c r="BJ282" s="140">
        <v>0</v>
      </c>
      <c r="BK282" s="140">
        <v>0</v>
      </c>
      <c r="BL282" s="140">
        <v>0</v>
      </c>
      <c r="BM282" s="140">
        <v>0</v>
      </c>
      <c r="BN282" s="140">
        <v>0</v>
      </c>
      <c r="BO282" s="140">
        <v>0</v>
      </c>
      <c r="BR282" s="43" t="s">
        <v>329</v>
      </c>
      <c r="BX282" s="43">
        <v>5</v>
      </c>
      <c r="CA282" s="90">
        <f t="shared" si="22"/>
        <v>7.25</v>
      </c>
      <c r="CB282" s="90">
        <f t="shared" si="22"/>
        <v>7.25</v>
      </c>
      <c r="CC282" s="90">
        <f t="shared" si="22"/>
        <v>7.25</v>
      </c>
      <c r="CD282" s="90">
        <f t="shared" si="22"/>
        <v>7.25</v>
      </c>
      <c r="CT282" s="90">
        <f t="shared" si="19"/>
        <v>29</v>
      </c>
      <c r="CU282" s="90">
        <f t="shared" si="20"/>
        <v>29</v>
      </c>
    </row>
    <row r="283" spans="1:99" ht="12" customHeight="1">
      <c r="A283" s="43">
        <v>4513</v>
      </c>
      <c r="B283" s="89" t="s">
        <v>813</v>
      </c>
      <c r="C283" s="89" t="s">
        <v>1027</v>
      </c>
      <c r="D283" s="89" t="s">
        <v>1028</v>
      </c>
      <c r="F283" s="43">
        <v>525336</v>
      </c>
      <c r="G283" s="43">
        <v>175122</v>
      </c>
      <c r="H283" s="89" t="s">
        <v>178</v>
      </c>
      <c r="I283" s="125">
        <v>43836</v>
      </c>
      <c r="K283" s="140">
        <v>0</v>
      </c>
      <c r="L283" s="140">
        <v>93</v>
      </c>
      <c r="M283" s="140">
        <v>93</v>
      </c>
      <c r="N283" s="140">
        <v>168</v>
      </c>
      <c r="O283" s="140">
        <v>168</v>
      </c>
      <c r="P283" s="43" t="s">
        <v>329</v>
      </c>
      <c r="Q283" s="89" t="s">
        <v>1029</v>
      </c>
      <c r="R283" s="43" t="s">
        <v>392</v>
      </c>
      <c r="S283" s="125">
        <v>43312</v>
      </c>
      <c r="T283" s="117">
        <v>43756</v>
      </c>
      <c r="U283" s="43" t="s">
        <v>329</v>
      </c>
      <c r="V283" s="43" t="s">
        <v>317</v>
      </c>
      <c r="X283" s="43" t="s">
        <v>318</v>
      </c>
      <c r="Y283" s="43" t="s">
        <v>361</v>
      </c>
      <c r="Z283" s="43" t="s">
        <v>320</v>
      </c>
      <c r="AA283" s="43" t="s">
        <v>353</v>
      </c>
      <c r="AB283" s="144">
        <v>0.101000003516674</v>
      </c>
      <c r="AC283" s="125">
        <v>43836</v>
      </c>
      <c r="AD283" s="43" t="s">
        <v>329</v>
      </c>
      <c r="AF283" s="43" t="s">
        <v>54</v>
      </c>
      <c r="AG283" s="43" t="s">
        <v>399</v>
      </c>
      <c r="AH283" s="43" t="s">
        <v>1030</v>
      </c>
      <c r="AI283" s="43">
        <v>17320283</v>
      </c>
      <c r="AJ283" s="140">
        <v>0</v>
      </c>
      <c r="AK283" s="140">
        <v>84</v>
      </c>
      <c r="AL283" s="140">
        <v>0</v>
      </c>
      <c r="AM283" s="140">
        <v>9</v>
      </c>
      <c r="AN283" s="140">
        <v>0</v>
      </c>
      <c r="AO283" s="140">
        <v>17</v>
      </c>
      <c r="AP283" s="140">
        <v>68</v>
      </c>
      <c r="AQ283" s="140">
        <v>8</v>
      </c>
      <c r="AR283" s="140">
        <v>0</v>
      </c>
      <c r="AS283" s="140">
        <v>0</v>
      </c>
      <c r="AT283" s="140">
        <v>0</v>
      </c>
      <c r="AU283" s="140">
        <v>0</v>
      </c>
      <c r="AV283" s="140">
        <v>17</v>
      </c>
      <c r="AW283" s="140">
        <v>68</v>
      </c>
      <c r="AX283" s="140">
        <v>8</v>
      </c>
      <c r="AY283" s="140">
        <v>0</v>
      </c>
      <c r="AZ283" s="140">
        <v>0</v>
      </c>
      <c r="BA283" s="140">
        <v>0</v>
      </c>
      <c r="BB283" s="140">
        <v>0</v>
      </c>
      <c r="BC283" s="140">
        <v>0</v>
      </c>
      <c r="BD283" s="140">
        <v>0</v>
      </c>
      <c r="BE283" s="140">
        <v>0</v>
      </c>
      <c r="BF283" s="140">
        <v>0</v>
      </c>
      <c r="BG283" s="140">
        <v>0</v>
      </c>
      <c r="BH283" s="140">
        <v>0</v>
      </c>
      <c r="BI283" s="140">
        <v>0</v>
      </c>
      <c r="BJ283" s="140">
        <v>0</v>
      </c>
      <c r="BK283" s="140">
        <v>0</v>
      </c>
      <c r="BL283" s="140">
        <v>0</v>
      </c>
      <c r="BM283" s="140">
        <v>0</v>
      </c>
      <c r="BN283" s="140">
        <v>0</v>
      </c>
      <c r="BO283" s="140">
        <v>0</v>
      </c>
      <c r="BR283" s="43" t="s">
        <v>329</v>
      </c>
      <c r="BX283" s="43">
        <v>4</v>
      </c>
      <c r="CB283" s="90">
        <f>M283</f>
        <v>93</v>
      </c>
      <c r="CT283" s="90">
        <f t="shared" si="19"/>
        <v>93</v>
      </c>
      <c r="CU283" s="90">
        <f t="shared" si="20"/>
        <v>93</v>
      </c>
    </row>
    <row r="284" spans="1:99" ht="12" customHeight="1">
      <c r="A284" s="43">
        <v>4513</v>
      </c>
      <c r="B284" s="89" t="s">
        <v>813</v>
      </c>
      <c r="C284" s="89" t="s">
        <v>1027</v>
      </c>
      <c r="D284" s="89" t="s">
        <v>1028</v>
      </c>
      <c r="F284" s="43">
        <v>525336</v>
      </c>
      <c r="G284" s="43">
        <v>175122</v>
      </c>
      <c r="H284" s="89" t="s">
        <v>178</v>
      </c>
      <c r="I284" s="125">
        <v>43836</v>
      </c>
      <c r="K284" s="140">
        <v>0</v>
      </c>
      <c r="L284" s="140">
        <v>75</v>
      </c>
      <c r="M284" s="140">
        <v>75</v>
      </c>
      <c r="N284" s="140">
        <v>168</v>
      </c>
      <c r="O284" s="140">
        <v>168</v>
      </c>
      <c r="P284" s="43" t="s">
        <v>329</v>
      </c>
      <c r="Q284" s="89" t="s">
        <v>1029</v>
      </c>
      <c r="R284" s="43" t="s">
        <v>392</v>
      </c>
      <c r="S284" s="125">
        <v>43312</v>
      </c>
      <c r="T284" s="117">
        <v>43756</v>
      </c>
      <c r="U284" s="43" t="s">
        <v>329</v>
      </c>
      <c r="V284" s="43" t="s">
        <v>317</v>
      </c>
      <c r="X284" s="43" t="s">
        <v>318</v>
      </c>
      <c r="Y284" s="43" t="s">
        <v>361</v>
      </c>
      <c r="Z284" s="43" t="s">
        <v>361</v>
      </c>
      <c r="AA284" s="43" t="s">
        <v>320</v>
      </c>
      <c r="AB284" s="144">
        <v>8.2000002264976501E-2</v>
      </c>
      <c r="AC284" s="125">
        <v>43836</v>
      </c>
      <c r="AD284" s="43" t="s">
        <v>329</v>
      </c>
      <c r="AF284" s="43" t="s">
        <v>55</v>
      </c>
      <c r="AG284" s="43" t="s">
        <v>1031</v>
      </c>
      <c r="AH284" s="43" t="s">
        <v>1030</v>
      </c>
      <c r="AI284" s="43">
        <v>17320283</v>
      </c>
      <c r="AJ284" s="140">
        <v>0</v>
      </c>
      <c r="AK284" s="140">
        <v>68</v>
      </c>
      <c r="AL284" s="140">
        <v>0</v>
      </c>
      <c r="AM284" s="140">
        <v>8</v>
      </c>
      <c r="AN284" s="140">
        <v>0</v>
      </c>
      <c r="AO284" s="140">
        <v>20</v>
      </c>
      <c r="AP284" s="140">
        <v>43</v>
      </c>
      <c r="AQ284" s="140">
        <v>11</v>
      </c>
      <c r="AR284" s="140">
        <v>1</v>
      </c>
      <c r="AS284" s="140">
        <v>0</v>
      </c>
      <c r="AT284" s="140">
        <v>0</v>
      </c>
      <c r="AU284" s="140">
        <v>0</v>
      </c>
      <c r="AV284" s="140">
        <v>20</v>
      </c>
      <c r="AW284" s="140">
        <v>43</v>
      </c>
      <c r="AX284" s="140">
        <v>11</v>
      </c>
      <c r="AY284" s="140">
        <v>1</v>
      </c>
      <c r="AZ284" s="140">
        <v>0</v>
      </c>
      <c r="BA284" s="140">
        <v>0</v>
      </c>
      <c r="BB284" s="140">
        <v>0</v>
      </c>
      <c r="BC284" s="140">
        <v>0</v>
      </c>
      <c r="BD284" s="140">
        <v>0</v>
      </c>
      <c r="BE284" s="140">
        <v>0</v>
      </c>
      <c r="BF284" s="140">
        <v>0</v>
      </c>
      <c r="BG284" s="140">
        <v>0</v>
      </c>
      <c r="BH284" s="140">
        <v>0</v>
      </c>
      <c r="BI284" s="140">
        <v>0</v>
      </c>
      <c r="BJ284" s="140">
        <v>0</v>
      </c>
      <c r="BK284" s="140">
        <v>0</v>
      </c>
      <c r="BL284" s="140">
        <v>0</v>
      </c>
      <c r="BM284" s="140">
        <v>0</v>
      </c>
      <c r="BN284" s="140">
        <v>0</v>
      </c>
      <c r="BO284" s="140">
        <v>0</v>
      </c>
      <c r="BR284" s="43" t="s">
        <v>329</v>
      </c>
      <c r="BX284" s="43">
        <v>4</v>
      </c>
      <c r="CB284" s="90">
        <f>M284</f>
        <v>75</v>
      </c>
      <c r="CT284" s="90">
        <f t="shared" si="19"/>
        <v>75</v>
      </c>
      <c r="CU284" s="90">
        <f t="shared" si="20"/>
        <v>75</v>
      </c>
    </row>
    <row r="285" spans="1:99" ht="12" customHeight="1">
      <c r="A285" s="43">
        <v>4717</v>
      </c>
      <c r="B285" s="89" t="s">
        <v>813</v>
      </c>
      <c r="C285" s="89" t="s">
        <v>452</v>
      </c>
      <c r="D285" s="89" t="s">
        <v>453</v>
      </c>
      <c r="E285" s="89" t="s">
        <v>369</v>
      </c>
      <c r="F285" s="43">
        <v>525735</v>
      </c>
      <c r="G285" s="43">
        <v>174565</v>
      </c>
      <c r="H285" s="89" t="s">
        <v>170</v>
      </c>
      <c r="I285" s="125">
        <v>42522</v>
      </c>
      <c r="K285" s="140">
        <v>0</v>
      </c>
      <c r="L285" s="140">
        <v>106</v>
      </c>
      <c r="M285" s="140">
        <v>106</v>
      </c>
      <c r="N285" s="140">
        <v>201</v>
      </c>
      <c r="O285" s="140">
        <v>201</v>
      </c>
      <c r="P285" s="43" t="s">
        <v>329</v>
      </c>
      <c r="Q285" s="89" t="s">
        <v>455</v>
      </c>
      <c r="R285" s="43" t="s">
        <v>392</v>
      </c>
      <c r="S285" s="125">
        <v>41920</v>
      </c>
      <c r="T285" s="117">
        <v>42193</v>
      </c>
      <c r="V285" s="43" t="s">
        <v>317</v>
      </c>
      <c r="X285" s="43" t="s">
        <v>318</v>
      </c>
      <c r="Y285" s="43" t="s">
        <v>361</v>
      </c>
      <c r="Z285" s="43" t="s">
        <v>361</v>
      </c>
      <c r="AA285" s="43" t="s">
        <v>320</v>
      </c>
      <c r="AB285" s="144">
        <v>0.29100000858306901</v>
      </c>
      <c r="AC285" s="125">
        <v>42522</v>
      </c>
      <c r="AF285" s="43" t="s">
        <v>75</v>
      </c>
      <c r="AG285" s="43" t="s">
        <v>322</v>
      </c>
      <c r="AH285" s="43" t="s">
        <v>456</v>
      </c>
      <c r="AJ285" s="140">
        <v>106</v>
      </c>
      <c r="AK285" s="140">
        <v>0</v>
      </c>
      <c r="AL285" s="140">
        <v>0</v>
      </c>
      <c r="AM285" s="140">
        <v>12</v>
      </c>
      <c r="AN285" s="140">
        <v>0</v>
      </c>
      <c r="AO285" s="140">
        <v>15</v>
      </c>
      <c r="AP285" s="140">
        <v>84</v>
      </c>
      <c r="AQ285" s="140">
        <v>7</v>
      </c>
      <c r="AR285" s="140">
        <v>0</v>
      </c>
      <c r="AS285" s="140">
        <v>0</v>
      </c>
      <c r="AT285" s="140">
        <v>0</v>
      </c>
      <c r="AU285" s="140">
        <v>0</v>
      </c>
      <c r="AV285" s="140">
        <v>15</v>
      </c>
      <c r="AW285" s="140">
        <v>84</v>
      </c>
      <c r="AX285" s="140">
        <v>7</v>
      </c>
      <c r="AY285" s="140">
        <v>0</v>
      </c>
      <c r="AZ285" s="140">
        <v>0</v>
      </c>
      <c r="BA285" s="140">
        <v>0</v>
      </c>
      <c r="BB285" s="140">
        <v>0</v>
      </c>
      <c r="BC285" s="140">
        <v>0</v>
      </c>
      <c r="BD285" s="140">
        <v>0</v>
      </c>
      <c r="BE285" s="140">
        <v>0</v>
      </c>
      <c r="BF285" s="140">
        <v>0</v>
      </c>
      <c r="BG285" s="140">
        <v>0</v>
      </c>
      <c r="BH285" s="140">
        <v>0</v>
      </c>
      <c r="BI285" s="140">
        <v>0</v>
      </c>
      <c r="BJ285" s="140">
        <v>0</v>
      </c>
      <c r="BK285" s="140">
        <v>0</v>
      </c>
      <c r="BL285" s="140">
        <v>0</v>
      </c>
      <c r="BM285" s="140">
        <v>0</v>
      </c>
      <c r="BN285" s="140">
        <v>0</v>
      </c>
      <c r="BO285" s="140">
        <v>0</v>
      </c>
      <c r="BP285" s="43" t="s">
        <v>142</v>
      </c>
      <c r="BR285" s="43" t="s">
        <v>329</v>
      </c>
      <c r="BX285" s="43">
        <v>4</v>
      </c>
      <c r="BZ285" s="90">
        <f>M285</f>
        <v>106</v>
      </c>
      <c r="CT285" s="90">
        <f t="shared" si="19"/>
        <v>106</v>
      </c>
      <c r="CU285" s="90">
        <f t="shared" si="20"/>
        <v>106</v>
      </c>
    </row>
    <row r="286" spans="1:99" ht="12" customHeight="1">
      <c r="A286" s="43">
        <v>4718</v>
      </c>
      <c r="B286" s="89" t="s">
        <v>813</v>
      </c>
      <c r="C286" s="89" t="s">
        <v>1032</v>
      </c>
      <c r="D286" s="89" t="s">
        <v>463</v>
      </c>
      <c r="E286" s="89" t="s">
        <v>1033</v>
      </c>
      <c r="F286" s="43">
        <v>529643</v>
      </c>
      <c r="G286" s="43">
        <v>177593</v>
      </c>
      <c r="H286" s="89" t="s">
        <v>148</v>
      </c>
      <c r="I286" s="125">
        <v>42614</v>
      </c>
      <c r="K286" s="140">
        <v>0</v>
      </c>
      <c r="L286" s="140">
        <v>313</v>
      </c>
      <c r="M286" s="140">
        <v>313</v>
      </c>
      <c r="N286" s="140">
        <v>313</v>
      </c>
      <c r="O286" s="140">
        <v>313</v>
      </c>
      <c r="P286" s="43" t="s">
        <v>329</v>
      </c>
      <c r="Q286" s="89" t="s">
        <v>1034</v>
      </c>
      <c r="R286" s="43" t="s">
        <v>466</v>
      </c>
      <c r="S286" s="125">
        <v>43104</v>
      </c>
      <c r="T286" s="117">
        <v>43398</v>
      </c>
      <c r="V286" s="43" t="s">
        <v>317</v>
      </c>
      <c r="X286" s="43" t="s">
        <v>318</v>
      </c>
      <c r="Y286" s="43" t="s">
        <v>361</v>
      </c>
      <c r="Z286" s="43" t="s">
        <v>361</v>
      </c>
      <c r="AA286" s="43" t="s">
        <v>320</v>
      </c>
      <c r="AB286" s="144">
        <v>0.44220000505447399</v>
      </c>
      <c r="AC286" s="125">
        <v>42614</v>
      </c>
      <c r="AF286" s="43" t="s">
        <v>75</v>
      </c>
      <c r="AG286" s="43" t="s">
        <v>322</v>
      </c>
      <c r="AH286" s="43" t="s">
        <v>467</v>
      </c>
      <c r="AJ286" s="140">
        <v>313</v>
      </c>
      <c r="AK286" s="140">
        <v>0</v>
      </c>
      <c r="AL286" s="140">
        <v>0</v>
      </c>
      <c r="AM286" s="140">
        <v>0</v>
      </c>
      <c r="AN286" s="140">
        <v>11</v>
      </c>
      <c r="AO286" s="140">
        <v>75</v>
      </c>
      <c r="AP286" s="140">
        <v>190</v>
      </c>
      <c r="AQ286" s="140">
        <v>37</v>
      </c>
      <c r="AR286" s="140">
        <v>0</v>
      </c>
      <c r="AS286" s="140">
        <v>0</v>
      </c>
      <c r="AT286" s="140">
        <v>0</v>
      </c>
      <c r="AU286" s="140">
        <v>11</v>
      </c>
      <c r="AV286" s="140">
        <v>75</v>
      </c>
      <c r="AW286" s="140">
        <v>190</v>
      </c>
      <c r="AX286" s="140">
        <v>37</v>
      </c>
      <c r="AY286" s="140">
        <v>0</v>
      </c>
      <c r="AZ286" s="140">
        <v>0</v>
      </c>
      <c r="BA286" s="140">
        <v>0</v>
      </c>
      <c r="BB286" s="140">
        <v>0</v>
      </c>
      <c r="BC286" s="140">
        <v>0</v>
      </c>
      <c r="BD286" s="140">
        <v>0</v>
      </c>
      <c r="BE286" s="140">
        <v>0</v>
      </c>
      <c r="BF286" s="140">
        <v>0</v>
      </c>
      <c r="BG286" s="140">
        <v>0</v>
      </c>
      <c r="BH286" s="140">
        <v>0</v>
      </c>
      <c r="BI286" s="140">
        <v>0</v>
      </c>
      <c r="BJ286" s="140">
        <v>0</v>
      </c>
      <c r="BK286" s="140">
        <v>0</v>
      </c>
      <c r="BL286" s="140">
        <v>0</v>
      </c>
      <c r="BM286" s="140">
        <v>0</v>
      </c>
      <c r="BN286" s="140">
        <v>0</v>
      </c>
      <c r="BO286" s="140">
        <v>0</v>
      </c>
      <c r="BQ286" s="43" t="s">
        <v>329</v>
      </c>
      <c r="BX286" s="43">
        <v>21</v>
      </c>
      <c r="BZ286" s="90">
        <f>M286</f>
        <v>313</v>
      </c>
      <c r="CT286" s="90">
        <f t="shared" si="19"/>
        <v>313</v>
      </c>
      <c r="CU286" s="90">
        <f t="shared" si="20"/>
        <v>313</v>
      </c>
    </row>
    <row r="287" spans="1:99" ht="12" customHeight="1">
      <c r="A287" s="43">
        <v>4718</v>
      </c>
      <c r="B287" s="89" t="s">
        <v>813</v>
      </c>
      <c r="C287" s="89" t="s">
        <v>462</v>
      </c>
      <c r="D287" s="89" t="s">
        <v>463</v>
      </c>
      <c r="E287" s="89" t="s">
        <v>464</v>
      </c>
      <c r="F287" s="43">
        <v>529643</v>
      </c>
      <c r="G287" s="43">
        <v>177593</v>
      </c>
      <c r="H287" s="89" t="s">
        <v>148</v>
      </c>
      <c r="I287" s="125">
        <v>42614</v>
      </c>
      <c r="K287" s="140">
        <v>0</v>
      </c>
      <c r="L287" s="140">
        <v>253</v>
      </c>
      <c r="M287" s="140">
        <v>253</v>
      </c>
      <c r="N287" s="140">
        <v>336</v>
      </c>
      <c r="O287" s="140">
        <v>336</v>
      </c>
      <c r="P287" s="43" t="s">
        <v>329</v>
      </c>
      <c r="Q287" s="89" t="s">
        <v>465</v>
      </c>
      <c r="R287" s="43" t="s">
        <v>466</v>
      </c>
      <c r="S287" s="125">
        <v>43502</v>
      </c>
      <c r="T287" s="117">
        <v>43567</v>
      </c>
      <c r="U287" s="43" t="s">
        <v>329</v>
      </c>
      <c r="V287" s="43" t="s">
        <v>317</v>
      </c>
      <c r="X287" s="43" t="s">
        <v>318</v>
      </c>
      <c r="Y287" s="43" t="s">
        <v>361</v>
      </c>
      <c r="Z287" s="43" t="s">
        <v>361</v>
      </c>
      <c r="AA287" s="43" t="s">
        <v>320</v>
      </c>
      <c r="AB287" s="144">
        <v>0.33799999952316301</v>
      </c>
      <c r="AC287" s="125">
        <v>42614</v>
      </c>
      <c r="AF287" s="43" t="s">
        <v>75</v>
      </c>
      <c r="AG287" s="43" t="s">
        <v>322</v>
      </c>
      <c r="AH287" s="43" t="s">
        <v>467</v>
      </c>
      <c r="AJ287" s="140">
        <v>0</v>
      </c>
      <c r="AK287" s="140">
        <v>0</v>
      </c>
      <c r="AL287" s="140">
        <v>0</v>
      </c>
      <c r="AM287" s="140">
        <v>0</v>
      </c>
      <c r="AN287" s="140">
        <v>0</v>
      </c>
      <c r="AO287" s="140">
        <v>21</v>
      </c>
      <c r="AP287" s="140">
        <v>48</v>
      </c>
      <c r="AQ287" s="140">
        <v>160</v>
      </c>
      <c r="AR287" s="140">
        <v>23</v>
      </c>
      <c r="AS287" s="140">
        <v>1</v>
      </c>
      <c r="AT287" s="140">
        <v>0</v>
      </c>
      <c r="AU287" s="140">
        <v>0</v>
      </c>
      <c r="AV287" s="140">
        <v>21</v>
      </c>
      <c r="AW287" s="140">
        <v>48</v>
      </c>
      <c r="AX287" s="140">
        <v>160</v>
      </c>
      <c r="AY287" s="140">
        <v>23</v>
      </c>
      <c r="AZ287" s="140">
        <v>1</v>
      </c>
      <c r="BA287" s="140">
        <v>0</v>
      </c>
      <c r="BB287" s="140">
        <v>0</v>
      </c>
      <c r="BC287" s="140">
        <v>0</v>
      </c>
      <c r="BD287" s="140">
        <v>0</v>
      </c>
      <c r="BE287" s="140">
        <v>0</v>
      </c>
      <c r="BF287" s="140">
        <v>0</v>
      </c>
      <c r="BG287" s="140">
        <v>0</v>
      </c>
      <c r="BH287" s="140">
        <v>0</v>
      </c>
      <c r="BI287" s="140">
        <v>0</v>
      </c>
      <c r="BJ287" s="140">
        <v>0</v>
      </c>
      <c r="BK287" s="140">
        <v>0</v>
      </c>
      <c r="BL287" s="140">
        <v>0</v>
      </c>
      <c r="BM287" s="140">
        <v>0</v>
      </c>
      <c r="BN287" s="140">
        <v>0</v>
      </c>
      <c r="BO287" s="140">
        <v>0</v>
      </c>
      <c r="BQ287" s="43" t="s">
        <v>329</v>
      </c>
      <c r="BX287" s="43">
        <v>21</v>
      </c>
      <c r="BZ287" s="90">
        <f>M287</f>
        <v>253</v>
      </c>
      <c r="CT287" s="90">
        <f t="shared" si="19"/>
        <v>253</v>
      </c>
      <c r="CU287" s="90">
        <f t="shared" si="20"/>
        <v>253</v>
      </c>
    </row>
    <row r="288" spans="1:99" ht="12" customHeight="1">
      <c r="A288" s="43">
        <v>4735</v>
      </c>
      <c r="B288" s="89" t="s">
        <v>813</v>
      </c>
      <c r="C288" s="89" t="s">
        <v>1035</v>
      </c>
      <c r="D288" s="89" t="s">
        <v>1036</v>
      </c>
      <c r="F288" s="43">
        <v>529233</v>
      </c>
      <c r="G288" s="43">
        <v>171130</v>
      </c>
      <c r="H288" s="89" t="s">
        <v>171</v>
      </c>
      <c r="I288" s="125">
        <v>43872</v>
      </c>
      <c r="K288" s="140">
        <v>0</v>
      </c>
      <c r="L288" s="140">
        <v>1</v>
      </c>
      <c r="M288" s="140">
        <v>1</v>
      </c>
      <c r="N288" s="140">
        <v>1</v>
      </c>
      <c r="O288" s="140">
        <v>1</v>
      </c>
      <c r="Q288" s="89" t="s">
        <v>1037</v>
      </c>
      <c r="R288" s="43" t="s">
        <v>316</v>
      </c>
      <c r="S288" s="125">
        <v>43661</v>
      </c>
      <c r="T288" s="117">
        <v>43696</v>
      </c>
      <c r="U288" s="43" t="s">
        <v>329</v>
      </c>
      <c r="V288" s="43" t="s">
        <v>317</v>
      </c>
      <c r="X288" s="43" t="s">
        <v>318</v>
      </c>
      <c r="Y288" s="43" t="s">
        <v>336</v>
      </c>
      <c r="Z288" s="43" t="s">
        <v>320</v>
      </c>
      <c r="AA288" s="43" t="s">
        <v>33</v>
      </c>
      <c r="AB288" s="144">
        <v>2.0000000949949E-3</v>
      </c>
      <c r="AC288" s="125">
        <v>43872</v>
      </c>
      <c r="AD288" s="43" t="s">
        <v>329</v>
      </c>
      <c r="AF288" s="43" t="s">
        <v>75</v>
      </c>
      <c r="AG288" s="43" t="s">
        <v>322</v>
      </c>
      <c r="AJ288" s="140">
        <v>0</v>
      </c>
      <c r="AK288" s="140">
        <v>0</v>
      </c>
      <c r="AL288" s="140">
        <v>0</v>
      </c>
      <c r="AM288" s="140">
        <v>0</v>
      </c>
      <c r="AN288" s="140">
        <v>0</v>
      </c>
      <c r="AO288" s="140">
        <v>1</v>
      </c>
      <c r="AP288" s="140">
        <v>0</v>
      </c>
      <c r="AQ288" s="140">
        <v>0</v>
      </c>
      <c r="AR288" s="140">
        <v>0</v>
      </c>
      <c r="AS288" s="140">
        <v>0</v>
      </c>
      <c r="AT288" s="140">
        <v>0</v>
      </c>
      <c r="AU288" s="140">
        <v>0</v>
      </c>
      <c r="AV288" s="140">
        <v>0</v>
      </c>
      <c r="AW288" s="140">
        <v>0</v>
      </c>
      <c r="AX288" s="140">
        <v>0</v>
      </c>
      <c r="AY288" s="140">
        <v>0</v>
      </c>
      <c r="AZ288" s="140">
        <v>0</v>
      </c>
      <c r="BA288" s="140">
        <v>0</v>
      </c>
      <c r="BB288" s="140">
        <v>0</v>
      </c>
      <c r="BC288" s="140">
        <v>1</v>
      </c>
      <c r="BD288" s="140">
        <v>0</v>
      </c>
      <c r="BE288" s="140">
        <v>0</v>
      </c>
      <c r="BF288" s="140">
        <v>0</v>
      </c>
      <c r="BG288" s="140">
        <v>0</v>
      </c>
      <c r="BH288" s="140">
        <v>0</v>
      </c>
      <c r="BI288" s="140">
        <v>0</v>
      </c>
      <c r="BJ288" s="140">
        <v>0</v>
      </c>
      <c r="BK288" s="140">
        <v>0</v>
      </c>
      <c r="BL288" s="140">
        <v>0</v>
      </c>
      <c r="BM288" s="140">
        <v>0</v>
      </c>
      <c r="BN288" s="140">
        <v>0</v>
      </c>
      <c r="BO288" s="140">
        <v>0</v>
      </c>
      <c r="BX288" s="43">
        <v>14</v>
      </c>
      <c r="BZ288" s="90">
        <f>$M288/2</f>
        <v>0.5</v>
      </c>
      <c r="CA288" s="90">
        <f>$M288/2</f>
        <v>0.5</v>
      </c>
      <c r="CT288" s="90">
        <f t="shared" si="19"/>
        <v>1</v>
      </c>
      <c r="CU288" s="90">
        <f t="shared" si="20"/>
        <v>1</v>
      </c>
    </row>
    <row r="289" spans="1:99" ht="12" customHeight="1">
      <c r="A289" s="43">
        <v>4775</v>
      </c>
      <c r="B289" s="89" t="s">
        <v>813</v>
      </c>
      <c r="C289" s="89" t="s">
        <v>1038</v>
      </c>
      <c r="D289" s="89" t="s">
        <v>1039</v>
      </c>
      <c r="F289" s="43">
        <v>521333</v>
      </c>
      <c r="G289" s="43">
        <v>174425</v>
      </c>
      <c r="H289" s="89" t="s">
        <v>149</v>
      </c>
      <c r="K289" s="140">
        <v>3</v>
      </c>
      <c r="L289" s="140">
        <v>6</v>
      </c>
      <c r="M289" s="140">
        <v>3</v>
      </c>
      <c r="N289" s="140">
        <v>6</v>
      </c>
      <c r="O289" s="140">
        <v>3</v>
      </c>
      <c r="Q289" s="89" t="s">
        <v>1040</v>
      </c>
      <c r="R289" s="43" t="s">
        <v>316</v>
      </c>
      <c r="S289" s="125">
        <v>43082</v>
      </c>
      <c r="T289" s="117">
        <v>43209</v>
      </c>
      <c r="V289" s="43" t="s">
        <v>317</v>
      </c>
      <c r="X289" s="43" t="s">
        <v>318</v>
      </c>
      <c r="Y289" s="43" t="s">
        <v>319</v>
      </c>
      <c r="Z289" s="43" t="s">
        <v>320</v>
      </c>
      <c r="AA289" s="43" t="s">
        <v>353</v>
      </c>
      <c r="AB289" s="144">
        <v>0.112999998033047</v>
      </c>
      <c r="AC289" s="125">
        <v>43555</v>
      </c>
      <c r="AF289" s="43" t="s">
        <v>75</v>
      </c>
      <c r="AG289" s="43" t="s">
        <v>322</v>
      </c>
      <c r="AJ289" s="140">
        <v>0</v>
      </c>
      <c r="AK289" s="140">
        <v>0</v>
      </c>
      <c r="AL289" s="140">
        <v>0</v>
      </c>
      <c r="AM289" s="140">
        <v>0</v>
      </c>
      <c r="AN289" s="140">
        <v>0</v>
      </c>
      <c r="AO289" s="140">
        <v>1</v>
      </c>
      <c r="AP289" s="140">
        <v>1</v>
      </c>
      <c r="AQ289" s="140">
        <v>1</v>
      </c>
      <c r="AR289" s="140">
        <v>0</v>
      </c>
      <c r="AS289" s="140">
        <v>0</v>
      </c>
      <c r="AT289" s="140">
        <v>0</v>
      </c>
      <c r="AU289" s="140">
        <v>0</v>
      </c>
      <c r="AV289" s="140">
        <v>0</v>
      </c>
      <c r="AW289" s="140">
        <v>0</v>
      </c>
      <c r="AX289" s="140">
        <v>0</v>
      </c>
      <c r="AY289" s="140">
        <v>0</v>
      </c>
      <c r="AZ289" s="140">
        <v>0</v>
      </c>
      <c r="BA289" s="140">
        <v>0</v>
      </c>
      <c r="BB289" s="140">
        <v>0</v>
      </c>
      <c r="BC289" s="140">
        <v>1</v>
      </c>
      <c r="BD289" s="140">
        <v>1</v>
      </c>
      <c r="BE289" s="140">
        <v>1</v>
      </c>
      <c r="BF289" s="140">
        <v>0</v>
      </c>
      <c r="BG289" s="140">
        <v>0</v>
      </c>
      <c r="BH289" s="140">
        <v>0</v>
      </c>
      <c r="BI289" s="140">
        <v>0</v>
      </c>
      <c r="BJ289" s="140">
        <v>0</v>
      </c>
      <c r="BK289" s="140">
        <v>0</v>
      </c>
      <c r="BL289" s="140">
        <v>0</v>
      </c>
      <c r="BM289" s="140">
        <v>0</v>
      </c>
      <c r="BN289" s="140">
        <v>0</v>
      </c>
      <c r="BO289" s="140">
        <v>0</v>
      </c>
      <c r="BX289" s="43">
        <v>16</v>
      </c>
      <c r="CA289" s="90">
        <f>M289</f>
        <v>3</v>
      </c>
      <c r="CT289" s="90">
        <f t="shared" si="19"/>
        <v>3</v>
      </c>
      <c r="CU289" s="90">
        <f t="shared" si="20"/>
        <v>3</v>
      </c>
    </row>
    <row r="290" spans="1:99" ht="12" customHeight="1">
      <c r="A290" s="43">
        <v>4801</v>
      </c>
      <c r="B290" s="89" t="s">
        <v>813</v>
      </c>
      <c r="C290" s="89" t="s">
        <v>1041</v>
      </c>
      <c r="D290" s="89" t="s">
        <v>1042</v>
      </c>
      <c r="F290" s="43">
        <v>529529</v>
      </c>
      <c r="G290" s="43">
        <v>176787</v>
      </c>
      <c r="H290" s="89" t="s">
        <v>148</v>
      </c>
      <c r="I290" s="125">
        <v>42094</v>
      </c>
      <c r="K290" s="140">
        <v>0</v>
      </c>
      <c r="L290" s="140">
        <v>15</v>
      </c>
      <c r="M290" s="140">
        <v>15</v>
      </c>
      <c r="N290" s="140">
        <v>15</v>
      </c>
      <c r="O290" s="140">
        <v>15</v>
      </c>
      <c r="P290" s="43" t="s">
        <v>329</v>
      </c>
      <c r="Q290" s="89" t="s">
        <v>1043</v>
      </c>
      <c r="R290" s="43" t="s">
        <v>316</v>
      </c>
      <c r="S290" s="125">
        <v>41872</v>
      </c>
      <c r="T290" s="117">
        <v>41953</v>
      </c>
      <c r="V290" s="43" t="s">
        <v>317</v>
      </c>
      <c r="X290" s="43" t="s">
        <v>318</v>
      </c>
      <c r="Y290" s="43" t="s">
        <v>336</v>
      </c>
      <c r="Z290" s="43" t="s">
        <v>536</v>
      </c>
      <c r="AA290" s="43" t="s">
        <v>320</v>
      </c>
      <c r="AB290" s="144">
        <v>0.15099999308586101</v>
      </c>
      <c r="AC290" s="125">
        <v>42094</v>
      </c>
      <c r="AF290" s="43" t="s">
        <v>55</v>
      </c>
      <c r="AG290" s="43" t="s">
        <v>438</v>
      </c>
      <c r="AJ290" s="140">
        <v>15</v>
      </c>
      <c r="AK290" s="140">
        <v>0</v>
      </c>
      <c r="AL290" s="140">
        <v>2</v>
      </c>
      <c r="AM290" s="140">
        <v>0</v>
      </c>
      <c r="AN290" s="140">
        <v>0</v>
      </c>
      <c r="AO290" s="140">
        <v>1</v>
      </c>
      <c r="AP290" s="140">
        <v>7</v>
      </c>
      <c r="AQ290" s="140">
        <v>3</v>
      </c>
      <c r="AR290" s="140">
        <v>4</v>
      </c>
      <c r="AS290" s="140">
        <v>0</v>
      </c>
      <c r="AT290" s="140">
        <v>0</v>
      </c>
      <c r="AU290" s="140">
        <v>0</v>
      </c>
      <c r="AV290" s="140">
        <v>1</v>
      </c>
      <c r="AW290" s="140">
        <v>7</v>
      </c>
      <c r="AX290" s="140">
        <v>0</v>
      </c>
      <c r="AY290" s="140">
        <v>0</v>
      </c>
      <c r="AZ290" s="140">
        <v>0</v>
      </c>
      <c r="BA290" s="140">
        <v>0</v>
      </c>
      <c r="BB290" s="140">
        <v>0</v>
      </c>
      <c r="BC290" s="140">
        <v>0</v>
      </c>
      <c r="BD290" s="140">
        <v>0</v>
      </c>
      <c r="BE290" s="140">
        <v>3</v>
      </c>
      <c r="BF290" s="140">
        <v>4</v>
      </c>
      <c r="BG290" s="140">
        <v>0</v>
      </c>
      <c r="BH290" s="140">
        <v>0</v>
      </c>
      <c r="BI290" s="140">
        <v>0</v>
      </c>
      <c r="BJ290" s="140">
        <v>0</v>
      </c>
      <c r="BK290" s="140">
        <v>0</v>
      </c>
      <c r="BL290" s="140">
        <v>0</v>
      </c>
      <c r="BM290" s="140">
        <v>0</v>
      </c>
      <c r="BN290" s="140">
        <v>0</v>
      </c>
      <c r="BO290" s="140">
        <v>0</v>
      </c>
      <c r="BQ290" s="43" t="s">
        <v>329</v>
      </c>
      <c r="BX290" s="43">
        <v>21</v>
      </c>
      <c r="BZ290" s="90">
        <f>M290</f>
        <v>15</v>
      </c>
      <c r="CT290" s="90">
        <f t="shared" si="19"/>
        <v>15</v>
      </c>
      <c r="CU290" s="90">
        <f t="shared" si="20"/>
        <v>15</v>
      </c>
    </row>
    <row r="291" spans="1:99" ht="12" customHeight="1">
      <c r="A291" s="43">
        <v>4864</v>
      </c>
      <c r="B291" s="89" t="s">
        <v>813</v>
      </c>
      <c r="C291" s="89" t="s">
        <v>1044</v>
      </c>
      <c r="D291" s="89" t="s">
        <v>1045</v>
      </c>
      <c r="F291" s="43">
        <v>527602</v>
      </c>
      <c r="G291" s="43">
        <v>175480</v>
      </c>
      <c r="H291" s="89" t="s">
        <v>175</v>
      </c>
      <c r="I291" s="125">
        <v>43860</v>
      </c>
      <c r="K291" s="140">
        <v>0</v>
      </c>
      <c r="L291" s="140">
        <v>1</v>
      </c>
      <c r="M291" s="140">
        <v>1</v>
      </c>
      <c r="N291" s="140">
        <v>1</v>
      </c>
      <c r="O291" s="140">
        <v>1</v>
      </c>
      <c r="Q291" s="89" t="s">
        <v>1046</v>
      </c>
      <c r="R291" s="43" t="s">
        <v>443</v>
      </c>
      <c r="S291" s="125">
        <v>43635</v>
      </c>
      <c r="T291" s="117">
        <v>43682</v>
      </c>
      <c r="U291" s="43" t="s">
        <v>329</v>
      </c>
      <c r="V291" s="43" t="s">
        <v>317</v>
      </c>
      <c r="X291" s="43" t="s">
        <v>318</v>
      </c>
      <c r="Y291" s="43" t="s">
        <v>336</v>
      </c>
      <c r="Z291" s="43" t="s">
        <v>320</v>
      </c>
      <c r="AA291" s="43" t="s">
        <v>33</v>
      </c>
      <c r="AB291" s="144">
        <v>1.4999999664723899E-2</v>
      </c>
      <c r="AC291" s="125">
        <v>43860</v>
      </c>
      <c r="AD291" s="43" t="s">
        <v>329</v>
      </c>
      <c r="AF291" s="43" t="s">
        <v>75</v>
      </c>
      <c r="AG291" s="43" t="s">
        <v>322</v>
      </c>
      <c r="AJ291" s="140">
        <v>0</v>
      </c>
      <c r="AK291" s="140">
        <v>0</v>
      </c>
      <c r="AL291" s="140">
        <v>0</v>
      </c>
      <c r="AM291" s="140">
        <v>0</v>
      </c>
      <c r="AN291" s="140">
        <v>0</v>
      </c>
      <c r="AO291" s="140">
        <v>0</v>
      </c>
      <c r="AP291" s="140">
        <v>0</v>
      </c>
      <c r="AQ291" s="140">
        <v>0</v>
      </c>
      <c r="AR291" s="140">
        <v>0</v>
      </c>
      <c r="AS291" s="140">
        <v>1</v>
      </c>
      <c r="AT291" s="140">
        <v>0</v>
      </c>
      <c r="AU291" s="140">
        <v>0</v>
      </c>
      <c r="AV291" s="140">
        <v>0</v>
      </c>
      <c r="AW291" s="140">
        <v>0</v>
      </c>
      <c r="AX291" s="140">
        <v>0</v>
      </c>
      <c r="AY291" s="140">
        <v>0</v>
      </c>
      <c r="AZ291" s="140">
        <v>0</v>
      </c>
      <c r="BA291" s="140">
        <v>0</v>
      </c>
      <c r="BB291" s="140">
        <v>0</v>
      </c>
      <c r="BC291" s="140">
        <v>0</v>
      </c>
      <c r="BD291" s="140">
        <v>0</v>
      </c>
      <c r="BE291" s="140">
        <v>0</v>
      </c>
      <c r="BF291" s="140">
        <v>0</v>
      </c>
      <c r="BG291" s="140">
        <v>1</v>
      </c>
      <c r="BH291" s="140">
        <v>0</v>
      </c>
      <c r="BI291" s="140">
        <v>0</v>
      </c>
      <c r="BJ291" s="140">
        <v>0</v>
      </c>
      <c r="BK291" s="140">
        <v>0</v>
      </c>
      <c r="BL291" s="140">
        <v>0</v>
      </c>
      <c r="BM291" s="140">
        <v>0</v>
      </c>
      <c r="BN291" s="140">
        <v>0</v>
      </c>
      <c r="BO291" s="140">
        <v>0</v>
      </c>
      <c r="BP291" s="43" t="s">
        <v>139</v>
      </c>
      <c r="BX291" s="43">
        <v>14</v>
      </c>
      <c r="BZ291" s="90">
        <f>$M291/2</f>
        <v>0.5</v>
      </c>
      <c r="CA291" s="90">
        <f>$M291/2</f>
        <v>0.5</v>
      </c>
      <c r="CT291" s="90">
        <f t="shared" si="19"/>
        <v>1</v>
      </c>
      <c r="CU291" s="90">
        <f t="shared" si="20"/>
        <v>1</v>
      </c>
    </row>
    <row r="292" spans="1:99" ht="12" customHeight="1">
      <c r="A292" s="43">
        <v>4865</v>
      </c>
      <c r="B292" s="89" t="s">
        <v>813</v>
      </c>
      <c r="C292" s="89" t="s">
        <v>1047</v>
      </c>
      <c r="D292" s="89" t="s">
        <v>1048</v>
      </c>
      <c r="F292" s="43">
        <v>523686</v>
      </c>
      <c r="G292" s="43">
        <v>173656</v>
      </c>
      <c r="H292" s="89" t="s">
        <v>180</v>
      </c>
      <c r="I292" s="125">
        <v>43921</v>
      </c>
      <c r="K292" s="140">
        <v>1</v>
      </c>
      <c r="L292" s="140">
        <v>2</v>
      </c>
      <c r="M292" s="140">
        <v>1</v>
      </c>
      <c r="N292" s="140">
        <v>2</v>
      </c>
      <c r="O292" s="140">
        <v>1</v>
      </c>
      <c r="Q292" s="89" t="s">
        <v>1049</v>
      </c>
      <c r="R292" s="43" t="s">
        <v>316</v>
      </c>
      <c r="S292" s="125">
        <v>42626</v>
      </c>
      <c r="T292" s="117">
        <v>42682</v>
      </c>
      <c r="V292" s="43" t="s">
        <v>317</v>
      </c>
      <c r="X292" s="43" t="s">
        <v>318</v>
      </c>
      <c r="Y292" s="43" t="s">
        <v>361</v>
      </c>
      <c r="Z292" s="43" t="s">
        <v>320</v>
      </c>
      <c r="AA292" s="43" t="s">
        <v>353</v>
      </c>
      <c r="AB292" s="144">
        <v>2.4000000208616298E-2</v>
      </c>
      <c r="AC292" s="125">
        <v>43921</v>
      </c>
      <c r="AD292" s="43" t="s">
        <v>329</v>
      </c>
      <c r="AF292" s="43" t="s">
        <v>75</v>
      </c>
      <c r="AG292" s="43" t="s">
        <v>322</v>
      </c>
      <c r="AJ292" s="140">
        <v>2</v>
      </c>
      <c r="AK292" s="140">
        <v>0</v>
      </c>
      <c r="AL292" s="140">
        <v>0</v>
      </c>
      <c r="AM292" s="140">
        <v>0</v>
      </c>
      <c r="AN292" s="140">
        <v>0</v>
      </c>
      <c r="AO292" s="140">
        <v>0</v>
      </c>
      <c r="AP292" s="140">
        <v>-1</v>
      </c>
      <c r="AQ292" s="140">
        <v>2</v>
      </c>
      <c r="AR292" s="140">
        <v>0</v>
      </c>
      <c r="AS292" s="140">
        <v>0</v>
      </c>
      <c r="AT292" s="140">
        <v>0</v>
      </c>
      <c r="AU292" s="140">
        <v>0</v>
      </c>
      <c r="AV292" s="140">
        <v>0</v>
      </c>
      <c r="AW292" s="140">
        <v>0</v>
      </c>
      <c r="AX292" s="140">
        <v>0</v>
      </c>
      <c r="AY292" s="140">
        <v>0</v>
      </c>
      <c r="AZ292" s="140">
        <v>0</v>
      </c>
      <c r="BA292" s="140">
        <v>0</v>
      </c>
      <c r="BB292" s="140">
        <v>0</v>
      </c>
      <c r="BC292" s="140">
        <v>0</v>
      </c>
      <c r="BD292" s="140">
        <v>-1</v>
      </c>
      <c r="BE292" s="140">
        <v>2</v>
      </c>
      <c r="BF292" s="140">
        <v>0</v>
      </c>
      <c r="BG292" s="140">
        <v>0</v>
      </c>
      <c r="BH292" s="140">
        <v>0</v>
      </c>
      <c r="BI292" s="140">
        <v>0</v>
      </c>
      <c r="BJ292" s="140">
        <v>0</v>
      </c>
      <c r="BK292" s="140">
        <v>0</v>
      </c>
      <c r="BL292" s="140">
        <v>0</v>
      </c>
      <c r="BM292" s="140">
        <v>0</v>
      </c>
      <c r="BN292" s="140">
        <v>0</v>
      </c>
      <c r="BO292" s="140">
        <v>0</v>
      </c>
      <c r="BX292" s="43">
        <v>3</v>
      </c>
      <c r="BZ292" s="90">
        <f>$M292/2</f>
        <v>0.5</v>
      </c>
      <c r="CA292" s="90">
        <f>$M292/2</f>
        <v>0.5</v>
      </c>
      <c r="CT292" s="90">
        <f t="shared" si="19"/>
        <v>1</v>
      </c>
      <c r="CU292" s="90">
        <f t="shared" si="20"/>
        <v>1</v>
      </c>
    </row>
    <row r="293" spans="1:99" ht="12" customHeight="1">
      <c r="A293" s="43">
        <v>4945</v>
      </c>
      <c r="B293" s="89" t="s">
        <v>813</v>
      </c>
      <c r="C293" s="89" t="s">
        <v>1050</v>
      </c>
      <c r="D293" s="89" t="s">
        <v>1051</v>
      </c>
      <c r="F293" s="43">
        <v>528361</v>
      </c>
      <c r="G293" s="43">
        <v>172945</v>
      </c>
      <c r="H293" s="89" t="s">
        <v>167</v>
      </c>
      <c r="I293" s="125">
        <v>43190</v>
      </c>
      <c r="K293" s="140">
        <v>1</v>
      </c>
      <c r="L293" s="140">
        <v>2</v>
      </c>
      <c r="M293" s="140">
        <v>1</v>
      </c>
      <c r="N293" s="140">
        <v>2</v>
      </c>
      <c r="O293" s="140">
        <v>1</v>
      </c>
      <c r="Q293" s="89" t="s">
        <v>1052</v>
      </c>
      <c r="R293" s="43" t="s">
        <v>316</v>
      </c>
      <c r="S293" s="125">
        <v>42254</v>
      </c>
      <c r="T293" s="117">
        <v>42377</v>
      </c>
      <c r="V293" s="43" t="s">
        <v>317</v>
      </c>
      <c r="X293" s="43" t="s">
        <v>318</v>
      </c>
      <c r="Y293" s="43" t="s">
        <v>379</v>
      </c>
      <c r="Z293" s="43" t="s">
        <v>320</v>
      </c>
      <c r="AA293" s="43" t="s">
        <v>340</v>
      </c>
      <c r="AB293" s="144">
        <v>1.7999999225139601E-2</v>
      </c>
      <c r="AC293" s="125">
        <v>43190</v>
      </c>
      <c r="AF293" s="43" t="s">
        <v>75</v>
      </c>
      <c r="AG293" s="43" t="s">
        <v>322</v>
      </c>
      <c r="AJ293" s="140">
        <v>0</v>
      </c>
      <c r="AK293" s="140">
        <v>0</v>
      </c>
      <c r="AL293" s="140">
        <v>0</v>
      </c>
      <c r="AM293" s="140">
        <v>0</v>
      </c>
      <c r="AN293" s="140">
        <v>-1</v>
      </c>
      <c r="AO293" s="140">
        <v>2</v>
      </c>
      <c r="AP293" s="140">
        <v>0</v>
      </c>
      <c r="AQ293" s="140">
        <v>0</v>
      </c>
      <c r="AR293" s="140">
        <v>0</v>
      </c>
      <c r="AS293" s="140">
        <v>0</v>
      </c>
      <c r="AT293" s="140">
        <v>0</v>
      </c>
      <c r="AU293" s="140">
        <v>-1</v>
      </c>
      <c r="AV293" s="140">
        <v>2</v>
      </c>
      <c r="AW293" s="140">
        <v>0</v>
      </c>
      <c r="AX293" s="140">
        <v>0</v>
      </c>
      <c r="AY293" s="140">
        <v>0</v>
      </c>
      <c r="AZ293" s="140">
        <v>0</v>
      </c>
      <c r="BA293" s="140">
        <v>0</v>
      </c>
      <c r="BB293" s="140">
        <v>0</v>
      </c>
      <c r="BC293" s="140">
        <v>0</v>
      </c>
      <c r="BD293" s="140">
        <v>0</v>
      </c>
      <c r="BE293" s="140">
        <v>0</v>
      </c>
      <c r="BF293" s="140">
        <v>0</v>
      </c>
      <c r="BG293" s="140">
        <v>0</v>
      </c>
      <c r="BH293" s="140">
        <v>0</v>
      </c>
      <c r="BI293" s="140">
        <v>0</v>
      </c>
      <c r="BJ293" s="140">
        <v>0</v>
      </c>
      <c r="BK293" s="140">
        <v>0</v>
      </c>
      <c r="BL293" s="140">
        <v>0</v>
      </c>
      <c r="BM293" s="140">
        <v>0</v>
      </c>
      <c r="BN293" s="140">
        <v>0</v>
      </c>
      <c r="BO293" s="140">
        <v>0</v>
      </c>
      <c r="BX293" s="43">
        <v>13</v>
      </c>
      <c r="BZ293" s="90">
        <f>M293</f>
        <v>1</v>
      </c>
      <c r="CT293" s="90">
        <f t="shared" si="19"/>
        <v>1</v>
      </c>
      <c r="CU293" s="90">
        <f t="shared" si="20"/>
        <v>1</v>
      </c>
    </row>
    <row r="294" spans="1:99" ht="12" customHeight="1">
      <c r="A294" s="43">
        <v>4968</v>
      </c>
      <c r="B294" s="89" t="s">
        <v>813</v>
      </c>
      <c r="C294" s="89" t="s">
        <v>1053</v>
      </c>
      <c r="D294" s="89" t="s">
        <v>1054</v>
      </c>
      <c r="F294" s="43">
        <v>527773</v>
      </c>
      <c r="G294" s="43">
        <v>172716</v>
      </c>
      <c r="H294" s="89" t="s">
        <v>173</v>
      </c>
      <c r="I294" s="125">
        <v>43555</v>
      </c>
      <c r="K294" s="140">
        <v>1</v>
      </c>
      <c r="L294" s="140">
        <v>2</v>
      </c>
      <c r="M294" s="140">
        <v>1</v>
      </c>
      <c r="N294" s="140">
        <v>2</v>
      </c>
      <c r="O294" s="140">
        <v>1</v>
      </c>
      <c r="Q294" s="89" t="s">
        <v>1055</v>
      </c>
      <c r="R294" s="43" t="s">
        <v>316</v>
      </c>
      <c r="S294" s="125">
        <v>42755</v>
      </c>
      <c r="T294" s="117">
        <v>42810</v>
      </c>
      <c r="V294" s="43" t="s">
        <v>317</v>
      </c>
      <c r="X294" s="43" t="s">
        <v>318</v>
      </c>
      <c r="Y294" s="43" t="s">
        <v>348</v>
      </c>
      <c r="Z294" s="43" t="s">
        <v>320</v>
      </c>
      <c r="AA294" s="43" t="s">
        <v>20</v>
      </c>
      <c r="AB294" s="144">
        <v>1.7000000923872001E-2</v>
      </c>
      <c r="AC294" s="125">
        <v>43555</v>
      </c>
      <c r="AF294" s="43" t="s">
        <v>75</v>
      </c>
      <c r="AG294" s="43" t="s">
        <v>322</v>
      </c>
      <c r="AJ294" s="140">
        <v>0</v>
      </c>
      <c r="AK294" s="140">
        <v>0</v>
      </c>
      <c r="AL294" s="140">
        <v>0</v>
      </c>
      <c r="AM294" s="140">
        <v>0</v>
      </c>
      <c r="AN294" s="140">
        <v>0</v>
      </c>
      <c r="AO294" s="140">
        <v>0</v>
      </c>
      <c r="AP294" s="140">
        <v>0</v>
      </c>
      <c r="AQ294" s="140">
        <v>2</v>
      </c>
      <c r="AR294" s="140">
        <v>-1</v>
      </c>
      <c r="AS294" s="140">
        <v>0</v>
      </c>
      <c r="AT294" s="140">
        <v>0</v>
      </c>
      <c r="AU294" s="140">
        <v>0</v>
      </c>
      <c r="AV294" s="140">
        <v>0</v>
      </c>
      <c r="AW294" s="140">
        <v>0</v>
      </c>
      <c r="AX294" s="140">
        <v>2</v>
      </c>
      <c r="AY294" s="140">
        <v>0</v>
      </c>
      <c r="AZ294" s="140">
        <v>0</v>
      </c>
      <c r="BA294" s="140">
        <v>0</v>
      </c>
      <c r="BB294" s="140">
        <v>0</v>
      </c>
      <c r="BC294" s="140">
        <v>0</v>
      </c>
      <c r="BD294" s="140">
        <v>0</v>
      </c>
      <c r="BE294" s="140">
        <v>0</v>
      </c>
      <c r="BF294" s="140">
        <v>-1</v>
      </c>
      <c r="BG294" s="140">
        <v>0</v>
      </c>
      <c r="BH294" s="140">
        <v>0</v>
      </c>
      <c r="BI294" s="140">
        <v>0</v>
      </c>
      <c r="BJ294" s="140">
        <v>0</v>
      </c>
      <c r="BK294" s="140">
        <v>0</v>
      </c>
      <c r="BL294" s="140">
        <v>0</v>
      </c>
      <c r="BM294" s="140">
        <v>0</v>
      </c>
      <c r="BN294" s="140">
        <v>0</v>
      </c>
      <c r="BO294" s="140">
        <v>0</v>
      </c>
      <c r="BX294" s="43">
        <v>13</v>
      </c>
      <c r="BZ294" s="90">
        <f>M294</f>
        <v>1</v>
      </c>
      <c r="CT294" s="90">
        <f t="shared" si="19"/>
        <v>1</v>
      </c>
      <c r="CU294" s="90">
        <f t="shared" si="20"/>
        <v>1</v>
      </c>
    </row>
    <row r="295" spans="1:99" ht="12" customHeight="1">
      <c r="A295" s="43">
        <v>4984</v>
      </c>
      <c r="B295" s="89" t="s">
        <v>813</v>
      </c>
      <c r="C295" s="89" t="s">
        <v>1056</v>
      </c>
      <c r="D295" s="89" t="s">
        <v>1057</v>
      </c>
      <c r="F295" s="43">
        <v>524707</v>
      </c>
      <c r="G295" s="43">
        <v>173200</v>
      </c>
      <c r="H295" s="89" t="s">
        <v>180</v>
      </c>
      <c r="I295" s="125">
        <v>43430</v>
      </c>
      <c r="K295" s="140">
        <v>1</v>
      </c>
      <c r="L295" s="140">
        <v>9</v>
      </c>
      <c r="M295" s="140">
        <v>8</v>
      </c>
      <c r="N295" s="140">
        <v>9</v>
      </c>
      <c r="O295" s="140">
        <v>8</v>
      </c>
      <c r="Q295" s="89" t="s">
        <v>1058</v>
      </c>
      <c r="R295" s="43" t="s">
        <v>316</v>
      </c>
      <c r="S295" s="125">
        <v>43229</v>
      </c>
      <c r="T295" s="117">
        <v>43301</v>
      </c>
      <c r="V295" s="43" t="s">
        <v>317</v>
      </c>
      <c r="X295" s="43" t="s">
        <v>318</v>
      </c>
      <c r="Y295" s="43" t="s">
        <v>361</v>
      </c>
      <c r="Z295" s="43" t="s">
        <v>320</v>
      </c>
      <c r="AA295" s="43" t="s">
        <v>353</v>
      </c>
      <c r="AB295" s="144">
        <v>3.9000000804662698E-2</v>
      </c>
      <c r="AC295" s="125">
        <v>43430</v>
      </c>
      <c r="AF295" s="43" t="s">
        <v>75</v>
      </c>
      <c r="AG295" s="43" t="s">
        <v>322</v>
      </c>
      <c r="AJ295" s="140">
        <v>0</v>
      </c>
      <c r="AK295" s="140">
        <v>0</v>
      </c>
      <c r="AL295" s="140">
        <v>0</v>
      </c>
      <c r="AM295" s="140">
        <v>0</v>
      </c>
      <c r="AN295" s="140">
        <v>0</v>
      </c>
      <c r="AO295" s="140">
        <v>2</v>
      </c>
      <c r="AP295" s="140">
        <v>6</v>
      </c>
      <c r="AQ295" s="140">
        <v>1</v>
      </c>
      <c r="AR295" s="140">
        <v>-1</v>
      </c>
      <c r="AS295" s="140">
        <v>0</v>
      </c>
      <c r="AT295" s="140">
        <v>0</v>
      </c>
      <c r="AU295" s="140">
        <v>0</v>
      </c>
      <c r="AV295" s="140">
        <v>2</v>
      </c>
      <c r="AW295" s="140">
        <v>6</v>
      </c>
      <c r="AX295" s="140">
        <v>1</v>
      </c>
      <c r="AY295" s="140">
        <v>-1</v>
      </c>
      <c r="AZ295" s="140">
        <v>0</v>
      </c>
      <c r="BA295" s="140">
        <v>0</v>
      </c>
      <c r="BB295" s="140">
        <v>0</v>
      </c>
      <c r="BC295" s="140">
        <v>0</v>
      </c>
      <c r="BD295" s="140">
        <v>0</v>
      </c>
      <c r="BE295" s="140">
        <v>0</v>
      </c>
      <c r="BF295" s="140">
        <v>0</v>
      </c>
      <c r="BG295" s="140">
        <v>0</v>
      </c>
      <c r="BH295" s="140">
        <v>0</v>
      </c>
      <c r="BI295" s="140">
        <v>0</v>
      </c>
      <c r="BJ295" s="140">
        <v>0</v>
      </c>
      <c r="BK295" s="140">
        <v>0</v>
      </c>
      <c r="BL295" s="140">
        <v>0</v>
      </c>
      <c r="BM295" s="140">
        <v>0</v>
      </c>
      <c r="BN295" s="140">
        <v>0</v>
      </c>
      <c r="BO295" s="140">
        <v>0</v>
      </c>
      <c r="BX295" s="43">
        <v>2</v>
      </c>
      <c r="BZ295" s="90">
        <f>M295</f>
        <v>8</v>
      </c>
      <c r="CT295" s="90">
        <f t="shared" si="19"/>
        <v>8</v>
      </c>
      <c r="CU295" s="90">
        <f t="shared" si="20"/>
        <v>8</v>
      </c>
    </row>
    <row r="296" spans="1:99" ht="12" customHeight="1">
      <c r="A296" s="43">
        <v>5114</v>
      </c>
      <c r="B296" s="89" t="s">
        <v>813</v>
      </c>
      <c r="C296" s="89" t="s">
        <v>1059</v>
      </c>
      <c r="D296" s="89" t="s">
        <v>1060</v>
      </c>
      <c r="F296" s="43">
        <v>527786</v>
      </c>
      <c r="G296" s="43">
        <v>171065</v>
      </c>
      <c r="H296" s="89" t="s">
        <v>172</v>
      </c>
      <c r="I296" s="125">
        <v>42825</v>
      </c>
      <c r="K296" s="140">
        <v>0</v>
      </c>
      <c r="L296" s="140">
        <v>9</v>
      </c>
      <c r="M296" s="140">
        <v>9</v>
      </c>
      <c r="N296" s="140">
        <v>9</v>
      </c>
      <c r="O296" s="140">
        <v>9</v>
      </c>
      <c r="Q296" s="89" t="s">
        <v>1061</v>
      </c>
      <c r="R296" s="43" t="s">
        <v>316</v>
      </c>
      <c r="S296" s="125">
        <v>42474</v>
      </c>
      <c r="T296" s="117">
        <v>42599</v>
      </c>
      <c r="V296" s="43" t="s">
        <v>317</v>
      </c>
      <c r="X296" s="43" t="s">
        <v>318</v>
      </c>
      <c r="Y296" s="43" t="s">
        <v>361</v>
      </c>
      <c r="Z296" s="43" t="s">
        <v>320</v>
      </c>
      <c r="AA296" s="43" t="s">
        <v>353</v>
      </c>
      <c r="AB296" s="144">
        <v>4.3000001460313797E-2</v>
      </c>
      <c r="AC296" s="125">
        <v>42825</v>
      </c>
      <c r="AF296" s="43" t="s">
        <v>75</v>
      </c>
      <c r="AG296" s="43" t="s">
        <v>322</v>
      </c>
      <c r="AJ296" s="140">
        <v>9</v>
      </c>
      <c r="AK296" s="140">
        <v>0</v>
      </c>
      <c r="AL296" s="140">
        <v>0</v>
      </c>
      <c r="AM296" s="140">
        <v>0</v>
      </c>
      <c r="AN296" s="140">
        <v>0</v>
      </c>
      <c r="AO296" s="140">
        <v>2</v>
      </c>
      <c r="AP296" s="140">
        <v>5</v>
      </c>
      <c r="AQ296" s="140">
        <v>2</v>
      </c>
      <c r="AR296" s="140">
        <v>0</v>
      </c>
      <c r="AS296" s="140">
        <v>0</v>
      </c>
      <c r="AT296" s="140">
        <v>0</v>
      </c>
      <c r="AU296" s="140">
        <v>0</v>
      </c>
      <c r="AV296" s="140">
        <v>2</v>
      </c>
      <c r="AW296" s="140">
        <v>5</v>
      </c>
      <c r="AX296" s="140">
        <v>2</v>
      </c>
      <c r="AY296" s="140">
        <v>0</v>
      </c>
      <c r="AZ296" s="140">
        <v>0</v>
      </c>
      <c r="BA296" s="140">
        <v>0</v>
      </c>
      <c r="BB296" s="140">
        <v>0</v>
      </c>
      <c r="BC296" s="140">
        <v>0</v>
      </c>
      <c r="BD296" s="140">
        <v>0</v>
      </c>
      <c r="BE296" s="140">
        <v>0</v>
      </c>
      <c r="BF296" s="140">
        <v>0</v>
      </c>
      <c r="BG296" s="140">
        <v>0</v>
      </c>
      <c r="BH296" s="140">
        <v>0</v>
      </c>
      <c r="BI296" s="140">
        <v>0</v>
      </c>
      <c r="BJ296" s="140">
        <v>0</v>
      </c>
      <c r="BK296" s="140">
        <v>0</v>
      </c>
      <c r="BL296" s="140">
        <v>0</v>
      </c>
      <c r="BM296" s="140">
        <v>0</v>
      </c>
      <c r="BN296" s="140">
        <v>0</v>
      </c>
      <c r="BO296" s="140">
        <v>0</v>
      </c>
      <c r="BP296" s="43" t="s">
        <v>141</v>
      </c>
      <c r="BX296" s="43">
        <v>2</v>
      </c>
      <c r="BZ296" s="90">
        <f>M296</f>
        <v>9</v>
      </c>
      <c r="CT296" s="90">
        <f t="shared" si="19"/>
        <v>9</v>
      </c>
      <c r="CU296" s="90">
        <f t="shared" si="20"/>
        <v>9</v>
      </c>
    </row>
    <row r="297" spans="1:99" ht="12" customHeight="1">
      <c r="A297" s="43">
        <v>5215</v>
      </c>
      <c r="B297" s="89" t="s">
        <v>813</v>
      </c>
      <c r="C297" s="89" t="s">
        <v>1062</v>
      </c>
      <c r="D297" s="89" t="s">
        <v>1063</v>
      </c>
      <c r="F297" s="43">
        <v>528754</v>
      </c>
      <c r="G297" s="43">
        <v>173676</v>
      </c>
      <c r="H297" s="89" t="s">
        <v>138</v>
      </c>
      <c r="I297" s="125">
        <v>43190</v>
      </c>
      <c r="K297" s="140">
        <v>0</v>
      </c>
      <c r="L297" s="140">
        <v>1</v>
      </c>
      <c r="M297" s="140">
        <v>1</v>
      </c>
      <c r="N297" s="140">
        <v>1</v>
      </c>
      <c r="O297" s="140">
        <v>1</v>
      </c>
      <c r="Q297" s="89" t="s">
        <v>1064</v>
      </c>
      <c r="R297" s="43" t="s">
        <v>316</v>
      </c>
      <c r="S297" s="125">
        <v>42944</v>
      </c>
      <c r="T297" s="117">
        <v>43000</v>
      </c>
      <c r="V297" s="43" t="s">
        <v>317</v>
      </c>
      <c r="X297" s="43" t="s">
        <v>318</v>
      </c>
      <c r="Y297" s="43" t="s">
        <v>361</v>
      </c>
      <c r="Z297" s="43" t="s">
        <v>320</v>
      </c>
      <c r="AA297" s="43" t="s">
        <v>353</v>
      </c>
      <c r="AB297" s="144">
        <v>4.0000001899898104E-3</v>
      </c>
      <c r="AC297" s="125">
        <v>43190</v>
      </c>
      <c r="AF297" s="43" t="s">
        <v>75</v>
      </c>
      <c r="AG297" s="43" t="s">
        <v>322</v>
      </c>
      <c r="AJ297" s="140">
        <v>0</v>
      </c>
      <c r="AK297" s="140">
        <v>0</v>
      </c>
      <c r="AL297" s="140">
        <v>0</v>
      </c>
      <c r="AM297" s="140">
        <v>0</v>
      </c>
      <c r="AN297" s="140">
        <v>0</v>
      </c>
      <c r="AO297" s="140">
        <v>1</v>
      </c>
      <c r="AP297" s="140">
        <v>0</v>
      </c>
      <c r="AQ297" s="140">
        <v>0</v>
      </c>
      <c r="AR297" s="140">
        <v>0</v>
      </c>
      <c r="AS297" s="140">
        <v>0</v>
      </c>
      <c r="AT297" s="140">
        <v>0</v>
      </c>
      <c r="AU297" s="140">
        <v>0</v>
      </c>
      <c r="AV297" s="140">
        <v>1</v>
      </c>
      <c r="AW297" s="140">
        <v>0</v>
      </c>
      <c r="AX297" s="140">
        <v>0</v>
      </c>
      <c r="AY297" s="140">
        <v>0</v>
      </c>
      <c r="AZ297" s="140">
        <v>0</v>
      </c>
      <c r="BA297" s="140">
        <v>0</v>
      </c>
      <c r="BB297" s="140">
        <v>0</v>
      </c>
      <c r="BC297" s="140">
        <v>0</v>
      </c>
      <c r="BD297" s="140">
        <v>0</v>
      </c>
      <c r="BE297" s="140">
        <v>0</v>
      </c>
      <c r="BF297" s="140">
        <v>0</v>
      </c>
      <c r="BG297" s="140">
        <v>0</v>
      </c>
      <c r="BH297" s="140">
        <v>0</v>
      </c>
      <c r="BI297" s="140">
        <v>0</v>
      </c>
      <c r="BJ297" s="140">
        <v>0</v>
      </c>
      <c r="BK297" s="140">
        <v>0</v>
      </c>
      <c r="BL297" s="140">
        <v>0</v>
      </c>
      <c r="BM297" s="140">
        <v>0</v>
      </c>
      <c r="BN297" s="140">
        <v>0</v>
      </c>
      <c r="BO297" s="140">
        <v>0</v>
      </c>
      <c r="BP297" s="43" t="s">
        <v>138</v>
      </c>
      <c r="BX297" s="43">
        <v>2</v>
      </c>
      <c r="BZ297" s="90">
        <f>M297</f>
        <v>1</v>
      </c>
      <c r="CT297" s="90">
        <f t="shared" si="19"/>
        <v>1</v>
      </c>
      <c r="CU297" s="90">
        <f t="shared" si="20"/>
        <v>1</v>
      </c>
    </row>
    <row r="298" spans="1:99" ht="12" customHeight="1">
      <c r="A298" s="43">
        <v>5219</v>
      </c>
      <c r="B298" s="89" t="s">
        <v>813</v>
      </c>
      <c r="C298" s="89" t="s">
        <v>1065</v>
      </c>
      <c r="D298" s="89" t="s">
        <v>1066</v>
      </c>
      <c r="E298" s="89" t="s">
        <v>346</v>
      </c>
      <c r="F298" s="43">
        <v>527294</v>
      </c>
      <c r="G298" s="43">
        <v>176284</v>
      </c>
      <c r="H298" s="89" t="s">
        <v>147</v>
      </c>
      <c r="I298" s="125">
        <v>43843</v>
      </c>
      <c r="K298" s="140">
        <v>1</v>
      </c>
      <c r="L298" s="140">
        <v>2</v>
      </c>
      <c r="M298" s="140">
        <v>1</v>
      </c>
      <c r="N298" s="140">
        <v>3</v>
      </c>
      <c r="O298" s="140">
        <v>2</v>
      </c>
      <c r="Q298" s="89" t="s">
        <v>1067</v>
      </c>
      <c r="R298" s="43" t="s">
        <v>316</v>
      </c>
      <c r="S298" s="125">
        <v>43493</v>
      </c>
      <c r="T298" s="117">
        <v>43549</v>
      </c>
      <c r="V298" s="43" t="s">
        <v>317</v>
      </c>
      <c r="X298" s="43" t="s">
        <v>318</v>
      </c>
      <c r="Y298" s="43" t="s">
        <v>319</v>
      </c>
      <c r="Z298" s="43" t="s">
        <v>320</v>
      </c>
      <c r="AA298" s="43" t="s">
        <v>321</v>
      </c>
      <c r="AB298" s="144">
        <v>4.0000001899898104E-3</v>
      </c>
      <c r="AC298" s="125">
        <v>43843</v>
      </c>
      <c r="AD298" s="43" t="s">
        <v>329</v>
      </c>
      <c r="AF298" s="43" t="s">
        <v>75</v>
      </c>
      <c r="AG298" s="43" t="s">
        <v>322</v>
      </c>
      <c r="AJ298" s="140">
        <v>0</v>
      </c>
      <c r="AK298" s="140">
        <v>0</v>
      </c>
      <c r="AL298" s="140">
        <v>0</v>
      </c>
      <c r="AM298" s="140">
        <v>0</v>
      </c>
      <c r="AN298" s="140">
        <v>0</v>
      </c>
      <c r="AO298" s="140">
        <v>2</v>
      </c>
      <c r="AP298" s="140">
        <v>0</v>
      </c>
      <c r="AQ298" s="140">
        <v>-1</v>
      </c>
      <c r="AR298" s="140">
        <v>0</v>
      </c>
      <c r="AS298" s="140">
        <v>0</v>
      </c>
      <c r="AT298" s="140">
        <v>0</v>
      </c>
      <c r="AU298" s="140">
        <v>0</v>
      </c>
      <c r="AV298" s="140">
        <v>2</v>
      </c>
      <c r="AW298" s="140">
        <v>0</v>
      </c>
      <c r="AX298" s="140">
        <v>-1</v>
      </c>
      <c r="AY298" s="140">
        <v>0</v>
      </c>
      <c r="AZ298" s="140">
        <v>0</v>
      </c>
      <c r="BA298" s="140">
        <v>0</v>
      </c>
      <c r="BB298" s="140">
        <v>0</v>
      </c>
      <c r="BC298" s="140">
        <v>0</v>
      </c>
      <c r="BD298" s="140">
        <v>0</v>
      </c>
      <c r="BE298" s="140">
        <v>0</v>
      </c>
      <c r="BF298" s="140">
        <v>0</v>
      </c>
      <c r="BG298" s="140">
        <v>0</v>
      </c>
      <c r="BH298" s="140">
        <v>0</v>
      </c>
      <c r="BI298" s="140">
        <v>0</v>
      </c>
      <c r="BJ298" s="140">
        <v>0</v>
      </c>
      <c r="BK298" s="140">
        <v>0</v>
      </c>
      <c r="BL298" s="140">
        <v>0</v>
      </c>
      <c r="BM298" s="140">
        <v>0</v>
      </c>
      <c r="BN298" s="140">
        <v>0</v>
      </c>
      <c r="BO298" s="140">
        <v>0</v>
      </c>
      <c r="BX298" s="43">
        <v>14</v>
      </c>
      <c r="BZ298" s="90">
        <f>$M298/2</f>
        <v>0.5</v>
      </c>
      <c r="CA298" s="90">
        <f>$M298/2</f>
        <v>0.5</v>
      </c>
      <c r="CT298" s="90">
        <f t="shared" si="19"/>
        <v>1</v>
      </c>
      <c r="CU298" s="90">
        <f t="shared" si="20"/>
        <v>1</v>
      </c>
    </row>
    <row r="299" spans="1:99" ht="12" customHeight="1">
      <c r="A299" s="43">
        <v>5219</v>
      </c>
      <c r="B299" s="89" t="s">
        <v>813</v>
      </c>
      <c r="C299" s="89" t="s">
        <v>1065</v>
      </c>
      <c r="D299" s="89" t="s">
        <v>1066</v>
      </c>
      <c r="E299" s="89" t="s">
        <v>944</v>
      </c>
      <c r="F299" s="43">
        <v>527294</v>
      </c>
      <c r="G299" s="43">
        <v>176284</v>
      </c>
      <c r="H299" s="89" t="s">
        <v>147</v>
      </c>
      <c r="I299" s="125">
        <v>43843</v>
      </c>
      <c r="K299" s="140">
        <v>0</v>
      </c>
      <c r="L299" s="140">
        <v>1</v>
      </c>
      <c r="M299" s="140">
        <v>1</v>
      </c>
      <c r="N299" s="140">
        <v>3</v>
      </c>
      <c r="O299" s="140">
        <v>2</v>
      </c>
      <c r="Q299" s="89" t="s">
        <v>1067</v>
      </c>
      <c r="R299" s="43" t="s">
        <v>316</v>
      </c>
      <c r="S299" s="125">
        <v>43493</v>
      </c>
      <c r="T299" s="117">
        <v>43549</v>
      </c>
      <c r="V299" s="43" t="s">
        <v>317</v>
      </c>
      <c r="X299" s="43" t="s">
        <v>318</v>
      </c>
      <c r="Y299" s="43" t="s">
        <v>319</v>
      </c>
      <c r="Z299" s="43" t="s">
        <v>320</v>
      </c>
      <c r="AA299" s="43" t="s">
        <v>340</v>
      </c>
      <c r="AB299" s="144">
        <v>1.00000004749745E-3</v>
      </c>
      <c r="AC299" s="125">
        <v>43843</v>
      </c>
      <c r="AD299" s="43" t="s">
        <v>329</v>
      </c>
      <c r="AF299" s="43" t="s">
        <v>75</v>
      </c>
      <c r="AG299" s="43" t="s">
        <v>322</v>
      </c>
      <c r="AJ299" s="140">
        <v>0</v>
      </c>
      <c r="AK299" s="140">
        <v>0</v>
      </c>
      <c r="AL299" s="140">
        <v>0</v>
      </c>
      <c r="AM299" s="140">
        <v>0</v>
      </c>
      <c r="AN299" s="140">
        <v>0</v>
      </c>
      <c r="AO299" s="140">
        <v>1</v>
      </c>
      <c r="AP299" s="140">
        <v>0</v>
      </c>
      <c r="AQ299" s="140">
        <v>0</v>
      </c>
      <c r="AR299" s="140">
        <v>0</v>
      </c>
      <c r="AS299" s="140">
        <v>0</v>
      </c>
      <c r="AT299" s="140">
        <v>0</v>
      </c>
      <c r="AU299" s="140">
        <v>0</v>
      </c>
      <c r="AV299" s="140">
        <v>1</v>
      </c>
      <c r="AW299" s="140">
        <v>0</v>
      </c>
      <c r="AX299" s="140">
        <v>0</v>
      </c>
      <c r="AY299" s="140">
        <v>0</v>
      </c>
      <c r="AZ299" s="140">
        <v>0</v>
      </c>
      <c r="BA299" s="140">
        <v>0</v>
      </c>
      <c r="BB299" s="140">
        <v>0</v>
      </c>
      <c r="BC299" s="140">
        <v>0</v>
      </c>
      <c r="BD299" s="140">
        <v>0</v>
      </c>
      <c r="BE299" s="140">
        <v>0</v>
      </c>
      <c r="BF299" s="140">
        <v>0</v>
      </c>
      <c r="BG299" s="140">
        <v>0</v>
      </c>
      <c r="BH299" s="140">
        <v>0</v>
      </c>
      <c r="BI299" s="140">
        <v>0</v>
      </c>
      <c r="BJ299" s="140">
        <v>0</v>
      </c>
      <c r="BK299" s="140">
        <v>0</v>
      </c>
      <c r="BL299" s="140">
        <v>0</v>
      </c>
      <c r="BM299" s="140">
        <v>0</v>
      </c>
      <c r="BN299" s="140">
        <v>0</v>
      </c>
      <c r="BO299" s="140">
        <v>0</v>
      </c>
      <c r="BX299" s="43">
        <v>14</v>
      </c>
      <c r="BZ299" s="90">
        <f>$M299/2</f>
        <v>0.5</v>
      </c>
      <c r="CA299" s="90">
        <f>$M299/2</f>
        <v>0.5</v>
      </c>
      <c r="CT299" s="90">
        <f t="shared" si="19"/>
        <v>1</v>
      </c>
      <c r="CU299" s="90">
        <f t="shared" si="20"/>
        <v>1</v>
      </c>
    </row>
    <row r="300" spans="1:99" ht="12" customHeight="1">
      <c r="A300" s="43">
        <v>5245</v>
      </c>
      <c r="B300" s="89" t="s">
        <v>813</v>
      </c>
      <c r="C300" s="89" t="s">
        <v>1068</v>
      </c>
      <c r="D300" s="89" t="s">
        <v>1069</v>
      </c>
      <c r="F300" s="43">
        <v>529554</v>
      </c>
      <c r="G300" s="43">
        <v>176699</v>
      </c>
      <c r="H300" s="89" t="s">
        <v>148</v>
      </c>
      <c r="I300" s="125">
        <v>42461</v>
      </c>
      <c r="K300" s="140">
        <v>0</v>
      </c>
      <c r="L300" s="140">
        <v>16</v>
      </c>
      <c r="M300" s="140">
        <v>16</v>
      </c>
      <c r="N300" s="140">
        <v>16</v>
      </c>
      <c r="O300" s="140">
        <v>16</v>
      </c>
      <c r="P300" s="43" t="s">
        <v>329</v>
      </c>
      <c r="Q300" s="89" t="s">
        <v>1070</v>
      </c>
      <c r="R300" s="43" t="s">
        <v>392</v>
      </c>
      <c r="S300" s="125">
        <v>41354</v>
      </c>
      <c r="T300" s="117">
        <v>41555</v>
      </c>
      <c r="V300" s="43" t="s">
        <v>317</v>
      </c>
      <c r="X300" s="43" t="s">
        <v>318</v>
      </c>
      <c r="Y300" s="43" t="s">
        <v>361</v>
      </c>
      <c r="Z300" s="43" t="s">
        <v>361</v>
      </c>
      <c r="AA300" s="43" t="s">
        <v>320</v>
      </c>
      <c r="AB300" s="144">
        <v>2.0999999716877899E-2</v>
      </c>
      <c r="AC300" s="125">
        <v>42461</v>
      </c>
      <c r="AF300" s="43" t="s">
        <v>75</v>
      </c>
      <c r="AG300" s="43" t="s">
        <v>322</v>
      </c>
      <c r="AJ300" s="140">
        <v>16</v>
      </c>
      <c r="AK300" s="140">
        <v>0</v>
      </c>
      <c r="AL300" s="140">
        <v>16</v>
      </c>
      <c r="AM300" s="140">
        <v>0</v>
      </c>
      <c r="AN300" s="140">
        <v>0</v>
      </c>
      <c r="AO300" s="140">
        <v>3</v>
      </c>
      <c r="AP300" s="140">
        <v>8</v>
      </c>
      <c r="AQ300" s="140">
        <v>5</v>
      </c>
      <c r="AR300" s="140">
        <v>0</v>
      </c>
      <c r="AS300" s="140">
        <v>0</v>
      </c>
      <c r="AT300" s="140">
        <v>0</v>
      </c>
      <c r="AU300" s="140">
        <v>0</v>
      </c>
      <c r="AV300" s="140">
        <v>3</v>
      </c>
      <c r="AW300" s="140">
        <v>8</v>
      </c>
      <c r="AX300" s="140">
        <v>5</v>
      </c>
      <c r="AY300" s="140">
        <v>0</v>
      </c>
      <c r="AZ300" s="140">
        <v>0</v>
      </c>
      <c r="BA300" s="140">
        <v>0</v>
      </c>
      <c r="BB300" s="140">
        <v>0</v>
      </c>
      <c r="BC300" s="140">
        <v>0</v>
      </c>
      <c r="BD300" s="140">
        <v>0</v>
      </c>
      <c r="BE300" s="140">
        <v>0</v>
      </c>
      <c r="BF300" s="140">
        <v>0</v>
      </c>
      <c r="BG300" s="140">
        <v>0</v>
      </c>
      <c r="BH300" s="140">
        <v>0</v>
      </c>
      <c r="BI300" s="140">
        <v>0</v>
      </c>
      <c r="BJ300" s="140">
        <v>0</v>
      </c>
      <c r="BK300" s="140">
        <v>0</v>
      </c>
      <c r="BL300" s="140">
        <v>0</v>
      </c>
      <c r="BM300" s="140">
        <v>0</v>
      </c>
      <c r="BN300" s="140">
        <v>0</v>
      </c>
      <c r="BO300" s="140">
        <v>0</v>
      </c>
      <c r="BQ300" s="43" t="s">
        <v>329</v>
      </c>
      <c r="BX300" s="43">
        <v>9</v>
      </c>
      <c r="CC300" s="90">
        <f>$M300/3</f>
        <v>5.333333333333333</v>
      </c>
      <c r="CD300" s="90">
        <f>$M300/3</f>
        <v>5.333333333333333</v>
      </c>
      <c r="CE300" s="90">
        <f>$M300/3</f>
        <v>5.333333333333333</v>
      </c>
      <c r="CT300" s="90">
        <f t="shared" si="19"/>
        <v>10.666666666666666</v>
      </c>
      <c r="CU300" s="90">
        <f t="shared" si="20"/>
        <v>16</v>
      </c>
    </row>
    <row r="301" spans="1:99" ht="12" customHeight="1">
      <c r="A301" s="43">
        <v>5298</v>
      </c>
      <c r="B301" s="89" t="s">
        <v>813</v>
      </c>
      <c r="C301" s="89" t="s">
        <v>1071</v>
      </c>
      <c r="D301" s="89" t="s">
        <v>1072</v>
      </c>
      <c r="F301" s="43">
        <v>521254</v>
      </c>
      <c r="G301" s="43">
        <v>174526</v>
      </c>
      <c r="H301" s="89" t="s">
        <v>149</v>
      </c>
      <c r="I301" s="125">
        <v>43780</v>
      </c>
      <c r="K301" s="140">
        <v>0</v>
      </c>
      <c r="L301" s="140">
        <v>1</v>
      </c>
      <c r="M301" s="140">
        <v>1</v>
      </c>
      <c r="N301" s="140">
        <v>1</v>
      </c>
      <c r="O301" s="140">
        <v>1</v>
      </c>
      <c r="Q301" s="89" t="s">
        <v>1073</v>
      </c>
      <c r="R301" s="43" t="s">
        <v>316</v>
      </c>
      <c r="S301" s="125">
        <v>42590</v>
      </c>
      <c r="T301" s="117">
        <v>42691</v>
      </c>
      <c r="V301" s="43" t="s">
        <v>317</v>
      </c>
      <c r="X301" s="43" t="s">
        <v>318</v>
      </c>
      <c r="Y301" s="43" t="s">
        <v>361</v>
      </c>
      <c r="Z301" s="43" t="s">
        <v>320</v>
      </c>
      <c r="AA301" s="43" t="s">
        <v>353</v>
      </c>
      <c r="AB301" s="144">
        <v>0.108000002801418</v>
      </c>
      <c r="AC301" s="125">
        <v>43780</v>
      </c>
      <c r="AD301" s="43" t="s">
        <v>329</v>
      </c>
      <c r="AF301" s="43" t="s">
        <v>75</v>
      </c>
      <c r="AG301" s="43" t="s">
        <v>322</v>
      </c>
      <c r="AJ301" s="140">
        <v>1</v>
      </c>
      <c r="AK301" s="140">
        <v>0</v>
      </c>
      <c r="AL301" s="140">
        <v>1</v>
      </c>
      <c r="AM301" s="140">
        <v>0</v>
      </c>
      <c r="AN301" s="140">
        <v>0</v>
      </c>
      <c r="AO301" s="140">
        <v>0</v>
      </c>
      <c r="AP301" s="140">
        <v>0</v>
      </c>
      <c r="AQ301" s="140">
        <v>0</v>
      </c>
      <c r="AR301" s="140">
        <v>0</v>
      </c>
      <c r="AS301" s="140">
        <v>1</v>
      </c>
      <c r="AT301" s="140">
        <v>0</v>
      </c>
      <c r="AU301" s="140">
        <v>0</v>
      </c>
      <c r="AV301" s="140">
        <v>0</v>
      </c>
      <c r="AW301" s="140">
        <v>0</v>
      </c>
      <c r="AX301" s="140">
        <v>0</v>
      </c>
      <c r="AY301" s="140">
        <v>0</v>
      </c>
      <c r="AZ301" s="140">
        <v>0</v>
      </c>
      <c r="BA301" s="140">
        <v>0</v>
      </c>
      <c r="BB301" s="140">
        <v>0</v>
      </c>
      <c r="BC301" s="140">
        <v>0</v>
      </c>
      <c r="BD301" s="140">
        <v>0</v>
      </c>
      <c r="BE301" s="140">
        <v>0</v>
      </c>
      <c r="BF301" s="140">
        <v>0</v>
      </c>
      <c r="BG301" s="140">
        <v>1</v>
      </c>
      <c r="BH301" s="140">
        <v>0</v>
      </c>
      <c r="BI301" s="140">
        <v>0</v>
      </c>
      <c r="BJ301" s="140">
        <v>0</v>
      </c>
      <c r="BK301" s="140">
        <v>0</v>
      </c>
      <c r="BL301" s="140">
        <v>0</v>
      </c>
      <c r="BM301" s="140">
        <v>0</v>
      </c>
      <c r="BN301" s="140">
        <v>0</v>
      </c>
      <c r="BO301" s="140">
        <v>0</v>
      </c>
      <c r="BX301" s="43">
        <v>3</v>
      </c>
      <c r="BZ301" s="90">
        <f>$M301/2</f>
        <v>0.5</v>
      </c>
      <c r="CA301" s="90">
        <f>$M301/2</f>
        <v>0.5</v>
      </c>
      <c r="CT301" s="90">
        <f t="shared" si="19"/>
        <v>1</v>
      </c>
      <c r="CU301" s="90">
        <f t="shared" si="20"/>
        <v>1</v>
      </c>
    </row>
    <row r="302" spans="1:99" ht="12" customHeight="1">
      <c r="A302" s="43">
        <v>5348</v>
      </c>
      <c r="B302" s="89" t="s">
        <v>813</v>
      </c>
      <c r="C302" s="89" t="s">
        <v>1074</v>
      </c>
      <c r="D302" s="89" t="s">
        <v>1075</v>
      </c>
      <c r="F302" s="43">
        <v>527772</v>
      </c>
      <c r="G302" s="43">
        <v>173569</v>
      </c>
      <c r="H302" s="89" t="s">
        <v>173</v>
      </c>
      <c r="I302" s="125">
        <v>43190</v>
      </c>
      <c r="K302" s="140">
        <v>0</v>
      </c>
      <c r="L302" s="140">
        <v>5</v>
      </c>
      <c r="M302" s="140">
        <v>5</v>
      </c>
      <c r="N302" s="140">
        <v>5</v>
      </c>
      <c r="O302" s="140">
        <v>5</v>
      </c>
      <c r="Q302" s="89" t="s">
        <v>1076</v>
      </c>
      <c r="R302" s="43" t="s">
        <v>383</v>
      </c>
      <c r="S302" s="125">
        <v>41457</v>
      </c>
      <c r="T302" s="117">
        <v>41936</v>
      </c>
      <c r="V302" s="43" t="s">
        <v>384</v>
      </c>
      <c r="W302" s="117">
        <v>42269</v>
      </c>
      <c r="X302" s="43" t="s">
        <v>318</v>
      </c>
      <c r="Y302" s="43" t="s">
        <v>319</v>
      </c>
      <c r="Z302" s="43" t="s">
        <v>320</v>
      </c>
      <c r="AA302" s="43" t="s">
        <v>36</v>
      </c>
      <c r="AB302" s="144">
        <v>3.20000015199184E-2</v>
      </c>
      <c r="AC302" s="125">
        <v>43190</v>
      </c>
      <c r="AF302" s="43" t="s">
        <v>75</v>
      </c>
      <c r="AG302" s="43" t="s">
        <v>322</v>
      </c>
      <c r="AJ302" s="140">
        <v>0</v>
      </c>
      <c r="AK302" s="140">
        <v>0</v>
      </c>
      <c r="AL302" s="140">
        <v>0</v>
      </c>
      <c r="AM302" s="140">
        <v>0</v>
      </c>
      <c r="AN302" s="140">
        <v>1</v>
      </c>
      <c r="AO302" s="140">
        <v>2</v>
      </c>
      <c r="AP302" s="140">
        <v>0</v>
      </c>
      <c r="AQ302" s="140">
        <v>2</v>
      </c>
      <c r="AR302" s="140">
        <v>0</v>
      </c>
      <c r="AS302" s="140">
        <v>0</v>
      </c>
      <c r="AT302" s="140">
        <v>0</v>
      </c>
      <c r="AU302" s="140">
        <v>1</v>
      </c>
      <c r="AV302" s="140">
        <v>2</v>
      </c>
      <c r="AW302" s="140">
        <v>0</v>
      </c>
      <c r="AX302" s="140">
        <v>2</v>
      </c>
      <c r="AY302" s="140">
        <v>0</v>
      </c>
      <c r="AZ302" s="140">
        <v>0</v>
      </c>
      <c r="BA302" s="140">
        <v>0</v>
      </c>
      <c r="BB302" s="140">
        <v>0</v>
      </c>
      <c r="BC302" s="140">
        <v>0</v>
      </c>
      <c r="BD302" s="140">
        <v>0</v>
      </c>
      <c r="BE302" s="140">
        <v>0</v>
      </c>
      <c r="BF302" s="140">
        <v>0</v>
      </c>
      <c r="BG302" s="140">
        <v>0</v>
      </c>
      <c r="BH302" s="140">
        <v>0</v>
      </c>
      <c r="BI302" s="140">
        <v>0</v>
      </c>
      <c r="BJ302" s="140">
        <v>0</v>
      </c>
      <c r="BK302" s="140">
        <v>0</v>
      </c>
      <c r="BL302" s="140">
        <v>0</v>
      </c>
      <c r="BM302" s="140">
        <v>0</v>
      </c>
      <c r="BN302" s="140">
        <v>0</v>
      </c>
      <c r="BO302" s="140">
        <v>0</v>
      </c>
      <c r="BX302" s="43">
        <v>13</v>
      </c>
      <c r="BZ302" s="90">
        <f>M302</f>
        <v>5</v>
      </c>
      <c r="CT302" s="90">
        <f t="shared" si="19"/>
        <v>5</v>
      </c>
      <c r="CU302" s="90">
        <f t="shared" si="20"/>
        <v>5</v>
      </c>
    </row>
    <row r="303" spans="1:99" ht="12" customHeight="1">
      <c r="A303" s="43">
        <v>5376</v>
      </c>
      <c r="B303" s="89" t="s">
        <v>813</v>
      </c>
      <c r="C303" s="89" t="s">
        <v>1077</v>
      </c>
      <c r="D303" s="89" t="s">
        <v>1078</v>
      </c>
      <c r="F303" s="43">
        <v>528703</v>
      </c>
      <c r="G303" s="43">
        <v>173099</v>
      </c>
      <c r="H303" s="89" t="s">
        <v>173</v>
      </c>
      <c r="I303" s="125">
        <v>43045</v>
      </c>
      <c r="K303" s="140">
        <v>0</v>
      </c>
      <c r="L303" s="140">
        <v>1</v>
      </c>
      <c r="M303" s="140">
        <v>1</v>
      </c>
      <c r="N303" s="140">
        <v>2</v>
      </c>
      <c r="O303" s="140">
        <v>2</v>
      </c>
      <c r="Q303" s="89" t="s">
        <v>1079</v>
      </c>
      <c r="R303" s="43" t="s">
        <v>316</v>
      </c>
      <c r="S303" s="125">
        <v>42990</v>
      </c>
      <c r="T303" s="117">
        <v>43045</v>
      </c>
      <c r="V303" s="43" t="s">
        <v>317</v>
      </c>
      <c r="X303" s="43" t="s">
        <v>318</v>
      </c>
      <c r="Y303" s="43" t="s">
        <v>379</v>
      </c>
      <c r="Z303" s="43" t="s">
        <v>320</v>
      </c>
      <c r="AA303" s="43" t="s">
        <v>353</v>
      </c>
      <c r="AB303" s="144">
        <v>6.0000000521540598E-3</v>
      </c>
      <c r="AC303" s="125">
        <v>43045</v>
      </c>
      <c r="AF303" s="43" t="s">
        <v>75</v>
      </c>
      <c r="AG303" s="43" t="s">
        <v>322</v>
      </c>
      <c r="AJ303" s="140">
        <v>0</v>
      </c>
      <c r="AK303" s="140">
        <v>0</v>
      </c>
      <c r="AL303" s="140">
        <v>0</v>
      </c>
      <c r="AM303" s="140">
        <v>0</v>
      </c>
      <c r="AN303" s="140">
        <v>0</v>
      </c>
      <c r="AO303" s="140">
        <v>0</v>
      </c>
      <c r="AP303" s="140">
        <v>1</v>
      </c>
      <c r="AQ303" s="140">
        <v>0</v>
      </c>
      <c r="AR303" s="140">
        <v>0</v>
      </c>
      <c r="AS303" s="140">
        <v>0</v>
      </c>
      <c r="AT303" s="140">
        <v>0</v>
      </c>
      <c r="AU303" s="140">
        <v>0</v>
      </c>
      <c r="AV303" s="140">
        <v>0</v>
      </c>
      <c r="AW303" s="140">
        <v>1</v>
      </c>
      <c r="AX303" s="140">
        <v>0</v>
      </c>
      <c r="AY303" s="140">
        <v>0</v>
      </c>
      <c r="AZ303" s="140">
        <v>0</v>
      </c>
      <c r="BA303" s="140">
        <v>0</v>
      </c>
      <c r="BB303" s="140">
        <v>0</v>
      </c>
      <c r="BC303" s="140">
        <v>0</v>
      </c>
      <c r="BD303" s="140">
        <v>0</v>
      </c>
      <c r="BE303" s="140">
        <v>0</v>
      </c>
      <c r="BF303" s="140">
        <v>0</v>
      </c>
      <c r="BG303" s="140">
        <v>0</v>
      </c>
      <c r="BH303" s="140">
        <v>0</v>
      </c>
      <c r="BI303" s="140">
        <v>0</v>
      </c>
      <c r="BJ303" s="140">
        <v>0</v>
      </c>
      <c r="BK303" s="140">
        <v>0</v>
      </c>
      <c r="BL303" s="140">
        <v>0</v>
      </c>
      <c r="BM303" s="140">
        <v>0</v>
      </c>
      <c r="BN303" s="140">
        <v>0</v>
      </c>
      <c r="BO303" s="140">
        <v>0</v>
      </c>
      <c r="BX303" s="43">
        <v>13</v>
      </c>
      <c r="BZ303" s="90">
        <f>M303</f>
        <v>1</v>
      </c>
      <c r="CT303" s="90">
        <f t="shared" si="19"/>
        <v>1</v>
      </c>
      <c r="CU303" s="90">
        <f t="shared" si="20"/>
        <v>1</v>
      </c>
    </row>
    <row r="304" spans="1:99" ht="12" customHeight="1">
      <c r="A304" s="43">
        <v>5376</v>
      </c>
      <c r="B304" s="89" t="s">
        <v>813</v>
      </c>
      <c r="C304" s="89" t="s">
        <v>1077</v>
      </c>
      <c r="D304" s="89" t="s">
        <v>1078</v>
      </c>
      <c r="F304" s="43">
        <v>528703</v>
      </c>
      <c r="G304" s="43">
        <v>173099</v>
      </c>
      <c r="H304" s="89" t="s">
        <v>173</v>
      </c>
      <c r="I304" s="125">
        <v>43045</v>
      </c>
      <c r="K304" s="140">
        <v>0</v>
      </c>
      <c r="L304" s="140">
        <v>1</v>
      </c>
      <c r="M304" s="140">
        <v>1</v>
      </c>
      <c r="N304" s="140">
        <v>2</v>
      </c>
      <c r="O304" s="140">
        <v>2</v>
      </c>
      <c r="Q304" s="89" t="s">
        <v>1079</v>
      </c>
      <c r="R304" s="43" t="s">
        <v>316</v>
      </c>
      <c r="S304" s="125">
        <v>42990</v>
      </c>
      <c r="T304" s="117">
        <v>43045</v>
      </c>
      <c r="V304" s="43" t="s">
        <v>317</v>
      </c>
      <c r="X304" s="43" t="s">
        <v>318</v>
      </c>
      <c r="Y304" s="43" t="s">
        <v>379</v>
      </c>
      <c r="Z304" s="43" t="s">
        <v>320</v>
      </c>
      <c r="AA304" s="43" t="s">
        <v>340</v>
      </c>
      <c r="AB304" s="144">
        <v>4.0000001899898104E-3</v>
      </c>
      <c r="AC304" s="125">
        <v>43045</v>
      </c>
      <c r="AF304" s="43" t="s">
        <v>75</v>
      </c>
      <c r="AG304" s="43" t="s">
        <v>322</v>
      </c>
      <c r="AJ304" s="140">
        <v>0</v>
      </c>
      <c r="AK304" s="140">
        <v>0</v>
      </c>
      <c r="AL304" s="140">
        <v>0</v>
      </c>
      <c r="AM304" s="140">
        <v>0</v>
      </c>
      <c r="AN304" s="140">
        <v>1</v>
      </c>
      <c r="AO304" s="140">
        <v>0</v>
      </c>
      <c r="AP304" s="140">
        <v>0</v>
      </c>
      <c r="AQ304" s="140">
        <v>0</v>
      </c>
      <c r="AR304" s="140">
        <v>0</v>
      </c>
      <c r="AS304" s="140">
        <v>0</v>
      </c>
      <c r="AT304" s="140">
        <v>0</v>
      </c>
      <c r="AU304" s="140">
        <v>1</v>
      </c>
      <c r="AV304" s="140">
        <v>0</v>
      </c>
      <c r="AW304" s="140">
        <v>0</v>
      </c>
      <c r="AX304" s="140">
        <v>0</v>
      </c>
      <c r="AY304" s="140">
        <v>0</v>
      </c>
      <c r="AZ304" s="140">
        <v>0</v>
      </c>
      <c r="BA304" s="140">
        <v>0</v>
      </c>
      <c r="BB304" s="140">
        <v>0</v>
      </c>
      <c r="BC304" s="140">
        <v>0</v>
      </c>
      <c r="BD304" s="140">
        <v>0</v>
      </c>
      <c r="BE304" s="140">
        <v>0</v>
      </c>
      <c r="BF304" s="140">
        <v>0</v>
      </c>
      <c r="BG304" s="140">
        <v>0</v>
      </c>
      <c r="BH304" s="140">
        <v>0</v>
      </c>
      <c r="BI304" s="140">
        <v>0</v>
      </c>
      <c r="BJ304" s="140">
        <v>0</v>
      </c>
      <c r="BK304" s="140">
        <v>0</v>
      </c>
      <c r="BL304" s="140">
        <v>0</v>
      </c>
      <c r="BM304" s="140">
        <v>0</v>
      </c>
      <c r="BN304" s="140">
        <v>0</v>
      </c>
      <c r="BO304" s="140">
        <v>0</v>
      </c>
      <c r="BX304" s="43">
        <v>13</v>
      </c>
      <c r="BZ304" s="90">
        <f>M304</f>
        <v>1</v>
      </c>
      <c r="CT304" s="90">
        <f t="shared" si="19"/>
        <v>1</v>
      </c>
      <c r="CU304" s="90">
        <f t="shared" si="20"/>
        <v>1</v>
      </c>
    </row>
    <row r="305" spans="1:99" ht="12" customHeight="1">
      <c r="A305" s="43">
        <v>5377</v>
      </c>
      <c r="B305" s="89" t="s">
        <v>813</v>
      </c>
      <c r="C305" s="89" t="s">
        <v>1080</v>
      </c>
      <c r="D305" s="89" t="s">
        <v>1081</v>
      </c>
      <c r="F305" s="43">
        <v>528146</v>
      </c>
      <c r="G305" s="43">
        <v>172290</v>
      </c>
      <c r="H305" s="89" t="s">
        <v>167</v>
      </c>
      <c r="I305" s="125">
        <v>43190</v>
      </c>
      <c r="K305" s="140">
        <v>1</v>
      </c>
      <c r="L305" s="140">
        <v>3</v>
      </c>
      <c r="M305" s="140">
        <v>2</v>
      </c>
      <c r="N305" s="140">
        <v>3</v>
      </c>
      <c r="O305" s="140">
        <v>2</v>
      </c>
      <c r="Q305" s="89" t="s">
        <v>1082</v>
      </c>
      <c r="R305" s="43" t="s">
        <v>316</v>
      </c>
      <c r="S305" s="125">
        <v>42587</v>
      </c>
      <c r="T305" s="117">
        <v>42667</v>
      </c>
      <c r="V305" s="43" t="s">
        <v>317</v>
      </c>
      <c r="X305" s="43" t="s">
        <v>318</v>
      </c>
      <c r="Y305" s="43" t="s">
        <v>319</v>
      </c>
      <c r="Z305" s="43" t="s">
        <v>320</v>
      </c>
      <c r="AA305" s="43" t="s">
        <v>321</v>
      </c>
      <c r="AB305" s="144">
        <v>7.0000002160668399E-3</v>
      </c>
      <c r="AC305" s="125">
        <v>43190</v>
      </c>
      <c r="AF305" s="43" t="s">
        <v>75</v>
      </c>
      <c r="AG305" s="43" t="s">
        <v>322</v>
      </c>
      <c r="AJ305" s="140">
        <v>0</v>
      </c>
      <c r="AK305" s="140">
        <v>0</v>
      </c>
      <c r="AL305" s="140">
        <v>0</v>
      </c>
      <c r="AM305" s="140">
        <v>0</v>
      </c>
      <c r="AN305" s="140">
        <v>0</v>
      </c>
      <c r="AO305" s="140">
        <v>2</v>
      </c>
      <c r="AP305" s="140">
        <v>1</v>
      </c>
      <c r="AQ305" s="140">
        <v>-1</v>
      </c>
      <c r="AR305" s="140">
        <v>0</v>
      </c>
      <c r="AS305" s="140">
        <v>0</v>
      </c>
      <c r="AT305" s="140">
        <v>0</v>
      </c>
      <c r="AU305" s="140">
        <v>0</v>
      </c>
      <c r="AV305" s="140">
        <v>2</v>
      </c>
      <c r="AW305" s="140">
        <v>1</v>
      </c>
      <c r="AX305" s="140">
        <v>-1</v>
      </c>
      <c r="AY305" s="140">
        <v>0</v>
      </c>
      <c r="AZ305" s="140">
        <v>0</v>
      </c>
      <c r="BA305" s="140">
        <v>0</v>
      </c>
      <c r="BB305" s="140">
        <v>0</v>
      </c>
      <c r="BC305" s="140">
        <v>0</v>
      </c>
      <c r="BD305" s="140">
        <v>0</v>
      </c>
      <c r="BE305" s="140">
        <v>0</v>
      </c>
      <c r="BF305" s="140">
        <v>0</v>
      </c>
      <c r="BG305" s="140">
        <v>0</v>
      </c>
      <c r="BH305" s="140">
        <v>0</v>
      </c>
      <c r="BI305" s="140">
        <v>0</v>
      </c>
      <c r="BJ305" s="140">
        <v>0</v>
      </c>
      <c r="BK305" s="140">
        <v>0</v>
      </c>
      <c r="BL305" s="140">
        <v>0</v>
      </c>
      <c r="BM305" s="140">
        <v>0</v>
      </c>
      <c r="BN305" s="140">
        <v>0</v>
      </c>
      <c r="BO305" s="140">
        <v>0</v>
      </c>
      <c r="BX305" s="43">
        <v>13</v>
      </c>
      <c r="BZ305" s="90">
        <f>M305</f>
        <v>2</v>
      </c>
      <c r="CT305" s="90">
        <f t="shared" si="19"/>
        <v>2</v>
      </c>
      <c r="CU305" s="90">
        <f t="shared" si="20"/>
        <v>2</v>
      </c>
    </row>
    <row r="306" spans="1:99" ht="12" customHeight="1">
      <c r="A306" s="43">
        <v>5381</v>
      </c>
      <c r="B306" s="89" t="s">
        <v>813</v>
      </c>
      <c r="C306" s="89" t="s">
        <v>1083</v>
      </c>
      <c r="D306" s="89" t="s">
        <v>1084</v>
      </c>
      <c r="F306" s="43">
        <v>526820</v>
      </c>
      <c r="G306" s="43">
        <v>176155</v>
      </c>
      <c r="H306" s="89" t="s">
        <v>177</v>
      </c>
      <c r="I306" s="125">
        <v>43430</v>
      </c>
      <c r="K306" s="140">
        <v>0</v>
      </c>
      <c r="L306" s="140">
        <v>52</v>
      </c>
      <c r="M306" s="140">
        <v>52</v>
      </c>
      <c r="N306" s="140">
        <v>82</v>
      </c>
      <c r="O306" s="140">
        <v>82</v>
      </c>
      <c r="P306" s="43" t="s">
        <v>329</v>
      </c>
      <c r="Q306" s="89" t="s">
        <v>1085</v>
      </c>
      <c r="R306" s="43" t="s">
        <v>392</v>
      </c>
      <c r="S306" s="125">
        <v>43027</v>
      </c>
      <c r="T306" s="117">
        <v>43222</v>
      </c>
      <c r="V306" s="43" t="s">
        <v>317</v>
      </c>
      <c r="X306" s="43" t="s">
        <v>318</v>
      </c>
      <c r="Y306" s="43" t="s">
        <v>361</v>
      </c>
      <c r="Z306" s="43" t="s">
        <v>361</v>
      </c>
      <c r="AA306" s="43" t="s">
        <v>320</v>
      </c>
      <c r="AB306" s="144">
        <v>3.9000000804662698E-2</v>
      </c>
      <c r="AC306" s="125">
        <v>43430</v>
      </c>
      <c r="AF306" s="43" t="s">
        <v>75</v>
      </c>
      <c r="AG306" s="43" t="s">
        <v>322</v>
      </c>
      <c r="AH306" s="43" t="s">
        <v>1086</v>
      </c>
      <c r="AJ306" s="140">
        <v>0</v>
      </c>
      <c r="AK306" s="140">
        <v>47</v>
      </c>
      <c r="AL306" s="140">
        <v>0</v>
      </c>
      <c r="AM306" s="140">
        <v>5</v>
      </c>
      <c r="AN306" s="140">
        <v>1</v>
      </c>
      <c r="AO306" s="140">
        <v>14</v>
      </c>
      <c r="AP306" s="140">
        <v>31</v>
      </c>
      <c r="AQ306" s="140">
        <v>6</v>
      </c>
      <c r="AR306" s="140">
        <v>0</v>
      </c>
      <c r="AS306" s="140">
        <v>0</v>
      </c>
      <c r="AT306" s="140">
        <v>0</v>
      </c>
      <c r="AU306" s="140">
        <v>1</v>
      </c>
      <c r="AV306" s="140">
        <v>14</v>
      </c>
      <c r="AW306" s="140">
        <v>31</v>
      </c>
      <c r="AX306" s="140">
        <v>6</v>
      </c>
      <c r="AY306" s="140">
        <v>0</v>
      </c>
      <c r="AZ306" s="140">
        <v>0</v>
      </c>
      <c r="BA306" s="140">
        <v>0</v>
      </c>
      <c r="BB306" s="140">
        <v>0</v>
      </c>
      <c r="BC306" s="140">
        <v>0</v>
      </c>
      <c r="BD306" s="140">
        <v>0</v>
      </c>
      <c r="BE306" s="140">
        <v>0</v>
      </c>
      <c r="BF306" s="140">
        <v>0</v>
      </c>
      <c r="BG306" s="140">
        <v>0</v>
      </c>
      <c r="BH306" s="140">
        <v>0</v>
      </c>
      <c r="BI306" s="140">
        <v>0</v>
      </c>
      <c r="BJ306" s="140">
        <v>0</v>
      </c>
      <c r="BK306" s="140">
        <v>0</v>
      </c>
      <c r="BL306" s="140">
        <v>0</v>
      </c>
      <c r="BM306" s="140">
        <v>0</v>
      </c>
      <c r="BN306" s="140">
        <v>0</v>
      </c>
      <c r="BO306" s="140">
        <v>0</v>
      </c>
      <c r="BX306" s="43">
        <v>5</v>
      </c>
      <c r="CA306" s="90">
        <f t="shared" ref="CA306:CD308" si="23">$M306/4</f>
        <v>13</v>
      </c>
      <c r="CB306" s="90">
        <f t="shared" si="23"/>
        <v>13</v>
      </c>
      <c r="CC306" s="90">
        <f t="shared" si="23"/>
        <v>13</v>
      </c>
      <c r="CD306" s="90">
        <f t="shared" si="23"/>
        <v>13</v>
      </c>
      <c r="CT306" s="90">
        <f t="shared" si="19"/>
        <v>52</v>
      </c>
      <c r="CU306" s="90">
        <f t="shared" si="20"/>
        <v>52</v>
      </c>
    </row>
    <row r="307" spans="1:99" ht="12" customHeight="1">
      <c r="A307" s="43">
        <v>5381</v>
      </c>
      <c r="B307" s="89" t="s">
        <v>813</v>
      </c>
      <c r="C307" s="89" t="s">
        <v>1083</v>
      </c>
      <c r="D307" s="89" t="s">
        <v>1084</v>
      </c>
      <c r="F307" s="43">
        <v>526820</v>
      </c>
      <c r="G307" s="43">
        <v>176155</v>
      </c>
      <c r="H307" s="89" t="s">
        <v>177</v>
      </c>
      <c r="I307" s="125">
        <v>43430</v>
      </c>
      <c r="K307" s="140">
        <v>0</v>
      </c>
      <c r="L307" s="140">
        <v>30</v>
      </c>
      <c r="M307" s="140">
        <v>30</v>
      </c>
      <c r="N307" s="140">
        <v>82</v>
      </c>
      <c r="O307" s="140">
        <v>82</v>
      </c>
      <c r="P307" s="43" t="s">
        <v>329</v>
      </c>
      <c r="Q307" s="89" t="s">
        <v>1085</v>
      </c>
      <c r="R307" s="43" t="s">
        <v>392</v>
      </c>
      <c r="S307" s="125">
        <v>43027</v>
      </c>
      <c r="T307" s="117">
        <v>43222</v>
      </c>
      <c r="V307" s="43" t="s">
        <v>317</v>
      </c>
      <c r="X307" s="43" t="s">
        <v>318</v>
      </c>
      <c r="Y307" s="43" t="s">
        <v>361</v>
      </c>
      <c r="Z307" s="43" t="s">
        <v>361</v>
      </c>
      <c r="AA307" s="43" t="s">
        <v>320</v>
      </c>
      <c r="AB307" s="144">
        <v>1.2000000104308101E-2</v>
      </c>
      <c r="AC307" s="125">
        <v>43430</v>
      </c>
      <c r="AF307" s="43" t="s">
        <v>54</v>
      </c>
      <c r="AG307" s="43" t="s">
        <v>831</v>
      </c>
      <c r="AH307" s="43" t="s">
        <v>1086</v>
      </c>
      <c r="AJ307" s="140">
        <v>0</v>
      </c>
      <c r="AK307" s="140">
        <v>27</v>
      </c>
      <c r="AL307" s="140">
        <v>0</v>
      </c>
      <c r="AM307" s="140">
        <v>3</v>
      </c>
      <c r="AN307" s="140">
        <v>0</v>
      </c>
      <c r="AO307" s="140">
        <v>14</v>
      </c>
      <c r="AP307" s="140">
        <v>14</v>
      </c>
      <c r="AQ307" s="140">
        <v>2</v>
      </c>
      <c r="AR307" s="140">
        <v>0</v>
      </c>
      <c r="AS307" s="140">
        <v>0</v>
      </c>
      <c r="AT307" s="140">
        <v>0</v>
      </c>
      <c r="AU307" s="140">
        <v>0</v>
      </c>
      <c r="AV307" s="140">
        <v>14</v>
      </c>
      <c r="AW307" s="140">
        <v>14</v>
      </c>
      <c r="AX307" s="140">
        <v>2</v>
      </c>
      <c r="AY307" s="140">
        <v>0</v>
      </c>
      <c r="AZ307" s="140">
        <v>0</v>
      </c>
      <c r="BA307" s="140">
        <v>0</v>
      </c>
      <c r="BB307" s="140">
        <v>0</v>
      </c>
      <c r="BC307" s="140">
        <v>0</v>
      </c>
      <c r="BD307" s="140">
        <v>0</v>
      </c>
      <c r="BE307" s="140">
        <v>0</v>
      </c>
      <c r="BF307" s="140">
        <v>0</v>
      </c>
      <c r="BG307" s="140">
        <v>0</v>
      </c>
      <c r="BH307" s="140">
        <v>0</v>
      </c>
      <c r="BI307" s="140">
        <v>0</v>
      </c>
      <c r="BJ307" s="140">
        <v>0</v>
      </c>
      <c r="BK307" s="140">
        <v>0</v>
      </c>
      <c r="BL307" s="140">
        <v>0</v>
      </c>
      <c r="BM307" s="140">
        <v>0</v>
      </c>
      <c r="BN307" s="140">
        <v>0</v>
      </c>
      <c r="BO307" s="140">
        <v>0</v>
      </c>
      <c r="BX307" s="43">
        <v>5</v>
      </c>
      <c r="CA307" s="90">
        <f t="shared" si="23"/>
        <v>7.5</v>
      </c>
      <c r="CB307" s="90">
        <f t="shared" si="23"/>
        <v>7.5</v>
      </c>
      <c r="CC307" s="90">
        <f t="shared" si="23"/>
        <v>7.5</v>
      </c>
      <c r="CD307" s="90">
        <f t="shared" si="23"/>
        <v>7.5</v>
      </c>
      <c r="CT307" s="90">
        <f t="shared" si="19"/>
        <v>30</v>
      </c>
      <c r="CU307" s="90">
        <f t="shared" si="20"/>
        <v>30</v>
      </c>
    </row>
    <row r="308" spans="1:99" ht="12" customHeight="1">
      <c r="A308" s="43">
        <v>5410</v>
      </c>
      <c r="B308" s="89" t="s">
        <v>813</v>
      </c>
      <c r="C308" s="89" t="s">
        <v>1087</v>
      </c>
      <c r="D308" s="89" t="s">
        <v>1088</v>
      </c>
      <c r="F308" s="43">
        <v>524095</v>
      </c>
      <c r="G308" s="43">
        <v>173645</v>
      </c>
      <c r="H308" s="89" t="s">
        <v>180</v>
      </c>
      <c r="I308" s="125">
        <v>43126</v>
      </c>
      <c r="K308" s="140">
        <v>0</v>
      </c>
      <c r="L308" s="140">
        <v>28</v>
      </c>
      <c r="M308" s="140">
        <v>28</v>
      </c>
      <c r="N308" s="140">
        <v>28</v>
      </c>
      <c r="O308" s="140">
        <v>28</v>
      </c>
      <c r="P308" s="43" t="s">
        <v>329</v>
      </c>
      <c r="Q308" s="89" t="s">
        <v>1089</v>
      </c>
      <c r="R308" s="43" t="s">
        <v>392</v>
      </c>
      <c r="S308" s="125">
        <v>42852</v>
      </c>
      <c r="T308" s="117">
        <v>43126</v>
      </c>
      <c r="V308" s="43" t="s">
        <v>317</v>
      </c>
      <c r="X308" s="43" t="s">
        <v>318</v>
      </c>
      <c r="Y308" s="43" t="s">
        <v>361</v>
      </c>
      <c r="Z308" s="43" t="s">
        <v>361</v>
      </c>
      <c r="AA308" s="43" t="s">
        <v>320</v>
      </c>
      <c r="AB308" s="144">
        <v>4.6999998390674598E-2</v>
      </c>
      <c r="AC308" s="125">
        <v>43126</v>
      </c>
      <c r="AF308" s="43" t="s">
        <v>75</v>
      </c>
      <c r="AG308" s="43" t="s">
        <v>322</v>
      </c>
      <c r="AJ308" s="140">
        <v>0</v>
      </c>
      <c r="AK308" s="140">
        <v>0</v>
      </c>
      <c r="AL308" s="140">
        <v>0</v>
      </c>
      <c r="AM308" s="140">
        <v>3</v>
      </c>
      <c r="AN308" s="140">
        <v>0</v>
      </c>
      <c r="AO308" s="140">
        <v>13</v>
      </c>
      <c r="AP308" s="140">
        <v>11</v>
      </c>
      <c r="AQ308" s="140">
        <v>4</v>
      </c>
      <c r="AR308" s="140">
        <v>0</v>
      </c>
      <c r="AS308" s="140">
        <v>0</v>
      </c>
      <c r="AT308" s="140">
        <v>0</v>
      </c>
      <c r="AU308" s="140">
        <v>0</v>
      </c>
      <c r="AV308" s="140">
        <v>13</v>
      </c>
      <c r="AW308" s="140">
        <v>11</v>
      </c>
      <c r="AX308" s="140">
        <v>4</v>
      </c>
      <c r="AY308" s="140">
        <v>0</v>
      </c>
      <c r="AZ308" s="140">
        <v>0</v>
      </c>
      <c r="BA308" s="140">
        <v>0</v>
      </c>
      <c r="BB308" s="140">
        <v>0</v>
      </c>
      <c r="BC308" s="140">
        <v>0</v>
      </c>
      <c r="BD308" s="140">
        <v>0</v>
      </c>
      <c r="BE308" s="140">
        <v>0</v>
      </c>
      <c r="BF308" s="140">
        <v>0</v>
      </c>
      <c r="BG308" s="140">
        <v>0</v>
      </c>
      <c r="BH308" s="140">
        <v>0</v>
      </c>
      <c r="BI308" s="140">
        <v>0</v>
      </c>
      <c r="BJ308" s="140">
        <v>0</v>
      </c>
      <c r="BK308" s="140">
        <v>0</v>
      </c>
      <c r="BL308" s="140">
        <v>0</v>
      </c>
      <c r="BM308" s="140">
        <v>0</v>
      </c>
      <c r="BN308" s="140">
        <v>0</v>
      </c>
      <c r="BO308" s="140">
        <v>0</v>
      </c>
      <c r="BX308" s="43">
        <v>5</v>
      </c>
      <c r="CA308" s="90">
        <f t="shared" si="23"/>
        <v>7</v>
      </c>
      <c r="CB308" s="90">
        <f t="shared" si="23"/>
        <v>7</v>
      </c>
      <c r="CC308" s="90">
        <f t="shared" si="23"/>
        <v>7</v>
      </c>
      <c r="CD308" s="90">
        <f t="shared" si="23"/>
        <v>7</v>
      </c>
      <c r="CT308" s="90">
        <f t="shared" si="19"/>
        <v>28</v>
      </c>
      <c r="CU308" s="90">
        <f t="shared" si="20"/>
        <v>28</v>
      </c>
    </row>
    <row r="309" spans="1:99" ht="12" customHeight="1">
      <c r="A309" s="43">
        <v>5453</v>
      </c>
      <c r="B309" s="89" t="s">
        <v>813</v>
      </c>
      <c r="C309" s="89" t="s">
        <v>1090</v>
      </c>
      <c r="D309" s="89" t="s">
        <v>1091</v>
      </c>
      <c r="F309" s="43">
        <v>527274</v>
      </c>
      <c r="G309" s="43">
        <v>174710</v>
      </c>
      <c r="H309" s="89" t="s">
        <v>174</v>
      </c>
      <c r="I309" s="125">
        <v>43190</v>
      </c>
      <c r="K309" s="140">
        <v>0</v>
      </c>
      <c r="L309" s="140">
        <v>1</v>
      </c>
      <c r="M309" s="140">
        <v>1</v>
      </c>
      <c r="N309" s="140">
        <v>1</v>
      </c>
      <c r="O309" s="140">
        <v>1</v>
      </c>
      <c r="Q309" s="89" t="s">
        <v>1092</v>
      </c>
      <c r="R309" s="43" t="s">
        <v>316</v>
      </c>
      <c r="S309" s="125">
        <v>42989</v>
      </c>
      <c r="T309" s="117">
        <v>43075</v>
      </c>
      <c r="V309" s="43" t="s">
        <v>317</v>
      </c>
      <c r="X309" s="43" t="s">
        <v>413</v>
      </c>
      <c r="Y309" s="43" t="s">
        <v>361</v>
      </c>
      <c r="Z309" s="43" t="s">
        <v>320</v>
      </c>
      <c r="AA309" s="43" t="s">
        <v>353</v>
      </c>
      <c r="AB309" s="144">
        <v>9.00000035762787E-2</v>
      </c>
      <c r="AC309" s="125">
        <v>43190</v>
      </c>
      <c r="AF309" s="43" t="s">
        <v>75</v>
      </c>
      <c r="AG309" s="43" t="s">
        <v>322</v>
      </c>
      <c r="AJ309" s="140">
        <v>0</v>
      </c>
      <c r="AK309" s="140">
        <v>0</v>
      </c>
      <c r="AL309" s="140">
        <v>0</v>
      </c>
      <c r="AM309" s="140">
        <v>0</v>
      </c>
      <c r="AN309" s="140">
        <v>0</v>
      </c>
      <c r="AO309" s="140">
        <v>0</v>
      </c>
      <c r="AP309" s="140">
        <v>0</v>
      </c>
      <c r="AQ309" s="140">
        <v>0</v>
      </c>
      <c r="AR309" s="140">
        <v>0</v>
      </c>
      <c r="AS309" s="140">
        <v>1</v>
      </c>
      <c r="AT309" s="140">
        <v>0</v>
      </c>
      <c r="AU309" s="140">
        <v>0</v>
      </c>
      <c r="AV309" s="140">
        <v>0</v>
      </c>
      <c r="AW309" s="140">
        <v>0</v>
      </c>
      <c r="AX309" s="140">
        <v>0</v>
      </c>
      <c r="AY309" s="140">
        <v>0</v>
      </c>
      <c r="AZ309" s="140">
        <v>0</v>
      </c>
      <c r="BA309" s="140">
        <v>0</v>
      </c>
      <c r="BB309" s="140">
        <v>0</v>
      </c>
      <c r="BC309" s="140">
        <v>0</v>
      </c>
      <c r="BD309" s="140">
        <v>0</v>
      </c>
      <c r="BE309" s="140">
        <v>0</v>
      </c>
      <c r="BF309" s="140">
        <v>0</v>
      </c>
      <c r="BG309" s="140">
        <v>1</v>
      </c>
      <c r="BH309" s="140">
        <v>0</v>
      </c>
      <c r="BI309" s="140">
        <v>0</v>
      </c>
      <c r="BJ309" s="140">
        <v>0</v>
      </c>
      <c r="BK309" s="140">
        <v>0</v>
      </c>
      <c r="BL309" s="140">
        <v>0</v>
      </c>
      <c r="BM309" s="140">
        <v>0</v>
      </c>
      <c r="BN309" s="140">
        <v>0</v>
      </c>
      <c r="BO309" s="140">
        <v>0</v>
      </c>
      <c r="BX309" s="43">
        <v>2</v>
      </c>
      <c r="BZ309" s="90">
        <f t="shared" ref="BZ309:BZ326" si="24">M309</f>
        <v>1</v>
      </c>
      <c r="CT309" s="90">
        <f t="shared" si="19"/>
        <v>1</v>
      </c>
      <c r="CU309" s="90">
        <f t="shared" si="20"/>
        <v>1</v>
      </c>
    </row>
    <row r="310" spans="1:99" ht="12" customHeight="1">
      <c r="A310" s="43">
        <v>5475</v>
      </c>
      <c r="B310" s="89" t="s">
        <v>813</v>
      </c>
      <c r="C310" s="89" t="s">
        <v>1093</v>
      </c>
      <c r="D310" s="89" t="s">
        <v>1094</v>
      </c>
      <c r="F310" s="43">
        <v>527437</v>
      </c>
      <c r="G310" s="43">
        <v>176713</v>
      </c>
      <c r="H310" s="89" t="s">
        <v>177</v>
      </c>
      <c r="I310" s="125">
        <v>42094</v>
      </c>
      <c r="K310" s="140">
        <v>1</v>
      </c>
      <c r="L310" s="140">
        <v>1</v>
      </c>
      <c r="M310" s="140">
        <v>0</v>
      </c>
      <c r="N310" s="140">
        <v>1</v>
      </c>
      <c r="O310" s="140">
        <v>0</v>
      </c>
      <c r="Q310" s="89" t="s">
        <v>1095</v>
      </c>
      <c r="R310" s="43" t="s">
        <v>316</v>
      </c>
      <c r="S310" s="125">
        <v>41605</v>
      </c>
      <c r="T310" s="117">
        <v>41810</v>
      </c>
      <c r="V310" s="43" t="s">
        <v>317</v>
      </c>
      <c r="X310" s="43" t="s">
        <v>318</v>
      </c>
      <c r="Y310" s="43" t="s">
        <v>361</v>
      </c>
      <c r="Z310" s="43" t="s">
        <v>320</v>
      </c>
      <c r="AA310" s="43" t="s">
        <v>353</v>
      </c>
      <c r="AB310" s="144">
        <v>3.9000000804662698E-2</v>
      </c>
      <c r="AC310" s="125">
        <v>42094</v>
      </c>
      <c r="AF310" s="43" t="s">
        <v>75</v>
      </c>
      <c r="AG310" s="43" t="s">
        <v>322</v>
      </c>
      <c r="AJ310" s="140">
        <v>0</v>
      </c>
      <c r="AK310" s="140">
        <v>0</v>
      </c>
      <c r="AL310" s="140">
        <v>0</v>
      </c>
      <c r="AM310" s="140">
        <v>0</v>
      </c>
      <c r="AN310" s="140">
        <v>0</v>
      </c>
      <c r="AO310" s="140">
        <v>0</v>
      </c>
      <c r="AP310" s="140">
        <v>0</v>
      </c>
      <c r="AQ310" s="140">
        <v>0</v>
      </c>
      <c r="AR310" s="140">
        <v>-1</v>
      </c>
      <c r="AS310" s="140">
        <v>1</v>
      </c>
      <c r="AT310" s="140">
        <v>0</v>
      </c>
      <c r="AU310" s="140">
        <v>0</v>
      </c>
      <c r="AV310" s="140">
        <v>0</v>
      </c>
      <c r="AW310" s="140">
        <v>0</v>
      </c>
      <c r="AX310" s="140">
        <v>0</v>
      </c>
      <c r="AY310" s="140">
        <v>0</v>
      </c>
      <c r="AZ310" s="140">
        <v>0</v>
      </c>
      <c r="BA310" s="140">
        <v>0</v>
      </c>
      <c r="BB310" s="140">
        <v>0</v>
      </c>
      <c r="BC310" s="140">
        <v>0</v>
      </c>
      <c r="BD310" s="140">
        <v>0</v>
      </c>
      <c r="BE310" s="140">
        <v>0</v>
      </c>
      <c r="BF310" s="140">
        <v>-1</v>
      </c>
      <c r="BG310" s="140">
        <v>1</v>
      </c>
      <c r="BH310" s="140">
        <v>0</v>
      </c>
      <c r="BI310" s="140">
        <v>0</v>
      </c>
      <c r="BJ310" s="140">
        <v>0</v>
      </c>
      <c r="BK310" s="140">
        <v>0</v>
      </c>
      <c r="BL310" s="140">
        <v>0</v>
      </c>
      <c r="BM310" s="140">
        <v>0</v>
      </c>
      <c r="BN310" s="140">
        <v>0</v>
      </c>
      <c r="BO310" s="140">
        <v>0</v>
      </c>
      <c r="BX310" s="43">
        <v>2</v>
      </c>
      <c r="BZ310" s="90">
        <f t="shared" si="24"/>
        <v>0</v>
      </c>
      <c r="CT310" s="90">
        <f t="shared" si="19"/>
        <v>0</v>
      </c>
      <c r="CU310" s="90">
        <f t="shared" si="20"/>
        <v>0</v>
      </c>
    </row>
    <row r="311" spans="1:99" ht="12" customHeight="1">
      <c r="A311" s="43">
        <v>5514</v>
      </c>
      <c r="B311" s="89" t="s">
        <v>813</v>
      </c>
      <c r="C311" s="89" t="s">
        <v>1096</v>
      </c>
      <c r="D311" s="89" t="s">
        <v>1097</v>
      </c>
      <c r="F311" s="43">
        <v>529246</v>
      </c>
      <c r="G311" s="43">
        <v>170855</v>
      </c>
      <c r="H311" s="89" t="s">
        <v>171</v>
      </c>
      <c r="I311" s="125">
        <v>42826</v>
      </c>
      <c r="K311" s="140">
        <v>0</v>
      </c>
      <c r="L311" s="140">
        <v>1</v>
      </c>
      <c r="M311" s="140">
        <v>1</v>
      </c>
      <c r="N311" s="140">
        <v>1</v>
      </c>
      <c r="O311" s="140">
        <v>1</v>
      </c>
      <c r="Q311" s="89" t="s">
        <v>1098</v>
      </c>
      <c r="R311" s="43" t="s">
        <v>316</v>
      </c>
      <c r="S311" s="125">
        <v>41647</v>
      </c>
      <c r="T311" s="117">
        <v>42107</v>
      </c>
      <c r="V311" s="43" t="s">
        <v>317</v>
      </c>
      <c r="X311" s="43" t="s">
        <v>318</v>
      </c>
      <c r="Y311" s="43" t="s">
        <v>319</v>
      </c>
      <c r="Z311" s="43" t="s">
        <v>320</v>
      </c>
      <c r="AA311" s="43" t="s">
        <v>353</v>
      </c>
      <c r="AB311" s="144">
        <v>7.0000002160668399E-3</v>
      </c>
      <c r="AC311" s="125">
        <v>42826</v>
      </c>
      <c r="AF311" s="43" t="s">
        <v>75</v>
      </c>
      <c r="AG311" s="43" t="s">
        <v>322</v>
      </c>
      <c r="AJ311" s="140">
        <v>1</v>
      </c>
      <c r="AK311" s="140">
        <v>0</v>
      </c>
      <c r="AL311" s="140">
        <v>0</v>
      </c>
      <c r="AM311" s="140">
        <v>0</v>
      </c>
      <c r="AN311" s="140">
        <v>0</v>
      </c>
      <c r="AO311" s="140">
        <v>0</v>
      </c>
      <c r="AP311" s="140">
        <v>1</v>
      </c>
      <c r="AQ311" s="140">
        <v>0</v>
      </c>
      <c r="AR311" s="140">
        <v>0</v>
      </c>
      <c r="AS311" s="140">
        <v>0</v>
      </c>
      <c r="AT311" s="140">
        <v>0</v>
      </c>
      <c r="AU311" s="140">
        <v>0</v>
      </c>
      <c r="AV311" s="140">
        <v>0</v>
      </c>
      <c r="AW311" s="140">
        <v>0</v>
      </c>
      <c r="AX311" s="140">
        <v>0</v>
      </c>
      <c r="AY311" s="140">
        <v>0</v>
      </c>
      <c r="AZ311" s="140">
        <v>0</v>
      </c>
      <c r="BA311" s="140">
        <v>0</v>
      </c>
      <c r="BB311" s="140">
        <v>0</v>
      </c>
      <c r="BC311" s="140">
        <v>0</v>
      </c>
      <c r="BD311" s="140">
        <v>1</v>
      </c>
      <c r="BE311" s="140">
        <v>0</v>
      </c>
      <c r="BF311" s="140">
        <v>0</v>
      </c>
      <c r="BG311" s="140">
        <v>0</v>
      </c>
      <c r="BH311" s="140">
        <v>0</v>
      </c>
      <c r="BI311" s="140">
        <v>0</v>
      </c>
      <c r="BJ311" s="140">
        <v>0</v>
      </c>
      <c r="BK311" s="140">
        <v>0</v>
      </c>
      <c r="BL311" s="140">
        <v>0</v>
      </c>
      <c r="BM311" s="140">
        <v>0</v>
      </c>
      <c r="BN311" s="140">
        <v>0</v>
      </c>
      <c r="BO311" s="140">
        <v>0</v>
      </c>
      <c r="BX311" s="43">
        <v>13</v>
      </c>
      <c r="BZ311" s="90">
        <f t="shared" si="24"/>
        <v>1</v>
      </c>
      <c r="CT311" s="90">
        <f t="shared" si="19"/>
        <v>1</v>
      </c>
      <c r="CU311" s="90">
        <f t="shared" si="20"/>
        <v>1</v>
      </c>
    </row>
    <row r="312" spans="1:99" ht="12" customHeight="1">
      <c r="A312" s="43">
        <v>5554</v>
      </c>
      <c r="B312" s="89" t="s">
        <v>813</v>
      </c>
      <c r="C312" s="89" t="s">
        <v>1099</v>
      </c>
      <c r="D312" s="89" t="s">
        <v>1100</v>
      </c>
      <c r="F312" s="43">
        <v>523841</v>
      </c>
      <c r="G312" s="43">
        <v>174804</v>
      </c>
      <c r="H312" s="89" t="s">
        <v>169</v>
      </c>
      <c r="I312" s="125">
        <v>42937</v>
      </c>
      <c r="K312" s="140">
        <v>1</v>
      </c>
      <c r="L312" s="140">
        <v>1</v>
      </c>
      <c r="M312" s="140">
        <v>0</v>
      </c>
      <c r="N312" s="140">
        <v>1</v>
      </c>
      <c r="O312" s="140">
        <v>0</v>
      </c>
      <c r="Q312" s="89" t="s">
        <v>1101</v>
      </c>
      <c r="R312" s="43" t="s">
        <v>316</v>
      </c>
      <c r="S312" s="125">
        <v>42024</v>
      </c>
      <c r="T312" s="117">
        <v>42080</v>
      </c>
      <c r="V312" s="43" t="s">
        <v>317</v>
      </c>
      <c r="X312" s="43" t="s">
        <v>318</v>
      </c>
      <c r="Y312" s="43" t="s">
        <v>361</v>
      </c>
      <c r="Z312" s="43" t="s">
        <v>320</v>
      </c>
      <c r="AA312" s="43" t="s">
        <v>353</v>
      </c>
      <c r="AB312" s="144">
        <v>2.3000000044703501E-2</v>
      </c>
      <c r="AC312" s="125">
        <v>42937</v>
      </c>
      <c r="AF312" s="43" t="s">
        <v>75</v>
      </c>
      <c r="AG312" s="43" t="s">
        <v>322</v>
      </c>
      <c r="AJ312" s="140">
        <v>0</v>
      </c>
      <c r="AK312" s="140">
        <v>0</v>
      </c>
      <c r="AL312" s="140">
        <v>0</v>
      </c>
      <c r="AM312" s="140">
        <v>0</v>
      </c>
      <c r="AN312" s="140">
        <v>0</v>
      </c>
      <c r="AO312" s="140">
        <v>0</v>
      </c>
      <c r="AP312" s="140">
        <v>0</v>
      </c>
      <c r="AQ312" s="140">
        <v>-1</v>
      </c>
      <c r="AR312" s="140">
        <v>1</v>
      </c>
      <c r="AS312" s="140">
        <v>0</v>
      </c>
      <c r="AT312" s="140">
        <v>0</v>
      </c>
      <c r="AU312" s="140">
        <v>0</v>
      </c>
      <c r="AV312" s="140">
        <v>0</v>
      </c>
      <c r="AW312" s="140">
        <v>0</v>
      </c>
      <c r="AX312" s="140">
        <v>0</v>
      </c>
      <c r="AY312" s="140">
        <v>0</v>
      </c>
      <c r="AZ312" s="140">
        <v>0</v>
      </c>
      <c r="BA312" s="140">
        <v>0</v>
      </c>
      <c r="BB312" s="140">
        <v>0</v>
      </c>
      <c r="BC312" s="140">
        <v>0</v>
      </c>
      <c r="BD312" s="140">
        <v>0</v>
      </c>
      <c r="BE312" s="140">
        <v>-1</v>
      </c>
      <c r="BF312" s="140">
        <v>1</v>
      </c>
      <c r="BG312" s="140">
        <v>0</v>
      </c>
      <c r="BH312" s="140">
        <v>0</v>
      </c>
      <c r="BI312" s="140">
        <v>0</v>
      </c>
      <c r="BJ312" s="140">
        <v>0</v>
      </c>
      <c r="BK312" s="140">
        <v>0</v>
      </c>
      <c r="BL312" s="140">
        <v>0</v>
      </c>
      <c r="BM312" s="140">
        <v>0</v>
      </c>
      <c r="BN312" s="140">
        <v>0</v>
      </c>
      <c r="BO312" s="140">
        <v>0</v>
      </c>
      <c r="BX312" s="43">
        <v>2</v>
      </c>
      <c r="BZ312" s="90">
        <f t="shared" si="24"/>
        <v>0</v>
      </c>
      <c r="CT312" s="90">
        <f t="shared" si="19"/>
        <v>0</v>
      </c>
      <c r="CU312" s="90">
        <f t="shared" si="20"/>
        <v>0</v>
      </c>
    </row>
    <row r="313" spans="1:99" ht="12" customHeight="1">
      <c r="A313" s="43">
        <v>5569</v>
      </c>
      <c r="B313" s="89" t="s">
        <v>813</v>
      </c>
      <c r="C313" s="89" t="s">
        <v>1102</v>
      </c>
      <c r="D313" s="89" t="s">
        <v>1103</v>
      </c>
      <c r="F313" s="43">
        <v>525381</v>
      </c>
      <c r="G313" s="43">
        <v>174578</v>
      </c>
      <c r="H313" s="89" t="s">
        <v>176</v>
      </c>
      <c r="I313" s="125">
        <v>42643</v>
      </c>
      <c r="K313" s="140">
        <v>0</v>
      </c>
      <c r="L313" s="140">
        <v>73</v>
      </c>
      <c r="M313" s="140">
        <v>73</v>
      </c>
      <c r="N313" s="140">
        <v>77</v>
      </c>
      <c r="O313" s="140">
        <v>77</v>
      </c>
      <c r="P313" s="43" t="s">
        <v>329</v>
      </c>
      <c r="Q313" s="89" t="s">
        <v>1104</v>
      </c>
      <c r="R313" s="43" t="s">
        <v>392</v>
      </c>
      <c r="S313" s="125">
        <v>41541</v>
      </c>
      <c r="T313" s="117">
        <v>41842</v>
      </c>
      <c r="V313" s="43" t="s">
        <v>317</v>
      </c>
      <c r="X313" s="43" t="s">
        <v>318</v>
      </c>
      <c r="Y313" s="43" t="s">
        <v>361</v>
      </c>
      <c r="Z313" s="43" t="s">
        <v>361</v>
      </c>
      <c r="AA313" s="43" t="s">
        <v>320</v>
      </c>
      <c r="AB313" s="144">
        <v>8.1000000238418607E-2</v>
      </c>
      <c r="AC313" s="125">
        <v>42643</v>
      </c>
      <c r="AF313" s="43" t="s">
        <v>75</v>
      </c>
      <c r="AG313" s="43" t="s">
        <v>322</v>
      </c>
      <c r="AH313" s="43" t="s">
        <v>1105</v>
      </c>
      <c r="AJ313" s="140">
        <v>73</v>
      </c>
      <c r="AK313" s="140">
        <v>0</v>
      </c>
      <c r="AL313" s="140">
        <v>7</v>
      </c>
      <c r="AM313" s="140">
        <v>0</v>
      </c>
      <c r="AN313" s="140">
        <v>2</v>
      </c>
      <c r="AO313" s="140">
        <v>24</v>
      </c>
      <c r="AP313" s="140">
        <v>41</v>
      </c>
      <c r="AQ313" s="140">
        <v>6</v>
      </c>
      <c r="AR313" s="140">
        <v>0</v>
      </c>
      <c r="AS313" s="140">
        <v>0</v>
      </c>
      <c r="AT313" s="140">
        <v>0</v>
      </c>
      <c r="AU313" s="140">
        <v>2</v>
      </c>
      <c r="AV313" s="140">
        <v>24</v>
      </c>
      <c r="AW313" s="140">
        <v>41</v>
      </c>
      <c r="AX313" s="140">
        <v>6</v>
      </c>
      <c r="AY313" s="140">
        <v>0</v>
      </c>
      <c r="AZ313" s="140">
        <v>0</v>
      </c>
      <c r="BA313" s="140">
        <v>0</v>
      </c>
      <c r="BB313" s="140">
        <v>0</v>
      </c>
      <c r="BC313" s="140">
        <v>0</v>
      </c>
      <c r="BD313" s="140">
        <v>0</v>
      </c>
      <c r="BE313" s="140">
        <v>0</v>
      </c>
      <c r="BF313" s="140">
        <v>0</v>
      </c>
      <c r="BG313" s="140">
        <v>0</v>
      </c>
      <c r="BH313" s="140">
        <v>0</v>
      </c>
      <c r="BI313" s="140">
        <v>0</v>
      </c>
      <c r="BJ313" s="140">
        <v>0</v>
      </c>
      <c r="BK313" s="140">
        <v>0</v>
      </c>
      <c r="BL313" s="140">
        <v>0</v>
      </c>
      <c r="BM313" s="140">
        <v>0</v>
      </c>
      <c r="BN313" s="140">
        <v>0</v>
      </c>
      <c r="BO313" s="140">
        <v>0</v>
      </c>
      <c r="BR313" s="43" t="s">
        <v>329</v>
      </c>
      <c r="BX313" s="43">
        <v>4</v>
      </c>
      <c r="BZ313" s="90">
        <f t="shared" si="24"/>
        <v>73</v>
      </c>
      <c r="CT313" s="90">
        <f t="shared" si="19"/>
        <v>73</v>
      </c>
      <c r="CU313" s="90">
        <f t="shared" si="20"/>
        <v>73</v>
      </c>
    </row>
    <row r="314" spans="1:99" ht="12" customHeight="1">
      <c r="A314" s="43">
        <v>5569</v>
      </c>
      <c r="B314" s="89" t="s">
        <v>813</v>
      </c>
      <c r="C314" s="89" t="s">
        <v>1102</v>
      </c>
      <c r="D314" s="89" t="s">
        <v>1103</v>
      </c>
      <c r="F314" s="43">
        <v>525381</v>
      </c>
      <c r="G314" s="43">
        <v>174578</v>
      </c>
      <c r="H314" s="89" t="s">
        <v>176</v>
      </c>
      <c r="I314" s="125">
        <v>42643</v>
      </c>
      <c r="K314" s="140">
        <v>0</v>
      </c>
      <c r="L314" s="140">
        <v>4</v>
      </c>
      <c r="M314" s="140">
        <v>4</v>
      </c>
      <c r="N314" s="140">
        <v>77</v>
      </c>
      <c r="O314" s="140">
        <v>77</v>
      </c>
      <c r="P314" s="43" t="s">
        <v>329</v>
      </c>
      <c r="Q314" s="89" t="s">
        <v>1104</v>
      </c>
      <c r="R314" s="43" t="s">
        <v>392</v>
      </c>
      <c r="S314" s="125">
        <v>41541</v>
      </c>
      <c r="T314" s="117">
        <v>41842</v>
      </c>
      <c r="V314" s="43" t="s">
        <v>317</v>
      </c>
      <c r="X314" s="43" t="s">
        <v>318</v>
      </c>
      <c r="Y314" s="43" t="s">
        <v>361</v>
      </c>
      <c r="Z314" s="43" t="s">
        <v>361</v>
      </c>
      <c r="AA314" s="43" t="s">
        <v>320</v>
      </c>
      <c r="AB314" s="144">
        <v>4.0000001899898104E-3</v>
      </c>
      <c r="AC314" s="125">
        <v>42643</v>
      </c>
      <c r="AF314" s="43" t="s">
        <v>54</v>
      </c>
      <c r="AG314" s="43" t="s">
        <v>399</v>
      </c>
      <c r="AH314" s="43" t="s">
        <v>1105</v>
      </c>
      <c r="AJ314" s="140">
        <v>4</v>
      </c>
      <c r="AK314" s="140">
        <v>0</v>
      </c>
      <c r="AL314" s="140">
        <v>0</v>
      </c>
      <c r="AM314" s="140">
        <v>0</v>
      </c>
      <c r="AN314" s="140">
        <v>0</v>
      </c>
      <c r="AO314" s="140">
        <v>1</v>
      </c>
      <c r="AP314" s="140">
        <v>3</v>
      </c>
      <c r="AQ314" s="140">
        <v>0</v>
      </c>
      <c r="AR314" s="140">
        <v>0</v>
      </c>
      <c r="AS314" s="140">
        <v>0</v>
      </c>
      <c r="AT314" s="140">
        <v>0</v>
      </c>
      <c r="AU314" s="140">
        <v>0</v>
      </c>
      <c r="AV314" s="140">
        <v>1</v>
      </c>
      <c r="AW314" s="140">
        <v>3</v>
      </c>
      <c r="AX314" s="140">
        <v>0</v>
      </c>
      <c r="AY314" s="140">
        <v>0</v>
      </c>
      <c r="AZ314" s="140">
        <v>0</v>
      </c>
      <c r="BA314" s="140">
        <v>0</v>
      </c>
      <c r="BB314" s="140">
        <v>0</v>
      </c>
      <c r="BC314" s="140">
        <v>0</v>
      </c>
      <c r="BD314" s="140">
        <v>0</v>
      </c>
      <c r="BE314" s="140">
        <v>0</v>
      </c>
      <c r="BF314" s="140">
        <v>0</v>
      </c>
      <c r="BG314" s="140">
        <v>0</v>
      </c>
      <c r="BH314" s="140">
        <v>0</v>
      </c>
      <c r="BI314" s="140">
        <v>0</v>
      </c>
      <c r="BJ314" s="140">
        <v>0</v>
      </c>
      <c r="BK314" s="140">
        <v>0</v>
      </c>
      <c r="BL314" s="140">
        <v>0</v>
      </c>
      <c r="BM314" s="140">
        <v>0</v>
      </c>
      <c r="BN314" s="140">
        <v>0</v>
      </c>
      <c r="BO314" s="140">
        <v>0</v>
      </c>
      <c r="BR314" s="43" t="s">
        <v>329</v>
      </c>
      <c r="BX314" s="43">
        <v>4</v>
      </c>
      <c r="BZ314" s="90">
        <f t="shared" si="24"/>
        <v>4</v>
      </c>
      <c r="CT314" s="90">
        <f t="shared" si="19"/>
        <v>4</v>
      </c>
      <c r="CU314" s="90">
        <f t="shared" si="20"/>
        <v>4</v>
      </c>
    </row>
    <row r="315" spans="1:99" ht="12" customHeight="1">
      <c r="A315" s="43">
        <v>5621</v>
      </c>
      <c r="B315" s="89" t="s">
        <v>813</v>
      </c>
      <c r="C315" s="89" t="s">
        <v>1106</v>
      </c>
      <c r="D315" s="89" t="s">
        <v>1107</v>
      </c>
      <c r="F315" s="43">
        <v>527083</v>
      </c>
      <c r="G315" s="43">
        <v>171544</v>
      </c>
      <c r="H315" s="89" t="s">
        <v>141</v>
      </c>
      <c r="I315" s="125">
        <v>42361</v>
      </c>
      <c r="K315" s="140">
        <v>1</v>
      </c>
      <c r="L315" s="140">
        <v>3</v>
      </c>
      <c r="M315" s="140">
        <v>2</v>
      </c>
      <c r="N315" s="140">
        <v>3</v>
      </c>
      <c r="O315" s="140">
        <v>2</v>
      </c>
      <c r="Q315" s="89" t="s">
        <v>1108</v>
      </c>
      <c r="R315" s="43" t="s">
        <v>316</v>
      </c>
      <c r="S315" s="125">
        <v>41654</v>
      </c>
      <c r="T315" s="117">
        <v>41803</v>
      </c>
      <c r="V315" s="43" t="s">
        <v>317</v>
      </c>
      <c r="X315" s="43" t="s">
        <v>318</v>
      </c>
      <c r="Y315" s="43" t="s">
        <v>348</v>
      </c>
      <c r="Z315" s="43" t="s">
        <v>320</v>
      </c>
      <c r="AA315" s="43" t="s">
        <v>20</v>
      </c>
      <c r="AB315" s="144">
        <v>1.60000007599592E-2</v>
      </c>
      <c r="AC315" s="125">
        <v>42361</v>
      </c>
      <c r="AF315" s="43" t="s">
        <v>75</v>
      </c>
      <c r="AG315" s="43" t="s">
        <v>322</v>
      </c>
      <c r="AJ315" s="140">
        <v>0</v>
      </c>
      <c r="AK315" s="140">
        <v>0</v>
      </c>
      <c r="AL315" s="140">
        <v>0</v>
      </c>
      <c r="AM315" s="140">
        <v>0</v>
      </c>
      <c r="AN315" s="140">
        <v>0</v>
      </c>
      <c r="AO315" s="140">
        <v>1</v>
      </c>
      <c r="AP315" s="140">
        <v>1</v>
      </c>
      <c r="AQ315" s="140">
        <v>1</v>
      </c>
      <c r="AR315" s="140">
        <v>-1</v>
      </c>
      <c r="AS315" s="140">
        <v>0</v>
      </c>
      <c r="AT315" s="140">
        <v>0</v>
      </c>
      <c r="AU315" s="140">
        <v>0</v>
      </c>
      <c r="AV315" s="140">
        <v>1</v>
      </c>
      <c r="AW315" s="140">
        <v>1</v>
      </c>
      <c r="AX315" s="140">
        <v>1</v>
      </c>
      <c r="AY315" s="140">
        <v>0</v>
      </c>
      <c r="AZ315" s="140">
        <v>0</v>
      </c>
      <c r="BA315" s="140">
        <v>0</v>
      </c>
      <c r="BB315" s="140">
        <v>0</v>
      </c>
      <c r="BC315" s="140">
        <v>0</v>
      </c>
      <c r="BD315" s="140">
        <v>0</v>
      </c>
      <c r="BE315" s="140">
        <v>0</v>
      </c>
      <c r="BF315" s="140">
        <v>-1</v>
      </c>
      <c r="BG315" s="140">
        <v>0</v>
      </c>
      <c r="BH315" s="140">
        <v>0</v>
      </c>
      <c r="BI315" s="140">
        <v>0</v>
      </c>
      <c r="BJ315" s="140">
        <v>0</v>
      </c>
      <c r="BK315" s="140">
        <v>0</v>
      </c>
      <c r="BL315" s="140">
        <v>0</v>
      </c>
      <c r="BM315" s="140">
        <v>0</v>
      </c>
      <c r="BN315" s="140">
        <v>0</v>
      </c>
      <c r="BO315" s="140">
        <v>0</v>
      </c>
      <c r="BX315" s="43">
        <v>13</v>
      </c>
      <c r="BZ315" s="90">
        <f t="shared" si="24"/>
        <v>2</v>
      </c>
      <c r="CT315" s="90">
        <f t="shared" si="19"/>
        <v>2</v>
      </c>
      <c r="CU315" s="90">
        <f t="shared" si="20"/>
        <v>2</v>
      </c>
    </row>
    <row r="316" spans="1:99" ht="12" customHeight="1">
      <c r="A316" s="43">
        <v>5665</v>
      </c>
      <c r="B316" s="89" t="s">
        <v>813</v>
      </c>
      <c r="C316" s="89" t="s">
        <v>1109</v>
      </c>
      <c r="D316" s="89" t="s">
        <v>1110</v>
      </c>
      <c r="F316" s="43">
        <v>527697</v>
      </c>
      <c r="G316" s="43">
        <v>171921</v>
      </c>
      <c r="H316" s="89" t="s">
        <v>141</v>
      </c>
      <c r="I316" s="125">
        <v>43190</v>
      </c>
      <c r="K316" s="140">
        <v>1</v>
      </c>
      <c r="L316" s="140">
        <v>1</v>
      </c>
      <c r="M316" s="140">
        <v>0</v>
      </c>
      <c r="N316" s="140">
        <v>2</v>
      </c>
      <c r="O316" s="140">
        <v>1</v>
      </c>
      <c r="Q316" s="89" t="s">
        <v>1111</v>
      </c>
      <c r="R316" s="43" t="s">
        <v>316</v>
      </c>
      <c r="S316" s="125">
        <v>42112</v>
      </c>
      <c r="T316" s="117">
        <v>42165</v>
      </c>
      <c r="V316" s="43" t="s">
        <v>317</v>
      </c>
      <c r="X316" s="43" t="s">
        <v>318</v>
      </c>
      <c r="Y316" s="43" t="s">
        <v>319</v>
      </c>
      <c r="Z316" s="43" t="s">
        <v>320</v>
      </c>
      <c r="AA316" s="43" t="s">
        <v>321</v>
      </c>
      <c r="AB316" s="144">
        <v>3.0000000260770299E-3</v>
      </c>
      <c r="AC316" s="125">
        <v>43190</v>
      </c>
      <c r="AF316" s="43" t="s">
        <v>75</v>
      </c>
      <c r="AG316" s="43" t="s">
        <v>322</v>
      </c>
      <c r="AJ316" s="140">
        <v>0</v>
      </c>
      <c r="AK316" s="140">
        <v>0</v>
      </c>
      <c r="AL316" s="140">
        <v>0</v>
      </c>
      <c r="AM316" s="140">
        <v>0</v>
      </c>
      <c r="AN316" s="140">
        <v>0</v>
      </c>
      <c r="AO316" s="140">
        <v>-1</v>
      </c>
      <c r="AP316" s="140">
        <v>1</v>
      </c>
      <c r="AQ316" s="140">
        <v>0</v>
      </c>
      <c r="AR316" s="140">
        <v>0</v>
      </c>
      <c r="AS316" s="140">
        <v>0</v>
      </c>
      <c r="AT316" s="140">
        <v>0</v>
      </c>
      <c r="AU316" s="140">
        <v>0</v>
      </c>
      <c r="AV316" s="140">
        <v>-1</v>
      </c>
      <c r="AW316" s="140">
        <v>1</v>
      </c>
      <c r="AX316" s="140">
        <v>0</v>
      </c>
      <c r="AY316" s="140">
        <v>0</v>
      </c>
      <c r="AZ316" s="140">
        <v>0</v>
      </c>
      <c r="BA316" s="140">
        <v>0</v>
      </c>
      <c r="BB316" s="140">
        <v>0</v>
      </c>
      <c r="BC316" s="140">
        <v>0</v>
      </c>
      <c r="BD316" s="140">
        <v>0</v>
      </c>
      <c r="BE316" s="140">
        <v>0</v>
      </c>
      <c r="BF316" s="140">
        <v>0</v>
      </c>
      <c r="BG316" s="140">
        <v>0</v>
      </c>
      <c r="BH316" s="140">
        <v>0</v>
      </c>
      <c r="BI316" s="140">
        <v>0</v>
      </c>
      <c r="BJ316" s="140">
        <v>0</v>
      </c>
      <c r="BK316" s="140">
        <v>0</v>
      </c>
      <c r="BL316" s="140">
        <v>0</v>
      </c>
      <c r="BM316" s="140">
        <v>0</v>
      </c>
      <c r="BN316" s="140">
        <v>0</v>
      </c>
      <c r="BO316" s="140">
        <v>0</v>
      </c>
      <c r="BP316" s="43" t="s">
        <v>141</v>
      </c>
      <c r="BX316" s="43">
        <v>13</v>
      </c>
      <c r="BZ316" s="90">
        <f t="shared" si="24"/>
        <v>0</v>
      </c>
      <c r="CT316" s="90">
        <f t="shared" si="19"/>
        <v>0</v>
      </c>
      <c r="CU316" s="90">
        <f t="shared" si="20"/>
        <v>0</v>
      </c>
    </row>
    <row r="317" spans="1:99" ht="12" customHeight="1">
      <c r="A317" s="43">
        <v>5665</v>
      </c>
      <c r="B317" s="89" t="s">
        <v>813</v>
      </c>
      <c r="C317" s="89" t="s">
        <v>1109</v>
      </c>
      <c r="D317" s="89" t="s">
        <v>1110</v>
      </c>
      <c r="F317" s="43">
        <v>527697</v>
      </c>
      <c r="G317" s="43">
        <v>171921</v>
      </c>
      <c r="H317" s="89" t="s">
        <v>141</v>
      </c>
      <c r="I317" s="125">
        <v>43190</v>
      </c>
      <c r="K317" s="140">
        <v>0</v>
      </c>
      <c r="L317" s="140">
        <v>1</v>
      </c>
      <c r="M317" s="140">
        <v>1</v>
      </c>
      <c r="N317" s="140">
        <v>2</v>
      </c>
      <c r="O317" s="140">
        <v>1</v>
      </c>
      <c r="Q317" s="89" t="s">
        <v>1111</v>
      </c>
      <c r="R317" s="43" t="s">
        <v>316</v>
      </c>
      <c r="S317" s="125">
        <v>42112</v>
      </c>
      <c r="T317" s="117">
        <v>42165</v>
      </c>
      <c r="V317" s="43" t="s">
        <v>317</v>
      </c>
      <c r="X317" s="43" t="s">
        <v>318</v>
      </c>
      <c r="Y317" s="43" t="s">
        <v>319</v>
      </c>
      <c r="Z317" s="43" t="s">
        <v>320</v>
      </c>
      <c r="AA317" s="43" t="s">
        <v>353</v>
      </c>
      <c r="AB317" s="144">
        <v>3.0000000260770299E-3</v>
      </c>
      <c r="AC317" s="125">
        <v>43190</v>
      </c>
      <c r="AF317" s="43" t="s">
        <v>75</v>
      </c>
      <c r="AG317" s="43" t="s">
        <v>322</v>
      </c>
      <c r="AJ317" s="140">
        <v>0</v>
      </c>
      <c r="AK317" s="140">
        <v>0</v>
      </c>
      <c r="AL317" s="140">
        <v>0</v>
      </c>
      <c r="AM317" s="140">
        <v>0</v>
      </c>
      <c r="AN317" s="140">
        <v>1</v>
      </c>
      <c r="AO317" s="140">
        <v>0</v>
      </c>
      <c r="AP317" s="140">
        <v>0</v>
      </c>
      <c r="AQ317" s="140">
        <v>0</v>
      </c>
      <c r="AR317" s="140">
        <v>0</v>
      </c>
      <c r="AS317" s="140">
        <v>0</v>
      </c>
      <c r="AT317" s="140">
        <v>0</v>
      </c>
      <c r="AU317" s="140">
        <v>1</v>
      </c>
      <c r="AV317" s="140">
        <v>0</v>
      </c>
      <c r="AW317" s="140">
        <v>0</v>
      </c>
      <c r="AX317" s="140">
        <v>0</v>
      </c>
      <c r="AY317" s="140">
        <v>0</v>
      </c>
      <c r="AZ317" s="140">
        <v>0</v>
      </c>
      <c r="BA317" s="140">
        <v>0</v>
      </c>
      <c r="BB317" s="140">
        <v>0</v>
      </c>
      <c r="BC317" s="140">
        <v>0</v>
      </c>
      <c r="BD317" s="140">
        <v>0</v>
      </c>
      <c r="BE317" s="140">
        <v>0</v>
      </c>
      <c r="BF317" s="140">
        <v>0</v>
      </c>
      <c r="BG317" s="140">
        <v>0</v>
      </c>
      <c r="BH317" s="140">
        <v>0</v>
      </c>
      <c r="BI317" s="140">
        <v>0</v>
      </c>
      <c r="BJ317" s="140">
        <v>0</v>
      </c>
      <c r="BK317" s="140">
        <v>0</v>
      </c>
      <c r="BL317" s="140">
        <v>0</v>
      </c>
      <c r="BM317" s="140">
        <v>0</v>
      </c>
      <c r="BN317" s="140">
        <v>0</v>
      </c>
      <c r="BO317" s="140">
        <v>0</v>
      </c>
      <c r="BP317" s="43" t="s">
        <v>141</v>
      </c>
      <c r="BX317" s="43">
        <v>13</v>
      </c>
      <c r="BZ317" s="90">
        <f t="shared" si="24"/>
        <v>1</v>
      </c>
      <c r="CT317" s="90">
        <f t="shared" si="19"/>
        <v>1</v>
      </c>
      <c r="CU317" s="90">
        <f t="shared" si="20"/>
        <v>1</v>
      </c>
    </row>
    <row r="318" spans="1:99" ht="12" customHeight="1">
      <c r="A318" s="43">
        <v>5682</v>
      </c>
      <c r="B318" s="89" t="s">
        <v>813</v>
      </c>
      <c r="C318" s="89" t="s">
        <v>1112</v>
      </c>
      <c r="D318" s="89" t="s">
        <v>1113</v>
      </c>
      <c r="F318" s="43">
        <v>528537</v>
      </c>
      <c r="G318" s="43">
        <v>175740</v>
      </c>
      <c r="H318" s="89" t="s">
        <v>175</v>
      </c>
      <c r="I318" s="125">
        <v>43555</v>
      </c>
      <c r="K318" s="140">
        <v>0</v>
      </c>
      <c r="L318" s="140">
        <v>1</v>
      </c>
      <c r="M318" s="140">
        <v>1</v>
      </c>
      <c r="N318" s="140">
        <v>1</v>
      </c>
      <c r="O318" s="140">
        <v>1</v>
      </c>
      <c r="Q318" s="89" t="s">
        <v>1114</v>
      </c>
      <c r="R318" s="43" t="s">
        <v>316</v>
      </c>
      <c r="S318" s="125">
        <v>42493</v>
      </c>
      <c r="T318" s="117">
        <v>42549</v>
      </c>
      <c r="V318" s="43" t="s">
        <v>317</v>
      </c>
      <c r="X318" s="43" t="s">
        <v>318</v>
      </c>
      <c r="Y318" s="43" t="s">
        <v>319</v>
      </c>
      <c r="Z318" s="43" t="s">
        <v>320</v>
      </c>
      <c r="AA318" s="43" t="s">
        <v>30</v>
      </c>
      <c r="AB318" s="144">
        <v>4.0000001899898104E-3</v>
      </c>
      <c r="AC318" s="125">
        <v>43555</v>
      </c>
      <c r="AF318" s="43" t="s">
        <v>75</v>
      </c>
      <c r="AG318" s="43" t="s">
        <v>322</v>
      </c>
      <c r="AJ318" s="140">
        <v>0</v>
      </c>
      <c r="AK318" s="140">
        <v>0</v>
      </c>
      <c r="AL318" s="140">
        <v>0</v>
      </c>
      <c r="AM318" s="140">
        <v>0</v>
      </c>
      <c r="AN318" s="140">
        <v>0</v>
      </c>
      <c r="AO318" s="140">
        <v>1</v>
      </c>
      <c r="AP318" s="140">
        <v>0</v>
      </c>
      <c r="AQ318" s="140">
        <v>0</v>
      </c>
      <c r="AR318" s="140">
        <v>0</v>
      </c>
      <c r="AS318" s="140">
        <v>0</v>
      </c>
      <c r="AT318" s="140">
        <v>0</v>
      </c>
      <c r="AU318" s="140">
        <v>0</v>
      </c>
      <c r="AV318" s="140">
        <v>1</v>
      </c>
      <c r="AW318" s="140">
        <v>0</v>
      </c>
      <c r="AX318" s="140">
        <v>0</v>
      </c>
      <c r="AY318" s="140">
        <v>0</v>
      </c>
      <c r="AZ318" s="140">
        <v>0</v>
      </c>
      <c r="BA318" s="140">
        <v>0</v>
      </c>
      <c r="BB318" s="140">
        <v>0</v>
      </c>
      <c r="BC318" s="140">
        <v>0</v>
      </c>
      <c r="BD318" s="140">
        <v>0</v>
      </c>
      <c r="BE318" s="140">
        <v>0</v>
      </c>
      <c r="BF318" s="140">
        <v>0</v>
      </c>
      <c r="BG318" s="140">
        <v>0</v>
      </c>
      <c r="BH318" s="140">
        <v>0</v>
      </c>
      <c r="BI318" s="140">
        <v>0</v>
      </c>
      <c r="BJ318" s="140">
        <v>0</v>
      </c>
      <c r="BK318" s="140">
        <v>0</v>
      </c>
      <c r="BL318" s="140">
        <v>0</v>
      </c>
      <c r="BM318" s="140">
        <v>0</v>
      </c>
      <c r="BN318" s="140">
        <v>0</v>
      </c>
      <c r="BO318" s="140">
        <v>0</v>
      </c>
      <c r="BX318" s="43">
        <v>13</v>
      </c>
      <c r="BZ318" s="90">
        <f t="shared" si="24"/>
        <v>1</v>
      </c>
      <c r="CT318" s="90">
        <f t="shared" si="19"/>
        <v>1</v>
      </c>
      <c r="CU318" s="90">
        <f t="shared" si="20"/>
        <v>1</v>
      </c>
    </row>
    <row r="319" spans="1:99" ht="12" customHeight="1">
      <c r="A319" s="43">
        <v>5682</v>
      </c>
      <c r="B319" s="89" t="s">
        <v>813</v>
      </c>
      <c r="C319" s="89" t="s">
        <v>1115</v>
      </c>
      <c r="D319" s="89" t="s">
        <v>1113</v>
      </c>
      <c r="F319" s="43">
        <v>528537</v>
      </c>
      <c r="G319" s="43">
        <v>175740</v>
      </c>
      <c r="H319" s="89" t="s">
        <v>175</v>
      </c>
      <c r="I319" s="125">
        <v>43555</v>
      </c>
      <c r="K319" s="140">
        <v>1</v>
      </c>
      <c r="L319" s="140">
        <v>2</v>
      </c>
      <c r="M319" s="140">
        <v>1</v>
      </c>
      <c r="N319" s="140">
        <v>3</v>
      </c>
      <c r="O319" s="140">
        <v>2</v>
      </c>
      <c r="Q319" s="89" t="s">
        <v>1116</v>
      </c>
      <c r="R319" s="43" t="s">
        <v>316</v>
      </c>
      <c r="S319" s="125">
        <v>42838</v>
      </c>
      <c r="T319" s="117">
        <v>42997</v>
      </c>
      <c r="V319" s="43" t="s">
        <v>317</v>
      </c>
      <c r="X319" s="43" t="s">
        <v>318</v>
      </c>
      <c r="Y319" s="43" t="s">
        <v>319</v>
      </c>
      <c r="Z319" s="43" t="s">
        <v>320</v>
      </c>
      <c r="AA319" s="43" t="s">
        <v>321</v>
      </c>
      <c r="AB319" s="144">
        <v>4.0000001899898104E-3</v>
      </c>
      <c r="AC319" s="125">
        <v>43555</v>
      </c>
      <c r="AF319" s="43" t="s">
        <v>75</v>
      </c>
      <c r="AG319" s="43" t="s">
        <v>322</v>
      </c>
      <c r="AJ319" s="140">
        <v>0</v>
      </c>
      <c r="AK319" s="140">
        <v>0</v>
      </c>
      <c r="AL319" s="140">
        <v>0</v>
      </c>
      <c r="AM319" s="140">
        <v>0</v>
      </c>
      <c r="AN319" s="140">
        <v>0</v>
      </c>
      <c r="AO319" s="140">
        <v>2</v>
      </c>
      <c r="AP319" s="140">
        <v>0</v>
      </c>
      <c r="AQ319" s="140">
        <v>0</v>
      </c>
      <c r="AR319" s="140">
        <v>-1</v>
      </c>
      <c r="AS319" s="140">
        <v>0</v>
      </c>
      <c r="AT319" s="140">
        <v>0</v>
      </c>
      <c r="AU319" s="140">
        <v>0</v>
      </c>
      <c r="AV319" s="140">
        <v>2</v>
      </c>
      <c r="AW319" s="140">
        <v>0</v>
      </c>
      <c r="AX319" s="140">
        <v>0</v>
      </c>
      <c r="AY319" s="140">
        <v>-1</v>
      </c>
      <c r="AZ319" s="140">
        <v>0</v>
      </c>
      <c r="BA319" s="140">
        <v>0</v>
      </c>
      <c r="BB319" s="140">
        <v>0</v>
      </c>
      <c r="BC319" s="140">
        <v>0</v>
      </c>
      <c r="BD319" s="140">
        <v>0</v>
      </c>
      <c r="BE319" s="140">
        <v>0</v>
      </c>
      <c r="BF319" s="140">
        <v>0</v>
      </c>
      <c r="BG319" s="140">
        <v>0</v>
      </c>
      <c r="BH319" s="140">
        <v>0</v>
      </c>
      <c r="BI319" s="140">
        <v>0</v>
      </c>
      <c r="BJ319" s="140">
        <v>0</v>
      </c>
      <c r="BK319" s="140">
        <v>0</v>
      </c>
      <c r="BL319" s="140">
        <v>0</v>
      </c>
      <c r="BM319" s="140">
        <v>0</v>
      </c>
      <c r="BN319" s="140">
        <v>0</v>
      </c>
      <c r="BO319" s="140">
        <v>0</v>
      </c>
      <c r="BX319" s="43">
        <v>13</v>
      </c>
      <c r="BZ319" s="90">
        <f t="shared" si="24"/>
        <v>1</v>
      </c>
      <c r="CT319" s="90">
        <f t="shared" si="19"/>
        <v>1</v>
      </c>
      <c r="CU319" s="90">
        <f t="shared" si="20"/>
        <v>1</v>
      </c>
    </row>
    <row r="320" spans="1:99" ht="12" customHeight="1">
      <c r="A320" s="43">
        <v>5682</v>
      </c>
      <c r="B320" s="89" t="s">
        <v>813</v>
      </c>
      <c r="C320" s="89" t="s">
        <v>1115</v>
      </c>
      <c r="D320" s="89" t="s">
        <v>1113</v>
      </c>
      <c r="F320" s="43">
        <v>528537</v>
      </c>
      <c r="G320" s="43">
        <v>175740</v>
      </c>
      <c r="H320" s="89" t="s">
        <v>175</v>
      </c>
      <c r="I320" s="125">
        <v>43555</v>
      </c>
      <c r="K320" s="140">
        <v>0</v>
      </c>
      <c r="L320" s="140">
        <v>1</v>
      </c>
      <c r="M320" s="140">
        <v>1</v>
      </c>
      <c r="N320" s="140">
        <v>3</v>
      </c>
      <c r="O320" s="140">
        <v>2</v>
      </c>
      <c r="Q320" s="89" t="s">
        <v>1116</v>
      </c>
      <c r="R320" s="43" t="s">
        <v>316</v>
      </c>
      <c r="S320" s="125">
        <v>42838</v>
      </c>
      <c r="T320" s="117">
        <v>42997</v>
      </c>
      <c r="V320" s="43" t="s">
        <v>317</v>
      </c>
      <c r="X320" s="43" t="s">
        <v>318</v>
      </c>
      <c r="Y320" s="43" t="s">
        <v>319</v>
      </c>
      <c r="Z320" s="43" t="s">
        <v>320</v>
      </c>
      <c r="AA320" s="43" t="s">
        <v>353</v>
      </c>
      <c r="AB320" s="144">
        <v>3.0000000260770299E-3</v>
      </c>
      <c r="AC320" s="125">
        <v>43555</v>
      </c>
      <c r="AF320" s="43" t="s">
        <v>75</v>
      </c>
      <c r="AG320" s="43" t="s">
        <v>322</v>
      </c>
      <c r="AJ320" s="140">
        <v>0</v>
      </c>
      <c r="AK320" s="140">
        <v>0</v>
      </c>
      <c r="AL320" s="140">
        <v>0</v>
      </c>
      <c r="AM320" s="140">
        <v>0</v>
      </c>
      <c r="AN320" s="140">
        <v>0</v>
      </c>
      <c r="AO320" s="140">
        <v>1</v>
      </c>
      <c r="AP320" s="140">
        <v>0</v>
      </c>
      <c r="AQ320" s="140">
        <v>0</v>
      </c>
      <c r="AR320" s="140">
        <v>0</v>
      </c>
      <c r="AS320" s="140">
        <v>0</v>
      </c>
      <c r="AT320" s="140">
        <v>0</v>
      </c>
      <c r="AU320" s="140">
        <v>0</v>
      </c>
      <c r="AV320" s="140">
        <v>1</v>
      </c>
      <c r="AW320" s="140">
        <v>0</v>
      </c>
      <c r="AX320" s="140">
        <v>0</v>
      </c>
      <c r="AY320" s="140">
        <v>0</v>
      </c>
      <c r="AZ320" s="140">
        <v>0</v>
      </c>
      <c r="BA320" s="140">
        <v>0</v>
      </c>
      <c r="BB320" s="140">
        <v>0</v>
      </c>
      <c r="BC320" s="140">
        <v>0</v>
      </c>
      <c r="BD320" s="140">
        <v>0</v>
      </c>
      <c r="BE320" s="140">
        <v>0</v>
      </c>
      <c r="BF320" s="140">
        <v>0</v>
      </c>
      <c r="BG320" s="140">
        <v>0</v>
      </c>
      <c r="BH320" s="140">
        <v>0</v>
      </c>
      <c r="BI320" s="140">
        <v>0</v>
      </c>
      <c r="BJ320" s="140">
        <v>0</v>
      </c>
      <c r="BK320" s="140">
        <v>0</v>
      </c>
      <c r="BL320" s="140">
        <v>0</v>
      </c>
      <c r="BM320" s="140">
        <v>0</v>
      </c>
      <c r="BN320" s="140">
        <v>0</v>
      </c>
      <c r="BO320" s="140">
        <v>0</v>
      </c>
      <c r="BX320" s="43">
        <v>13</v>
      </c>
      <c r="BZ320" s="90">
        <f t="shared" si="24"/>
        <v>1</v>
      </c>
      <c r="CT320" s="90">
        <f t="shared" si="19"/>
        <v>1</v>
      </c>
      <c r="CU320" s="90">
        <f t="shared" si="20"/>
        <v>1</v>
      </c>
    </row>
    <row r="321" spans="1:99" ht="12" customHeight="1">
      <c r="A321" s="43">
        <v>5701</v>
      </c>
      <c r="B321" s="89" t="s">
        <v>813</v>
      </c>
      <c r="C321" s="89" t="s">
        <v>1117</v>
      </c>
      <c r="D321" s="89" t="s">
        <v>1118</v>
      </c>
      <c r="F321" s="43">
        <v>528325</v>
      </c>
      <c r="G321" s="43">
        <v>175700</v>
      </c>
      <c r="H321" s="89" t="s">
        <v>175</v>
      </c>
      <c r="I321" s="125">
        <v>42878</v>
      </c>
      <c r="K321" s="140">
        <v>0</v>
      </c>
      <c r="L321" s="140">
        <v>3</v>
      </c>
      <c r="M321" s="140">
        <v>3</v>
      </c>
      <c r="N321" s="140">
        <v>3</v>
      </c>
      <c r="O321" s="140">
        <v>3</v>
      </c>
      <c r="Q321" s="89" t="s">
        <v>1119</v>
      </c>
      <c r="R321" s="43" t="s">
        <v>316</v>
      </c>
      <c r="S321" s="125">
        <v>41855</v>
      </c>
      <c r="T321" s="117">
        <v>41968</v>
      </c>
      <c r="V321" s="43" t="s">
        <v>317</v>
      </c>
      <c r="X321" s="43" t="s">
        <v>318</v>
      </c>
      <c r="Y321" s="43" t="s">
        <v>319</v>
      </c>
      <c r="Z321" s="43" t="s">
        <v>320</v>
      </c>
      <c r="AA321" s="43" t="s">
        <v>353</v>
      </c>
      <c r="AB321" s="144">
        <v>6.0000000521540598E-3</v>
      </c>
      <c r="AC321" s="125">
        <v>42878</v>
      </c>
      <c r="AF321" s="43" t="s">
        <v>75</v>
      </c>
      <c r="AG321" s="43" t="s">
        <v>322</v>
      </c>
      <c r="AJ321" s="140">
        <v>0</v>
      </c>
      <c r="AK321" s="140">
        <v>0</v>
      </c>
      <c r="AL321" s="140">
        <v>0</v>
      </c>
      <c r="AM321" s="140">
        <v>0</v>
      </c>
      <c r="AN321" s="140">
        <v>1</v>
      </c>
      <c r="AO321" s="140">
        <v>0</v>
      </c>
      <c r="AP321" s="140">
        <v>1</v>
      </c>
      <c r="AQ321" s="140">
        <v>0</v>
      </c>
      <c r="AR321" s="140">
        <v>1</v>
      </c>
      <c r="AS321" s="140">
        <v>0</v>
      </c>
      <c r="AT321" s="140">
        <v>0</v>
      </c>
      <c r="AU321" s="140">
        <v>1</v>
      </c>
      <c r="AV321" s="140">
        <v>0</v>
      </c>
      <c r="AW321" s="140">
        <v>1</v>
      </c>
      <c r="AX321" s="140">
        <v>0</v>
      </c>
      <c r="AY321" s="140">
        <v>1</v>
      </c>
      <c r="AZ321" s="140">
        <v>0</v>
      </c>
      <c r="BA321" s="140">
        <v>0</v>
      </c>
      <c r="BB321" s="140">
        <v>0</v>
      </c>
      <c r="BC321" s="140">
        <v>0</v>
      </c>
      <c r="BD321" s="140">
        <v>0</v>
      </c>
      <c r="BE321" s="140">
        <v>0</v>
      </c>
      <c r="BF321" s="140">
        <v>0</v>
      </c>
      <c r="BG321" s="140">
        <v>0</v>
      </c>
      <c r="BH321" s="140">
        <v>0</v>
      </c>
      <c r="BI321" s="140">
        <v>0</v>
      </c>
      <c r="BJ321" s="140">
        <v>0</v>
      </c>
      <c r="BK321" s="140">
        <v>0</v>
      </c>
      <c r="BL321" s="140">
        <v>0</v>
      </c>
      <c r="BM321" s="140">
        <v>0</v>
      </c>
      <c r="BN321" s="140">
        <v>0</v>
      </c>
      <c r="BO321" s="140">
        <v>0</v>
      </c>
      <c r="BX321" s="43">
        <v>13</v>
      </c>
      <c r="BZ321" s="90">
        <f t="shared" si="24"/>
        <v>3</v>
      </c>
      <c r="CT321" s="90">
        <f t="shared" si="19"/>
        <v>3</v>
      </c>
      <c r="CU321" s="90">
        <f t="shared" si="20"/>
        <v>3</v>
      </c>
    </row>
    <row r="322" spans="1:99" ht="12" customHeight="1">
      <c r="A322" s="43">
        <v>5774</v>
      </c>
      <c r="B322" s="89" t="s">
        <v>813</v>
      </c>
      <c r="C322" s="89" t="s">
        <v>1120</v>
      </c>
      <c r="D322" s="89" t="s">
        <v>1121</v>
      </c>
      <c r="F322" s="43">
        <v>527884</v>
      </c>
      <c r="G322" s="43">
        <v>176593</v>
      </c>
      <c r="H322" s="89" t="s">
        <v>147</v>
      </c>
      <c r="I322" s="125">
        <v>43555</v>
      </c>
      <c r="K322" s="140">
        <v>1</v>
      </c>
      <c r="L322" s="140">
        <v>3</v>
      </c>
      <c r="M322" s="140">
        <v>2</v>
      </c>
      <c r="N322" s="140">
        <v>3</v>
      </c>
      <c r="O322" s="140">
        <v>2</v>
      </c>
      <c r="Q322" s="89" t="s">
        <v>1122</v>
      </c>
      <c r="R322" s="43" t="s">
        <v>316</v>
      </c>
      <c r="S322" s="125">
        <v>42600</v>
      </c>
      <c r="T322" s="117">
        <v>42723</v>
      </c>
      <c r="V322" s="43" t="s">
        <v>317</v>
      </c>
      <c r="X322" s="43" t="s">
        <v>318</v>
      </c>
      <c r="Y322" s="43" t="s">
        <v>319</v>
      </c>
      <c r="Z322" s="43" t="s">
        <v>320</v>
      </c>
      <c r="AA322" s="43" t="s">
        <v>321</v>
      </c>
      <c r="AB322" s="144">
        <v>6.0000000521540598E-3</v>
      </c>
      <c r="AC322" s="125">
        <v>43555</v>
      </c>
      <c r="AF322" s="43" t="s">
        <v>75</v>
      </c>
      <c r="AG322" s="43" t="s">
        <v>322</v>
      </c>
      <c r="AJ322" s="140">
        <v>0</v>
      </c>
      <c r="AK322" s="140">
        <v>0</v>
      </c>
      <c r="AL322" s="140">
        <v>0</v>
      </c>
      <c r="AM322" s="140">
        <v>0</v>
      </c>
      <c r="AN322" s="140">
        <v>0</v>
      </c>
      <c r="AO322" s="140">
        <v>2</v>
      </c>
      <c r="AP322" s="140">
        <v>1</v>
      </c>
      <c r="AQ322" s="140">
        <v>0</v>
      </c>
      <c r="AR322" s="140">
        <v>-1</v>
      </c>
      <c r="AS322" s="140">
        <v>0</v>
      </c>
      <c r="AT322" s="140">
        <v>0</v>
      </c>
      <c r="AU322" s="140">
        <v>0</v>
      </c>
      <c r="AV322" s="140">
        <v>2</v>
      </c>
      <c r="AW322" s="140">
        <v>1</v>
      </c>
      <c r="AX322" s="140">
        <v>0</v>
      </c>
      <c r="AY322" s="140">
        <v>-1</v>
      </c>
      <c r="AZ322" s="140">
        <v>0</v>
      </c>
      <c r="BA322" s="140">
        <v>0</v>
      </c>
      <c r="BB322" s="140">
        <v>0</v>
      </c>
      <c r="BC322" s="140">
        <v>0</v>
      </c>
      <c r="BD322" s="140">
        <v>0</v>
      </c>
      <c r="BE322" s="140">
        <v>0</v>
      </c>
      <c r="BF322" s="140">
        <v>0</v>
      </c>
      <c r="BG322" s="140">
        <v>0</v>
      </c>
      <c r="BH322" s="140">
        <v>0</v>
      </c>
      <c r="BI322" s="140">
        <v>0</v>
      </c>
      <c r="BJ322" s="140">
        <v>0</v>
      </c>
      <c r="BK322" s="140">
        <v>0</v>
      </c>
      <c r="BL322" s="140">
        <v>0</v>
      </c>
      <c r="BM322" s="140">
        <v>0</v>
      </c>
      <c r="BN322" s="140">
        <v>0</v>
      </c>
      <c r="BO322" s="140">
        <v>0</v>
      </c>
      <c r="BX322" s="43">
        <v>13</v>
      </c>
      <c r="BZ322" s="90">
        <f t="shared" si="24"/>
        <v>2</v>
      </c>
      <c r="CT322" s="90">
        <f t="shared" ref="CT322:CT385" si="25">SUM(BZ322:CD322)</f>
        <v>2</v>
      </c>
      <c r="CU322" s="90">
        <f t="shared" ref="CU322:CU385" si="26">SUM(BZ322:CI322)</f>
        <v>2</v>
      </c>
    </row>
    <row r="323" spans="1:99" ht="12" customHeight="1">
      <c r="A323" s="43">
        <v>5775</v>
      </c>
      <c r="B323" s="89" t="s">
        <v>813</v>
      </c>
      <c r="C323" s="89" t="s">
        <v>1123</v>
      </c>
      <c r="D323" s="89" t="s">
        <v>1124</v>
      </c>
      <c r="F323" s="43">
        <v>527719</v>
      </c>
      <c r="G323" s="43">
        <v>174043</v>
      </c>
      <c r="H323" s="89" t="s">
        <v>174</v>
      </c>
      <c r="I323" s="125">
        <v>42411</v>
      </c>
      <c r="K323" s="140">
        <v>0</v>
      </c>
      <c r="L323" s="140">
        <v>1</v>
      </c>
      <c r="M323" s="140">
        <v>1</v>
      </c>
      <c r="N323" s="140">
        <v>1</v>
      </c>
      <c r="O323" s="140">
        <v>1</v>
      </c>
      <c r="Q323" s="89" t="s">
        <v>1125</v>
      </c>
      <c r="R323" s="43" t="s">
        <v>316</v>
      </c>
      <c r="S323" s="125">
        <v>41949</v>
      </c>
      <c r="T323" s="117">
        <v>42062</v>
      </c>
      <c r="V323" s="43" t="s">
        <v>317</v>
      </c>
      <c r="X323" s="43" t="s">
        <v>318</v>
      </c>
      <c r="Y323" s="43" t="s">
        <v>361</v>
      </c>
      <c r="Z323" s="43" t="s">
        <v>320</v>
      </c>
      <c r="AA323" s="43" t="s">
        <v>353</v>
      </c>
      <c r="AB323" s="144">
        <v>8.9999996125698107E-3</v>
      </c>
      <c r="AC323" s="125">
        <v>42411</v>
      </c>
      <c r="AF323" s="43" t="s">
        <v>75</v>
      </c>
      <c r="AG323" s="43" t="s">
        <v>322</v>
      </c>
      <c r="AJ323" s="140">
        <v>0</v>
      </c>
      <c r="AK323" s="140">
        <v>0</v>
      </c>
      <c r="AL323" s="140">
        <v>0</v>
      </c>
      <c r="AM323" s="140">
        <v>0</v>
      </c>
      <c r="AN323" s="140">
        <v>0</v>
      </c>
      <c r="AO323" s="140">
        <v>0</v>
      </c>
      <c r="AP323" s="140">
        <v>1</v>
      </c>
      <c r="AQ323" s="140">
        <v>0</v>
      </c>
      <c r="AR323" s="140">
        <v>0</v>
      </c>
      <c r="AS323" s="140">
        <v>0</v>
      </c>
      <c r="AT323" s="140">
        <v>0</v>
      </c>
      <c r="AU323" s="140">
        <v>0</v>
      </c>
      <c r="AV323" s="140">
        <v>0</v>
      </c>
      <c r="AW323" s="140">
        <v>0</v>
      </c>
      <c r="AX323" s="140">
        <v>0</v>
      </c>
      <c r="AY323" s="140">
        <v>0</v>
      </c>
      <c r="AZ323" s="140">
        <v>0</v>
      </c>
      <c r="BA323" s="140">
        <v>0</v>
      </c>
      <c r="BB323" s="140">
        <v>0</v>
      </c>
      <c r="BC323" s="140">
        <v>0</v>
      </c>
      <c r="BD323" s="140">
        <v>1</v>
      </c>
      <c r="BE323" s="140">
        <v>0</v>
      </c>
      <c r="BF323" s="140">
        <v>0</v>
      </c>
      <c r="BG323" s="140">
        <v>0</v>
      </c>
      <c r="BH323" s="140">
        <v>0</v>
      </c>
      <c r="BI323" s="140">
        <v>0</v>
      </c>
      <c r="BJ323" s="140">
        <v>0</v>
      </c>
      <c r="BK323" s="140">
        <v>0</v>
      </c>
      <c r="BL323" s="140">
        <v>0</v>
      </c>
      <c r="BM323" s="140">
        <v>0</v>
      </c>
      <c r="BN323" s="140">
        <v>0</v>
      </c>
      <c r="BO323" s="140">
        <v>0</v>
      </c>
      <c r="BX323" s="43">
        <v>2</v>
      </c>
      <c r="BZ323" s="90">
        <f t="shared" si="24"/>
        <v>1</v>
      </c>
      <c r="CT323" s="90">
        <f t="shared" si="25"/>
        <v>1</v>
      </c>
      <c r="CU323" s="90">
        <f t="shared" si="26"/>
        <v>1</v>
      </c>
    </row>
    <row r="324" spans="1:99" ht="12" customHeight="1">
      <c r="A324" s="43">
        <v>5777</v>
      </c>
      <c r="B324" s="89" t="s">
        <v>813</v>
      </c>
      <c r="C324" s="89" t="s">
        <v>1126</v>
      </c>
      <c r="D324" s="89" t="s">
        <v>1127</v>
      </c>
      <c r="F324" s="43">
        <v>529591</v>
      </c>
      <c r="G324" s="43">
        <v>176818</v>
      </c>
      <c r="H324" s="89" t="s">
        <v>148</v>
      </c>
      <c r="I324" s="125">
        <v>42094</v>
      </c>
      <c r="K324" s="140">
        <v>0</v>
      </c>
      <c r="L324" s="140">
        <v>20</v>
      </c>
      <c r="M324" s="140">
        <v>20</v>
      </c>
      <c r="N324" s="140">
        <v>20</v>
      </c>
      <c r="O324" s="140">
        <v>20</v>
      </c>
      <c r="P324" s="43" t="s">
        <v>329</v>
      </c>
      <c r="Q324" s="89" t="s">
        <v>1128</v>
      </c>
      <c r="R324" s="43" t="s">
        <v>316</v>
      </c>
      <c r="S324" s="125">
        <v>41970</v>
      </c>
      <c r="T324" s="117">
        <v>42031</v>
      </c>
      <c r="V324" s="43" t="s">
        <v>317</v>
      </c>
      <c r="X324" s="43" t="s">
        <v>318</v>
      </c>
      <c r="Y324" s="43" t="s">
        <v>361</v>
      </c>
      <c r="Z324" s="43" t="s">
        <v>361</v>
      </c>
      <c r="AA324" s="43" t="s">
        <v>320</v>
      </c>
      <c r="AB324" s="144">
        <v>0.13400000333786</v>
      </c>
      <c r="AC324" s="125">
        <v>42094</v>
      </c>
      <c r="AF324" s="43" t="s">
        <v>55</v>
      </c>
      <c r="AG324" s="43" t="s">
        <v>438</v>
      </c>
      <c r="AJ324" s="140">
        <v>2</v>
      </c>
      <c r="AK324" s="140">
        <v>0</v>
      </c>
      <c r="AL324" s="140">
        <v>20</v>
      </c>
      <c r="AM324" s="140">
        <v>0</v>
      </c>
      <c r="AN324" s="140">
        <v>0</v>
      </c>
      <c r="AO324" s="140">
        <v>6</v>
      </c>
      <c r="AP324" s="140">
        <v>9</v>
      </c>
      <c r="AQ324" s="140">
        <v>5</v>
      </c>
      <c r="AR324" s="140">
        <v>0</v>
      </c>
      <c r="AS324" s="140">
        <v>0</v>
      </c>
      <c r="AT324" s="140">
        <v>0</v>
      </c>
      <c r="AU324" s="140">
        <v>0</v>
      </c>
      <c r="AV324" s="140">
        <v>6</v>
      </c>
      <c r="AW324" s="140">
        <v>9</v>
      </c>
      <c r="AX324" s="140">
        <v>5</v>
      </c>
      <c r="AY324" s="140">
        <v>0</v>
      </c>
      <c r="AZ324" s="140">
        <v>0</v>
      </c>
      <c r="BA324" s="140">
        <v>0</v>
      </c>
      <c r="BB324" s="140">
        <v>0</v>
      </c>
      <c r="BC324" s="140">
        <v>0</v>
      </c>
      <c r="BD324" s="140">
        <v>0</v>
      </c>
      <c r="BE324" s="140">
        <v>0</v>
      </c>
      <c r="BF324" s="140">
        <v>0</v>
      </c>
      <c r="BG324" s="140">
        <v>0</v>
      </c>
      <c r="BH324" s="140">
        <v>0</v>
      </c>
      <c r="BI324" s="140">
        <v>0</v>
      </c>
      <c r="BJ324" s="140">
        <v>0</v>
      </c>
      <c r="BK324" s="140">
        <v>0</v>
      </c>
      <c r="BL324" s="140">
        <v>0</v>
      </c>
      <c r="BM324" s="140">
        <v>0</v>
      </c>
      <c r="BN324" s="140">
        <v>0</v>
      </c>
      <c r="BO324" s="140">
        <v>0</v>
      </c>
      <c r="BQ324" s="43" t="s">
        <v>329</v>
      </c>
      <c r="BX324" s="43">
        <v>21</v>
      </c>
      <c r="BZ324" s="90">
        <f t="shared" si="24"/>
        <v>20</v>
      </c>
      <c r="CT324" s="90">
        <f t="shared" si="25"/>
        <v>20</v>
      </c>
      <c r="CU324" s="90">
        <f t="shared" si="26"/>
        <v>20</v>
      </c>
    </row>
    <row r="325" spans="1:99" ht="12" customHeight="1">
      <c r="A325" s="43">
        <v>5812</v>
      </c>
      <c r="B325" s="89" t="s">
        <v>813</v>
      </c>
      <c r="C325" s="89" t="s">
        <v>1129</v>
      </c>
      <c r="D325" s="89" t="s">
        <v>1130</v>
      </c>
      <c r="E325" s="89" t="s">
        <v>367</v>
      </c>
      <c r="F325" s="43">
        <v>529628</v>
      </c>
      <c r="G325" s="43">
        <v>177338</v>
      </c>
      <c r="H325" s="89" t="s">
        <v>148</v>
      </c>
      <c r="I325" s="125">
        <v>42793</v>
      </c>
      <c r="K325" s="140">
        <v>0</v>
      </c>
      <c r="L325" s="140">
        <v>126</v>
      </c>
      <c r="M325" s="140">
        <v>126</v>
      </c>
      <c r="N325" s="140">
        <v>357</v>
      </c>
      <c r="O325" s="140">
        <v>357</v>
      </c>
      <c r="P325" s="43" t="s">
        <v>329</v>
      </c>
      <c r="Q325" s="89" t="s">
        <v>1131</v>
      </c>
      <c r="R325" s="43" t="s">
        <v>392</v>
      </c>
      <c r="S325" s="125">
        <v>42234</v>
      </c>
      <c r="T325" s="117">
        <v>42647</v>
      </c>
      <c r="V325" s="43" t="s">
        <v>317</v>
      </c>
      <c r="X325" s="43" t="s">
        <v>318</v>
      </c>
      <c r="Y325" s="43" t="s">
        <v>361</v>
      </c>
      <c r="Z325" s="43" t="s">
        <v>361</v>
      </c>
      <c r="AA325" s="43" t="s">
        <v>320</v>
      </c>
      <c r="AB325" s="144">
        <v>0.20000000298023199</v>
      </c>
      <c r="AC325" s="125">
        <v>42793</v>
      </c>
      <c r="AF325" s="43" t="s">
        <v>75</v>
      </c>
      <c r="AG325" s="43" t="s">
        <v>322</v>
      </c>
      <c r="AH325" s="43" t="s">
        <v>1132</v>
      </c>
      <c r="AJ325" s="140">
        <v>126</v>
      </c>
      <c r="AK325" s="140">
        <v>0</v>
      </c>
      <c r="AL325" s="140">
        <v>12</v>
      </c>
      <c r="AM325" s="140">
        <v>0</v>
      </c>
      <c r="AN325" s="140">
        <v>9</v>
      </c>
      <c r="AO325" s="140">
        <v>12</v>
      </c>
      <c r="AP325" s="140">
        <v>97</v>
      </c>
      <c r="AQ325" s="140">
        <v>8</v>
      </c>
      <c r="AR325" s="140">
        <v>0</v>
      </c>
      <c r="AS325" s="140">
        <v>0</v>
      </c>
      <c r="AT325" s="140">
        <v>0</v>
      </c>
      <c r="AU325" s="140">
        <v>9</v>
      </c>
      <c r="AV325" s="140">
        <v>12</v>
      </c>
      <c r="AW325" s="140">
        <v>97</v>
      </c>
      <c r="AX325" s="140">
        <v>8</v>
      </c>
      <c r="AY325" s="140">
        <v>0</v>
      </c>
      <c r="AZ325" s="140">
        <v>0</v>
      </c>
      <c r="BA325" s="140">
        <v>0</v>
      </c>
      <c r="BB325" s="140">
        <v>0</v>
      </c>
      <c r="BC325" s="140">
        <v>0</v>
      </c>
      <c r="BD325" s="140">
        <v>0</v>
      </c>
      <c r="BE325" s="140">
        <v>0</v>
      </c>
      <c r="BF325" s="140">
        <v>0</v>
      </c>
      <c r="BG325" s="140">
        <v>0</v>
      </c>
      <c r="BH325" s="140">
        <v>0</v>
      </c>
      <c r="BI325" s="140">
        <v>0</v>
      </c>
      <c r="BJ325" s="140">
        <v>0</v>
      </c>
      <c r="BK325" s="140">
        <v>0</v>
      </c>
      <c r="BL325" s="140">
        <v>0</v>
      </c>
      <c r="BM325" s="140">
        <v>0</v>
      </c>
      <c r="BN325" s="140">
        <v>0</v>
      </c>
      <c r="BO325" s="140">
        <v>0</v>
      </c>
      <c r="BQ325" s="43" t="s">
        <v>329</v>
      </c>
      <c r="BX325" s="43">
        <v>21</v>
      </c>
      <c r="BZ325" s="90">
        <f t="shared" si="24"/>
        <v>126</v>
      </c>
      <c r="CT325" s="90">
        <f t="shared" si="25"/>
        <v>126</v>
      </c>
      <c r="CU325" s="90">
        <f t="shared" si="26"/>
        <v>126</v>
      </c>
    </row>
    <row r="326" spans="1:99" ht="12" customHeight="1">
      <c r="A326" s="43">
        <v>5812</v>
      </c>
      <c r="B326" s="89" t="s">
        <v>813</v>
      </c>
      <c r="C326" s="89" t="s">
        <v>1129</v>
      </c>
      <c r="D326" s="89" t="s">
        <v>1130</v>
      </c>
      <c r="E326" s="89" t="s">
        <v>369</v>
      </c>
      <c r="F326" s="43">
        <v>529628</v>
      </c>
      <c r="G326" s="43">
        <v>177338</v>
      </c>
      <c r="H326" s="89" t="s">
        <v>148</v>
      </c>
      <c r="I326" s="125">
        <v>42793</v>
      </c>
      <c r="K326" s="140">
        <v>0</v>
      </c>
      <c r="L326" s="140">
        <v>126</v>
      </c>
      <c r="M326" s="140">
        <v>126</v>
      </c>
      <c r="N326" s="140">
        <v>357</v>
      </c>
      <c r="O326" s="140">
        <v>357</v>
      </c>
      <c r="P326" s="43" t="s">
        <v>329</v>
      </c>
      <c r="Q326" s="89" t="s">
        <v>1131</v>
      </c>
      <c r="R326" s="43" t="s">
        <v>392</v>
      </c>
      <c r="S326" s="125">
        <v>42234</v>
      </c>
      <c r="T326" s="117">
        <v>42647</v>
      </c>
      <c r="V326" s="43" t="s">
        <v>317</v>
      </c>
      <c r="X326" s="43" t="s">
        <v>318</v>
      </c>
      <c r="Y326" s="43" t="s">
        <v>361</v>
      </c>
      <c r="Z326" s="43" t="s">
        <v>361</v>
      </c>
      <c r="AA326" s="43" t="s">
        <v>320</v>
      </c>
      <c r="AB326" s="144">
        <v>0.18299999833107</v>
      </c>
      <c r="AC326" s="125">
        <v>43190</v>
      </c>
      <c r="AF326" s="43" t="s">
        <v>75</v>
      </c>
      <c r="AG326" s="43" t="s">
        <v>322</v>
      </c>
      <c r="AH326" s="43" t="s">
        <v>1132</v>
      </c>
      <c r="AJ326" s="140">
        <v>126</v>
      </c>
      <c r="AK326" s="140">
        <v>0</v>
      </c>
      <c r="AL326" s="140">
        <v>12</v>
      </c>
      <c r="AM326" s="140">
        <v>0</v>
      </c>
      <c r="AN326" s="140">
        <v>0</v>
      </c>
      <c r="AO326" s="140">
        <v>33</v>
      </c>
      <c r="AP326" s="140">
        <v>85</v>
      </c>
      <c r="AQ326" s="140">
        <v>8</v>
      </c>
      <c r="AR326" s="140">
        <v>0</v>
      </c>
      <c r="AS326" s="140">
        <v>0</v>
      </c>
      <c r="AT326" s="140">
        <v>0</v>
      </c>
      <c r="AU326" s="140">
        <v>0</v>
      </c>
      <c r="AV326" s="140">
        <v>33</v>
      </c>
      <c r="AW326" s="140">
        <v>85</v>
      </c>
      <c r="AX326" s="140">
        <v>8</v>
      </c>
      <c r="AY326" s="140">
        <v>0</v>
      </c>
      <c r="AZ326" s="140">
        <v>0</v>
      </c>
      <c r="BA326" s="140">
        <v>0</v>
      </c>
      <c r="BB326" s="140">
        <v>0</v>
      </c>
      <c r="BC326" s="140">
        <v>0</v>
      </c>
      <c r="BD326" s="140">
        <v>0</v>
      </c>
      <c r="BE326" s="140">
        <v>0</v>
      </c>
      <c r="BF326" s="140">
        <v>0</v>
      </c>
      <c r="BG326" s="140">
        <v>0</v>
      </c>
      <c r="BH326" s="140">
        <v>0</v>
      </c>
      <c r="BI326" s="140">
        <v>0</v>
      </c>
      <c r="BJ326" s="140">
        <v>0</v>
      </c>
      <c r="BK326" s="140">
        <v>0</v>
      </c>
      <c r="BL326" s="140">
        <v>0</v>
      </c>
      <c r="BM326" s="140">
        <v>0</v>
      </c>
      <c r="BN326" s="140">
        <v>0</v>
      </c>
      <c r="BO326" s="140">
        <v>0</v>
      </c>
      <c r="BQ326" s="43" t="s">
        <v>329</v>
      </c>
      <c r="BX326" s="43">
        <v>21</v>
      </c>
      <c r="BZ326" s="90">
        <f t="shared" si="24"/>
        <v>126</v>
      </c>
      <c r="CT326" s="90">
        <f t="shared" si="25"/>
        <v>126</v>
      </c>
      <c r="CU326" s="90">
        <f t="shared" si="26"/>
        <v>126</v>
      </c>
    </row>
    <row r="327" spans="1:99" ht="12" customHeight="1">
      <c r="A327" s="43">
        <v>5812</v>
      </c>
      <c r="B327" s="89" t="s">
        <v>813</v>
      </c>
      <c r="C327" s="89" t="s">
        <v>1129</v>
      </c>
      <c r="D327" s="89" t="s">
        <v>1130</v>
      </c>
      <c r="E327" s="89" t="s">
        <v>454</v>
      </c>
      <c r="F327" s="43">
        <v>529628</v>
      </c>
      <c r="G327" s="43">
        <v>177338</v>
      </c>
      <c r="H327" s="89" t="s">
        <v>148</v>
      </c>
      <c r="I327" s="125">
        <v>42793</v>
      </c>
      <c r="K327" s="140">
        <v>0</v>
      </c>
      <c r="L327" s="140">
        <v>39</v>
      </c>
      <c r="M327" s="140">
        <v>39</v>
      </c>
      <c r="N327" s="140">
        <v>357</v>
      </c>
      <c r="O327" s="140">
        <v>357</v>
      </c>
      <c r="P327" s="43" t="s">
        <v>329</v>
      </c>
      <c r="Q327" s="89" t="s">
        <v>1131</v>
      </c>
      <c r="R327" s="43" t="s">
        <v>392</v>
      </c>
      <c r="S327" s="125">
        <v>42234</v>
      </c>
      <c r="T327" s="117">
        <v>42647</v>
      </c>
      <c r="V327" s="43" t="s">
        <v>317</v>
      </c>
      <c r="X327" s="43" t="s">
        <v>318</v>
      </c>
      <c r="Y327" s="43" t="s">
        <v>361</v>
      </c>
      <c r="Z327" s="43" t="s">
        <v>361</v>
      </c>
      <c r="AA327" s="43" t="s">
        <v>320</v>
      </c>
      <c r="AB327" s="144">
        <v>5.0000000745058101E-2</v>
      </c>
      <c r="AC327" s="125">
        <v>43190</v>
      </c>
      <c r="AF327" s="43" t="s">
        <v>55</v>
      </c>
      <c r="AG327" s="43" t="s">
        <v>457</v>
      </c>
      <c r="AH327" s="43" t="s">
        <v>1132</v>
      </c>
      <c r="AJ327" s="140">
        <v>39</v>
      </c>
      <c r="AK327" s="140">
        <v>0</v>
      </c>
      <c r="AL327" s="140">
        <v>9</v>
      </c>
      <c r="AM327" s="140">
        <v>5</v>
      </c>
      <c r="AN327" s="140">
        <v>0</v>
      </c>
      <c r="AO327" s="140">
        <v>6</v>
      </c>
      <c r="AP327" s="140">
        <v>22</v>
      </c>
      <c r="AQ327" s="140">
        <v>11</v>
      </c>
      <c r="AR327" s="140">
        <v>0</v>
      </c>
      <c r="AS327" s="140">
        <v>0</v>
      </c>
      <c r="AT327" s="140">
        <v>0</v>
      </c>
      <c r="AU327" s="140">
        <v>0</v>
      </c>
      <c r="AV327" s="140">
        <v>6</v>
      </c>
      <c r="AW327" s="140">
        <v>22</v>
      </c>
      <c r="AX327" s="140">
        <v>11</v>
      </c>
      <c r="AY327" s="140">
        <v>0</v>
      </c>
      <c r="AZ327" s="140">
        <v>0</v>
      </c>
      <c r="BA327" s="140">
        <v>0</v>
      </c>
      <c r="BB327" s="140">
        <v>0</v>
      </c>
      <c r="BC327" s="140">
        <v>0</v>
      </c>
      <c r="BD327" s="140">
        <v>0</v>
      </c>
      <c r="BE327" s="140">
        <v>0</v>
      </c>
      <c r="BF327" s="140">
        <v>0</v>
      </c>
      <c r="BG327" s="140">
        <v>0</v>
      </c>
      <c r="BH327" s="140">
        <v>0</v>
      </c>
      <c r="BI327" s="140">
        <v>0</v>
      </c>
      <c r="BJ327" s="140">
        <v>0</v>
      </c>
      <c r="BK327" s="140">
        <v>0</v>
      </c>
      <c r="BL327" s="140">
        <v>0</v>
      </c>
      <c r="BM327" s="140">
        <v>0</v>
      </c>
      <c r="BN327" s="140">
        <v>0</v>
      </c>
      <c r="BO327" s="140">
        <v>0</v>
      </c>
      <c r="BQ327" s="43" t="s">
        <v>329</v>
      </c>
      <c r="BX327" s="43">
        <v>21</v>
      </c>
      <c r="CA327" s="90">
        <f>M327</f>
        <v>39</v>
      </c>
      <c r="CT327" s="90">
        <f t="shared" si="25"/>
        <v>39</v>
      </c>
      <c r="CU327" s="90">
        <f t="shared" si="26"/>
        <v>39</v>
      </c>
    </row>
    <row r="328" spans="1:99" ht="12" customHeight="1">
      <c r="A328" s="43">
        <v>5812</v>
      </c>
      <c r="B328" s="89" t="s">
        <v>813</v>
      </c>
      <c r="C328" s="89" t="s">
        <v>1129</v>
      </c>
      <c r="D328" s="89" t="s">
        <v>1130</v>
      </c>
      <c r="E328" s="89" t="s">
        <v>454</v>
      </c>
      <c r="F328" s="43">
        <v>529628</v>
      </c>
      <c r="G328" s="43">
        <v>177338</v>
      </c>
      <c r="H328" s="89" t="s">
        <v>148</v>
      </c>
      <c r="I328" s="125">
        <v>42793</v>
      </c>
      <c r="K328" s="140">
        <v>0</v>
      </c>
      <c r="L328" s="140">
        <v>10</v>
      </c>
      <c r="M328" s="140">
        <v>10</v>
      </c>
      <c r="N328" s="140">
        <v>357</v>
      </c>
      <c r="O328" s="140">
        <v>357</v>
      </c>
      <c r="P328" s="43" t="s">
        <v>329</v>
      </c>
      <c r="Q328" s="89" t="s">
        <v>1131</v>
      </c>
      <c r="R328" s="43" t="s">
        <v>392</v>
      </c>
      <c r="S328" s="125">
        <v>42234</v>
      </c>
      <c r="T328" s="117">
        <v>42647</v>
      </c>
      <c r="V328" s="43" t="s">
        <v>317</v>
      </c>
      <c r="X328" s="43" t="s">
        <v>318</v>
      </c>
      <c r="Y328" s="43" t="s">
        <v>361</v>
      </c>
      <c r="Z328" s="43" t="s">
        <v>361</v>
      </c>
      <c r="AA328" s="43" t="s">
        <v>320</v>
      </c>
      <c r="AB328" s="144">
        <v>5.0000000745058101E-2</v>
      </c>
      <c r="AC328" s="125">
        <v>43190</v>
      </c>
      <c r="AF328" s="43" t="s">
        <v>75</v>
      </c>
      <c r="AG328" s="43" t="s">
        <v>322</v>
      </c>
      <c r="AH328" s="43" t="s">
        <v>1132</v>
      </c>
      <c r="AJ328" s="140">
        <v>10</v>
      </c>
      <c r="AK328" s="140">
        <v>0</v>
      </c>
      <c r="AL328" s="140">
        <v>0</v>
      </c>
      <c r="AM328" s="140">
        <v>0</v>
      </c>
      <c r="AN328" s="140">
        <v>0</v>
      </c>
      <c r="AO328" s="140">
        <v>4</v>
      </c>
      <c r="AP328" s="140">
        <v>4</v>
      </c>
      <c r="AQ328" s="140">
        <v>2</v>
      </c>
      <c r="AR328" s="140">
        <v>0</v>
      </c>
      <c r="AS328" s="140">
        <v>0</v>
      </c>
      <c r="AT328" s="140">
        <v>0</v>
      </c>
      <c r="AU328" s="140">
        <v>0</v>
      </c>
      <c r="AV328" s="140">
        <v>4</v>
      </c>
      <c r="AW328" s="140">
        <v>4</v>
      </c>
      <c r="AX328" s="140">
        <v>2</v>
      </c>
      <c r="AY328" s="140">
        <v>0</v>
      </c>
      <c r="AZ328" s="140">
        <v>0</v>
      </c>
      <c r="BA328" s="140">
        <v>0</v>
      </c>
      <c r="BB328" s="140">
        <v>0</v>
      </c>
      <c r="BC328" s="140">
        <v>0</v>
      </c>
      <c r="BD328" s="140">
        <v>0</v>
      </c>
      <c r="BE328" s="140">
        <v>0</v>
      </c>
      <c r="BF328" s="140">
        <v>0</v>
      </c>
      <c r="BG328" s="140">
        <v>0</v>
      </c>
      <c r="BH328" s="140">
        <v>0</v>
      </c>
      <c r="BI328" s="140">
        <v>0</v>
      </c>
      <c r="BJ328" s="140">
        <v>0</v>
      </c>
      <c r="BK328" s="140">
        <v>0</v>
      </c>
      <c r="BL328" s="140">
        <v>0</v>
      </c>
      <c r="BM328" s="140">
        <v>0</v>
      </c>
      <c r="BN328" s="140">
        <v>0</v>
      </c>
      <c r="BO328" s="140">
        <v>0</v>
      </c>
      <c r="BQ328" s="43" t="s">
        <v>329</v>
      </c>
      <c r="BX328" s="43">
        <v>21</v>
      </c>
      <c r="CA328" s="90">
        <f>M328</f>
        <v>10</v>
      </c>
      <c r="CT328" s="90">
        <f t="shared" si="25"/>
        <v>10</v>
      </c>
      <c r="CU328" s="90">
        <f t="shared" si="26"/>
        <v>10</v>
      </c>
    </row>
    <row r="329" spans="1:99" ht="12" customHeight="1">
      <c r="A329" s="43">
        <v>5812</v>
      </c>
      <c r="B329" s="89" t="s">
        <v>813</v>
      </c>
      <c r="C329" s="89" t="s">
        <v>1133</v>
      </c>
      <c r="D329" s="89" t="s">
        <v>1130</v>
      </c>
      <c r="E329" s="89" t="s">
        <v>454</v>
      </c>
      <c r="F329" s="43">
        <v>529628</v>
      </c>
      <c r="G329" s="43">
        <v>177338</v>
      </c>
      <c r="H329" s="89" t="s">
        <v>148</v>
      </c>
      <c r="I329" s="125">
        <v>43190</v>
      </c>
      <c r="K329" s="140">
        <v>0</v>
      </c>
      <c r="L329" s="140">
        <v>59</v>
      </c>
      <c r="M329" s="140">
        <v>59</v>
      </c>
      <c r="N329" s="140">
        <v>59</v>
      </c>
      <c r="O329" s="140">
        <v>59</v>
      </c>
      <c r="P329" s="43" t="s">
        <v>329</v>
      </c>
      <c r="Q329" s="89" t="s">
        <v>1134</v>
      </c>
      <c r="R329" s="43" t="s">
        <v>360</v>
      </c>
      <c r="S329" s="125">
        <v>42829</v>
      </c>
      <c r="T329" s="117">
        <v>43091</v>
      </c>
      <c r="V329" s="43" t="s">
        <v>317</v>
      </c>
      <c r="X329" s="43" t="s">
        <v>318</v>
      </c>
      <c r="Y329" s="43" t="s">
        <v>361</v>
      </c>
      <c r="Z329" s="43" t="s">
        <v>361</v>
      </c>
      <c r="AA329" s="43" t="s">
        <v>320</v>
      </c>
      <c r="AB329" s="144">
        <v>6.7000001668930095E-2</v>
      </c>
      <c r="AC329" s="125">
        <v>43190</v>
      </c>
      <c r="AF329" s="43" t="s">
        <v>54</v>
      </c>
      <c r="AG329" s="43" t="s">
        <v>399</v>
      </c>
      <c r="AH329" s="43" t="s">
        <v>1132</v>
      </c>
      <c r="AJ329" s="140">
        <v>0</v>
      </c>
      <c r="AK329" s="140">
        <v>0</v>
      </c>
      <c r="AL329" s="140">
        <v>0</v>
      </c>
      <c r="AM329" s="140">
        <v>3</v>
      </c>
      <c r="AN329" s="140">
        <v>0</v>
      </c>
      <c r="AO329" s="140">
        <v>38</v>
      </c>
      <c r="AP329" s="140">
        <v>20</v>
      </c>
      <c r="AQ329" s="140">
        <v>1</v>
      </c>
      <c r="AR329" s="140">
        <v>0</v>
      </c>
      <c r="AS329" s="140">
        <v>0</v>
      </c>
      <c r="AT329" s="140">
        <v>0</v>
      </c>
      <c r="AU329" s="140">
        <v>0</v>
      </c>
      <c r="AV329" s="140">
        <v>38</v>
      </c>
      <c r="AW329" s="140">
        <v>20</v>
      </c>
      <c r="AX329" s="140">
        <v>1</v>
      </c>
      <c r="AY329" s="140">
        <v>0</v>
      </c>
      <c r="AZ329" s="140">
        <v>0</v>
      </c>
      <c r="BA329" s="140">
        <v>0</v>
      </c>
      <c r="BB329" s="140">
        <v>0</v>
      </c>
      <c r="BC329" s="140">
        <v>0</v>
      </c>
      <c r="BD329" s="140">
        <v>0</v>
      </c>
      <c r="BE329" s="140">
        <v>0</v>
      </c>
      <c r="BF329" s="140">
        <v>0</v>
      </c>
      <c r="BG329" s="140">
        <v>0</v>
      </c>
      <c r="BH329" s="140">
        <v>0</v>
      </c>
      <c r="BI329" s="140">
        <v>0</v>
      </c>
      <c r="BJ329" s="140">
        <v>0</v>
      </c>
      <c r="BK329" s="140">
        <v>0</v>
      </c>
      <c r="BL329" s="140">
        <v>0</v>
      </c>
      <c r="BM329" s="140">
        <v>0</v>
      </c>
      <c r="BN329" s="140">
        <v>0</v>
      </c>
      <c r="BO329" s="140">
        <v>0</v>
      </c>
      <c r="BQ329" s="43" t="s">
        <v>329</v>
      </c>
      <c r="BX329" s="43">
        <v>21</v>
      </c>
      <c r="CA329" s="90">
        <f>M329</f>
        <v>59</v>
      </c>
      <c r="CT329" s="90">
        <f t="shared" si="25"/>
        <v>59</v>
      </c>
      <c r="CU329" s="90">
        <f t="shared" si="26"/>
        <v>59</v>
      </c>
    </row>
    <row r="330" spans="1:99" ht="12" customHeight="1">
      <c r="A330" s="43">
        <v>5833</v>
      </c>
      <c r="B330" s="89" t="s">
        <v>813</v>
      </c>
      <c r="C330" s="89" t="s">
        <v>1135</v>
      </c>
      <c r="D330" s="89" t="s">
        <v>1136</v>
      </c>
      <c r="F330" s="43">
        <v>528459</v>
      </c>
      <c r="G330" s="43">
        <v>175776</v>
      </c>
      <c r="H330" s="89" t="s">
        <v>175</v>
      </c>
      <c r="I330" s="125">
        <v>43327</v>
      </c>
      <c r="K330" s="140">
        <v>0</v>
      </c>
      <c r="L330" s="140">
        <v>1</v>
      </c>
      <c r="M330" s="140">
        <v>1</v>
      </c>
      <c r="N330" s="140">
        <v>2</v>
      </c>
      <c r="O330" s="140">
        <v>2</v>
      </c>
      <c r="Q330" s="89" t="s">
        <v>1137</v>
      </c>
      <c r="R330" s="43" t="s">
        <v>316</v>
      </c>
      <c r="S330" s="125">
        <v>42221</v>
      </c>
      <c r="T330" s="117">
        <v>42277</v>
      </c>
      <c r="V330" s="43" t="s">
        <v>317</v>
      </c>
      <c r="X330" s="43" t="s">
        <v>318</v>
      </c>
      <c r="Y330" s="43" t="s">
        <v>319</v>
      </c>
      <c r="Z330" s="43" t="s">
        <v>320</v>
      </c>
      <c r="AA330" s="43" t="s">
        <v>30</v>
      </c>
      <c r="AB330" s="144">
        <v>3.0000000260770299E-3</v>
      </c>
      <c r="AC330" s="125">
        <v>43327</v>
      </c>
      <c r="AF330" s="43" t="s">
        <v>75</v>
      </c>
      <c r="AG330" s="43" t="s">
        <v>322</v>
      </c>
      <c r="AJ330" s="140">
        <v>0</v>
      </c>
      <c r="AK330" s="140">
        <v>0</v>
      </c>
      <c r="AL330" s="140">
        <v>0</v>
      </c>
      <c r="AM330" s="140">
        <v>0</v>
      </c>
      <c r="AN330" s="140">
        <v>0</v>
      </c>
      <c r="AO330" s="140">
        <v>1</v>
      </c>
      <c r="AP330" s="140">
        <v>0</v>
      </c>
      <c r="AQ330" s="140">
        <v>0</v>
      </c>
      <c r="AR330" s="140">
        <v>0</v>
      </c>
      <c r="AS330" s="140">
        <v>0</v>
      </c>
      <c r="AT330" s="140">
        <v>0</v>
      </c>
      <c r="AU330" s="140">
        <v>0</v>
      </c>
      <c r="AV330" s="140">
        <v>1</v>
      </c>
      <c r="AW330" s="140">
        <v>0</v>
      </c>
      <c r="AX330" s="140">
        <v>0</v>
      </c>
      <c r="AY330" s="140">
        <v>0</v>
      </c>
      <c r="AZ330" s="140">
        <v>0</v>
      </c>
      <c r="BA330" s="140">
        <v>0</v>
      </c>
      <c r="BB330" s="140">
        <v>0</v>
      </c>
      <c r="BC330" s="140">
        <v>0</v>
      </c>
      <c r="BD330" s="140">
        <v>0</v>
      </c>
      <c r="BE330" s="140">
        <v>0</v>
      </c>
      <c r="BF330" s="140">
        <v>0</v>
      </c>
      <c r="BG330" s="140">
        <v>0</v>
      </c>
      <c r="BH330" s="140">
        <v>0</v>
      </c>
      <c r="BI330" s="140">
        <v>0</v>
      </c>
      <c r="BJ330" s="140">
        <v>0</v>
      </c>
      <c r="BK330" s="140">
        <v>0</v>
      </c>
      <c r="BL330" s="140">
        <v>0</v>
      </c>
      <c r="BM330" s="140">
        <v>0</v>
      </c>
      <c r="BN330" s="140">
        <v>0</v>
      </c>
      <c r="BO330" s="140">
        <v>0</v>
      </c>
      <c r="BX330" s="43">
        <v>13</v>
      </c>
      <c r="BZ330" s="90">
        <f t="shared" ref="BZ330:BZ341" si="27">M330</f>
        <v>1</v>
      </c>
      <c r="CT330" s="90">
        <f t="shared" si="25"/>
        <v>1</v>
      </c>
      <c r="CU330" s="90">
        <f t="shared" si="26"/>
        <v>1</v>
      </c>
    </row>
    <row r="331" spans="1:99" ht="12" customHeight="1">
      <c r="A331" s="43">
        <v>5833</v>
      </c>
      <c r="B331" s="89" t="s">
        <v>813</v>
      </c>
      <c r="C331" s="89" t="s">
        <v>1135</v>
      </c>
      <c r="D331" s="89" t="s">
        <v>1136</v>
      </c>
      <c r="F331" s="43">
        <v>528459</v>
      </c>
      <c r="G331" s="43">
        <v>175776</v>
      </c>
      <c r="H331" s="89" t="s">
        <v>175</v>
      </c>
      <c r="I331" s="125">
        <v>43327</v>
      </c>
      <c r="K331" s="140">
        <v>0</v>
      </c>
      <c r="L331" s="140">
        <v>1</v>
      </c>
      <c r="M331" s="140">
        <v>1</v>
      </c>
      <c r="N331" s="140">
        <v>2</v>
      </c>
      <c r="O331" s="140">
        <v>2</v>
      </c>
      <c r="Q331" s="89" t="s">
        <v>1137</v>
      </c>
      <c r="R331" s="43" t="s">
        <v>316</v>
      </c>
      <c r="S331" s="125">
        <v>42221</v>
      </c>
      <c r="T331" s="117">
        <v>42277</v>
      </c>
      <c r="V331" s="43" t="s">
        <v>317</v>
      </c>
      <c r="X331" s="43" t="s">
        <v>318</v>
      </c>
      <c r="Y331" s="43" t="s">
        <v>319</v>
      </c>
      <c r="Z331" s="43" t="s">
        <v>320</v>
      </c>
      <c r="AA331" s="43" t="s">
        <v>353</v>
      </c>
      <c r="AB331" s="144">
        <v>2.0000000949949E-3</v>
      </c>
      <c r="AC331" s="125">
        <v>43327</v>
      </c>
      <c r="AF331" s="43" t="s">
        <v>75</v>
      </c>
      <c r="AG331" s="43" t="s">
        <v>322</v>
      </c>
      <c r="AJ331" s="140">
        <v>0</v>
      </c>
      <c r="AK331" s="140">
        <v>0</v>
      </c>
      <c r="AL331" s="140">
        <v>0</v>
      </c>
      <c r="AM331" s="140">
        <v>0</v>
      </c>
      <c r="AN331" s="140">
        <v>0</v>
      </c>
      <c r="AO331" s="140">
        <v>1</v>
      </c>
      <c r="AP331" s="140">
        <v>0</v>
      </c>
      <c r="AQ331" s="140">
        <v>0</v>
      </c>
      <c r="AR331" s="140">
        <v>0</v>
      </c>
      <c r="AS331" s="140">
        <v>0</v>
      </c>
      <c r="AT331" s="140">
        <v>0</v>
      </c>
      <c r="AU331" s="140">
        <v>0</v>
      </c>
      <c r="AV331" s="140">
        <v>1</v>
      </c>
      <c r="AW331" s="140">
        <v>0</v>
      </c>
      <c r="AX331" s="140">
        <v>0</v>
      </c>
      <c r="AY331" s="140">
        <v>0</v>
      </c>
      <c r="AZ331" s="140">
        <v>0</v>
      </c>
      <c r="BA331" s="140">
        <v>0</v>
      </c>
      <c r="BB331" s="140">
        <v>0</v>
      </c>
      <c r="BC331" s="140">
        <v>0</v>
      </c>
      <c r="BD331" s="140">
        <v>0</v>
      </c>
      <c r="BE331" s="140">
        <v>0</v>
      </c>
      <c r="BF331" s="140">
        <v>0</v>
      </c>
      <c r="BG331" s="140">
        <v>0</v>
      </c>
      <c r="BH331" s="140">
        <v>0</v>
      </c>
      <c r="BI331" s="140">
        <v>0</v>
      </c>
      <c r="BJ331" s="140">
        <v>0</v>
      </c>
      <c r="BK331" s="140">
        <v>0</v>
      </c>
      <c r="BL331" s="140">
        <v>0</v>
      </c>
      <c r="BM331" s="140">
        <v>0</v>
      </c>
      <c r="BN331" s="140">
        <v>0</v>
      </c>
      <c r="BO331" s="140">
        <v>0</v>
      </c>
      <c r="BX331" s="43">
        <v>13</v>
      </c>
      <c r="BZ331" s="90">
        <f t="shared" si="27"/>
        <v>1</v>
      </c>
      <c r="CT331" s="90">
        <f t="shared" si="25"/>
        <v>1</v>
      </c>
      <c r="CU331" s="90">
        <f t="shared" si="26"/>
        <v>1</v>
      </c>
    </row>
    <row r="332" spans="1:99" ht="12" customHeight="1">
      <c r="A332" s="43">
        <v>5844</v>
      </c>
      <c r="B332" s="89" t="s">
        <v>813</v>
      </c>
      <c r="C332" s="89" t="s">
        <v>1138</v>
      </c>
      <c r="D332" s="89" t="s">
        <v>1139</v>
      </c>
      <c r="F332" s="43">
        <v>527957</v>
      </c>
      <c r="G332" s="43">
        <v>172279</v>
      </c>
      <c r="H332" s="89" t="s">
        <v>167</v>
      </c>
      <c r="I332" s="125">
        <v>43586</v>
      </c>
      <c r="K332" s="140">
        <v>1</v>
      </c>
      <c r="L332" s="140">
        <v>3</v>
      </c>
      <c r="M332" s="140">
        <v>2</v>
      </c>
      <c r="N332" s="140">
        <v>3</v>
      </c>
      <c r="O332" s="140">
        <v>2</v>
      </c>
      <c r="Q332" s="89" t="s">
        <v>1140</v>
      </c>
      <c r="R332" s="43" t="s">
        <v>316</v>
      </c>
      <c r="S332" s="125">
        <v>43313</v>
      </c>
      <c r="T332" s="117">
        <v>43419</v>
      </c>
      <c r="V332" s="43" t="s">
        <v>317</v>
      </c>
      <c r="X332" s="43" t="s">
        <v>318</v>
      </c>
      <c r="Y332" s="43" t="s">
        <v>348</v>
      </c>
      <c r="Z332" s="43" t="s">
        <v>320</v>
      </c>
      <c r="AA332" s="43" t="s">
        <v>340</v>
      </c>
      <c r="AB332" s="144">
        <v>8.9999996125698107E-3</v>
      </c>
      <c r="AC332" s="125">
        <v>43586</v>
      </c>
      <c r="AD332" s="43" t="s">
        <v>329</v>
      </c>
      <c r="AF332" s="43" t="s">
        <v>75</v>
      </c>
      <c r="AG332" s="43" t="s">
        <v>322</v>
      </c>
      <c r="AJ332" s="140">
        <v>0</v>
      </c>
      <c r="AK332" s="140">
        <v>0</v>
      </c>
      <c r="AL332" s="140">
        <v>0</v>
      </c>
      <c r="AM332" s="140">
        <v>0</v>
      </c>
      <c r="AN332" s="140">
        <v>2</v>
      </c>
      <c r="AO332" s="140">
        <v>0</v>
      </c>
      <c r="AP332" s="140">
        <v>1</v>
      </c>
      <c r="AQ332" s="140">
        <v>-1</v>
      </c>
      <c r="AR332" s="140">
        <v>0</v>
      </c>
      <c r="AS332" s="140">
        <v>0</v>
      </c>
      <c r="AT332" s="140">
        <v>0</v>
      </c>
      <c r="AU332" s="140">
        <v>2</v>
      </c>
      <c r="AV332" s="140">
        <v>0</v>
      </c>
      <c r="AW332" s="140">
        <v>1</v>
      </c>
      <c r="AX332" s="140">
        <v>0</v>
      </c>
      <c r="AY332" s="140">
        <v>0</v>
      </c>
      <c r="AZ332" s="140">
        <v>0</v>
      </c>
      <c r="BA332" s="140">
        <v>0</v>
      </c>
      <c r="BB332" s="140">
        <v>0</v>
      </c>
      <c r="BC332" s="140">
        <v>0</v>
      </c>
      <c r="BD332" s="140">
        <v>0</v>
      </c>
      <c r="BE332" s="140">
        <v>-1</v>
      </c>
      <c r="BF332" s="140">
        <v>0</v>
      </c>
      <c r="BG332" s="140">
        <v>0</v>
      </c>
      <c r="BH332" s="140">
        <v>0</v>
      </c>
      <c r="BI332" s="140">
        <v>0</v>
      </c>
      <c r="BJ332" s="140">
        <v>0</v>
      </c>
      <c r="BK332" s="140">
        <v>0</v>
      </c>
      <c r="BL332" s="140">
        <v>0</v>
      </c>
      <c r="BM332" s="140">
        <v>0</v>
      </c>
      <c r="BN332" s="140">
        <v>0</v>
      </c>
      <c r="BO332" s="140">
        <v>0</v>
      </c>
      <c r="BX332" s="43">
        <v>13</v>
      </c>
      <c r="BZ332" s="90">
        <f t="shared" si="27"/>
        <v>2</v>
      </c>
      <c r="CT332" s="90">
        <f t="shared" si="25"/>
        <v>2</v>
      </c>
      <c r="CU332" s="90">
        <f t="shared" si="26"/>
        <v>2</v>
      </c>
    </row>
    <row r="333" spans="1:99" ht="12" customHeight="1">
      <c r="A333" s="43">
        <v>5862</v>
      </c>
      <c r="B333" s="89" t="s">
        <v>813</v>
      </c>
      <c r="C333" s="89" t="s">
        <v>1141</v>
      </c>
      <c r="D333" s="89" t="s">
        <v>1142</v>
      </c>
      <c r="E333" s="89" t="s">
        <v>1143</v>
      </c>
      <c r="F333" s="43">
        <v>524068</v>
      </c>
      <c r="G333" s="43">
        <v>175336</v>
      </c>
      <c r="H333" s="89" t="s">
        <v>178</v>
      </c>
      <c r="I333" s="125">
        <v>43190</v>
      </c>
      <c r="K333" s="140">
        <v>1</v>
      </c>
      <c r="L333" s="140">
        <v>3</v>
      </c>
      <c r="M333" s="140">
        <v>2</v>
      </c>
      <c r="N333" s="140">
        <v>5</v>
      </c>
      <c r="O333" s="140">
        <v>4</v>
      </c>
      <c r="Q333" s="89" t="s">
        <v>1144</v>
      </c>
      <c r="R333" s="43" t="s">
        <v>316</v>
      </c>
      <c r="S333" s="125">
        <v>43188</v>
      </c>
      <c r="T333" s="117">
        <v>43335</v>
      </c>
      <c r="V333" s="43" t="s">
        <v>317</v>
      </c>
      <c r="X333" s="43" t="s">
        <v>318</v>
      </c>
      <c r="Y333" s="43" t="s">
        <v>319</v>
      </c>
      <c r="Z333" s="43" t="s">
        <v>320</v>
      </c>
      <c r="AA333" s="43" t="s">
        <v>321</v>
      </c>
      <c r="AB333" s="144">
        <v>8.9999996125698107E-3</v>
      </c>
      <c r="AC333" s="125">
        <v>43190</v>
      </c>
      <c r="AF333" s="43" t="s">
        <v>75</v>
      </c>
      <c r="AG333" s="43" t="s">
        <v>322</v>
      </c>
      <c r="AJ333" s="140">
        <v>0</v>
      </c>
      <c r="AK333" s="140">
        <v>0</v>
      </c>
      <c r="AL333" s="140">
        <v>0</v>
      </c>
      <c r="AM333" s="140">
        <v>0</v>
      </c>
      <c r="AN333" s="140">
        <v>0</v>
      </c>
      <c r="AO333" s="140">
        <v>0</v>
      </c>
      <c r="AP333" s="140">
        <v>3</v>
      </c>
      <c r="AQ333" s="140">
        <v>-1</v>
      </c>
      <c r="AR333" s="140">
        <v>0</v>
      </c>
      <c r="AS333" s="140">
        <v>0</v>
      </c>
      <c r="AT333" s="140">
        <v>0</v>
      </c>
      <c r="AU333" s="140">
        <v>0</v>
      </c>
      <c r="AV333" s="140">
        <v>0</v>
      </c>
      <c r="AW333" s="140">
        <v>3</v>
      </c>
      <c r="AX333" s="140">
        <v>-1</v>
      </c>
      <c r="AY333" s="140">
        <v>0</v>
      </c>
      <c r="AZ333" s="140">
        <v>0</v>
      </c>
      <c r="BA333" s="140">
        <v>0</v>
      </c>
      <c r="BB333" s="140">
        <v>0</v>
      </c>
      <c r="BC333" s="140">
        <v>0</v>
      </c>
      <c r="BD333" s="140">
        <v>0</v>
      </c>
      <c r="BE333" s="140">
        <v>0</v>
      </c>
      <c r="BF333" s="140">
        <v>0</v>
      </c>
      <c r="BG333" s="140">
        <v>0</v>
      </c>
      <c r="BH333" s="140">
        <v>0</v>
      </c>
      <c r="BI333" s="140">
        <v>0</v>
      </c>
      <c r="BJ333" s="140">
        <v>0</v>
      </c>
      <c r="BK333" s="140">
        <v>0</v>
      </c>
      <c r="BL333" s="140">
        <v>0</v>
      </c>
      <c r="BM333" s="140">
        <v>0</v>
      </c>
      <c r="BN333" s="140">
        <v>0</v>
      </c>
      <c r="BO333" s="140">
        <v>0</v>
      </c>
      <c r="BP333" s="43" t="s">
        <v>140</v>
      </c>
      <c r="BX333" s="43">
        <v>13</v>
      </c>
      <c r="BZ333" s="90">
        <f t="shared" si="27"/>
        <v>2</v>
      </c>
      <c r="CT333" s="90">
        <f t="shared" si="25"/>
        <v>2</v>
      </c>
      <c r="CU333" s="90">
        <f t="shared" si="26"/>
        <v>2</v>
      </c>
    </row>
    <row r="334" spans="1:99" ht="12" customHeight="1">
      <c r="A334" s="43">
        <v>5862</v>
      </c>
      <c r="B334" s="89" t="s">
        <v>813</v>
      </c>
      <c r="C334" s="89" t="s">
        <v>1141</v>
      </c>
      <c r="D334" s="89" t="s">
        <v>1142</v>
      </c>
      <c r="E334" s="89" t="s">
        <v>1145</v>
      </c>
      <c r="F334" s="43">
        <v>524068</v>
      </c>
      <c r="G334" s="43">
        <v>175336</v>
      </c>
      <c r="H334" s="89" t="s">
        <v>178</v>
      </c>
      <c r="I334" s="125">
        <v>43190</v>
      </c>
      <c r="K334" s="140">
        <v>0</v>
      </c>
      <c r="L334" s="140">
        <v>2</v>
      </c>
      <c r="M334" s="140">
        <v>2</v>
      </c>
      <c r="N334" s="140">
        <v>5</v>
      </c>
      <c r="O334" s="140">
        <v>4</v>
      </c>
      <c r="Q334" s="89" t="s">
        <v>1144</v>
      </c>
      <c r="R334" s="43" t="s">
        <v>316</v>
      </c>
      <c r="S334" s="125">
        <v>43188</v>
      </c>
      <c r="T334" s="117">
        <v>43335</v>
      </c>
      <c r="V334" s="43" t="s">
        <v>317</v>
      </c>
      <c r="X334" s="43" t="s">
        <v>318</v>
      </c>
      <c r="Y334" s="43" t="s">
        <v>319</v>
      </c>
      <c r="Z334" s="43" t="s">
        <v>320</v>
      </c>
      <c r="AA334" s="43" t="s">
        <v>353</v>
      </c>
      <c r="AB334" s="144">
        <v>4.9999998882412902E-3</v>
      </c>
      <c r="AC334" s="125">
        <v>43190</v>
      </c>
      <c r="AF334" s="43" t="s">
        <v>75</v>
      </c>
      <c r="AG334" s="43" t="s">
        <v>322</v>
      </c>
      <c r="AJ334" s="140">
        <v>0</v>
      </c>
      <c r="AK334" s="140">
        <v>0</v>
      </c>
      <c r="AL334" s="140">
        <v>0</v>
      </c>
      <c r="AM334" s="140">
        <v>0</v>
      </c>
      <c r="AN334" s="140">
        <v>0</v>
      </c>
      <c r="AO334" s="140">
        <v>1</v>
      </c>
      <c r="AP334" s="140">
        <v>1</v>
      </c>
      <c r="AQ334" s="140">
        <v>0</v>
      </c>
      <c r="AR334" s="140">
        <v>0</v>
      </c>
      <c r="AS334" s="140">
        <v>0</v>
      </c>
      <c r="AT334" s="140">
        <v>0</v>
      </c>
      <c r="AU334" s="140">
        <v>0</v>
      </c>
      <c r="AV334" s="140">
        <v>1</v>
      </c>
      <c r="AW334" s="140">
        <v>1</v>
      </c>
      <c r="AX334" s="140">
        <v>0</v>
      </c>
      <c r="AY334" s="140">
        <v>0</v>
      </c>
      <c r="AZ334" s="140">
        <v>0</v>
      </c>
      <c r="BA334" s="140">
        <v>0</v>
      </c>
      <c r="BB334" s="140">
        <v>0</v>
      </c>
      <c r="BC334" s="140">
        <v>0</v>
      </c>
      <c r="BD334" s="140">
        <v>0</v>
      </c>
      <c r="BE334" s="140">
        <v>0</v>
      </c>
      <c r="BF334" s="140">
        <v>0</v>
      </c>
      <c r="BG334" s="140">
        <v>0</v>
      </c>
      <c r="BH334" s="140">
        <v>0</v>
      </c>
      <c r="BI334" s="140">
        <v>0</v>
      </c>
      <c r="BJ334" s="140">
        <v>0</v>
      </c>
      <c r="BK334" s="140">
        <v>0</v>
      </c>
      <c r="BL334" s="140">
        <v>0</v>
      </c>
      <c r="BM334" s="140">
        <v>0</v>
      </c>
      <c r="BN334" s="140">
        <v>0</v>
      </c>
      <c r="BO334" s="140">
        <v>0</v>
      </c>
      <c r="BP334" s="43" t="s">
        <v>140</v>
      </c>
      <c r="BX334" s="43">
        <v>13</v>
      </c>
      <c r="BZ334" s="90">
        <f t="shared" si="27"/>
        <v>2</v>
      </c>
      <c r="CT334" s="90">
        <f t="shared" si="25"/>
        <v>2</v>
      </c>
      <c r="CU334" s="90">
        <f t="shared" si="26"/>
        <v>2</v>
      </c>
    </row>
    <row r="335" spans="1:99" ht="12" customHeight="1">
      <c r="A335" s="43">
        <v>5875</v>
      </c>
      <c r="B335" s="89" t="s">
        <v>813</v>
      </c>
      <c r="C335" s="89" t="s">
        <v>1146</v>
      </c>
      <c r="D335" s="89" t="s">
        <v>1147</v>
      </c>
      <c r="F335" s="43">
        <v>528631</v>
      </c>
      <c r="G335" s="43">
        <v>177662</v>
      </c>
      <c r="H335" s="89" t="s">
        <v>148</v>
      </c>
      <c r="I335" s="125">
        <v>43545</v>
      </c>
      <c r="K335" s="140">
        <v>2</v>
      </c>
      <c r="L335" s="140">
        <v>1</v>
      </c>
      <c r="M335" s="140">
        <v>-1</v>
      </c>
      <c r="N335" s="140">
        <v>1</v>
      </c>
      <c r="O335" s="140">
        <v>-1</v>
      </c>
      <c r="Q335" s="89" t="s">
        <v>1148</v>
      </c>
      <c r="R335" s="43" t="s">
        <v>316</v>
      </c>
      <c r="S335" s="125">
        <v>42053</v>
      </c>
      <c r="T335" s="117">
        <v>42088</v>
      </c>
      <c r="V335" s="43" t="s">
        <v>317</v>
      </c>
      <c r="X335" s="43" t="s">
        <v>318</v>
      </c>
      <c r="Y335" s="43" t="s">
        <v>348</v>
      </c>
      <c r="Z335" s="43" t="s">
        <v>320</v>
      </c>
      <c r="AA335" s="43" t="s">
        <v>636</v>
      </c>
      <c r="AB335" s="144">
        <v>1.60000007599592E-2</v>
      </c>
      <c r="AC335" s="125">
        <v>43545</v>
      </c>
      <c r="AF335" s="43" t="s">
        <v>75</v>
      </c>
      <c r="AG335" s="43" t="s">
        <v>322</v>
      </c>
      <c r="AJ335" s="140">
        <v>0</v>
      </c>
      <c r="AK335" s="140">
        <v>0</v>
      </c>
      <c r="AL335" s="140">
        <v>0</v>
      </c>
      <c r="AM335" s="140">
        <v>0</v>
      </c>
      <c r="AN335" s="140">
        <v>0</v>
      </c>
      <c r="AO335" s="140">
        <v>0</v>
      </c>
      <c r="AP335" s="140">
        <v>-2</v>
      </c>
      <c r="AQ335" s="140">
        <v>1</v>
      </c>
      <c r="AR335" s="140">
        <v>0</v>
      </c>
      <c r="AS335" s="140">
        <v>0</v>
      </c>
      <c r="AT335" s="140">
        <v>0</v>
      </c>
      <c r="AU335" s="140">
        <v>0</v>
      </c>
      <c r="AV335" s="140">
        <v>0</v>
      </c>
      <c r="AW335" s="140">
        <v>-2</v>
      </c>
      <c r="AX335" s="140">
        <v>1</v>
      </c>
      <c r="AY335" s="140">
        <v>0</v>
      </c>
      <c r="AZ335" s="140">
        <v>0</v>
      </c>
      <c r="BA335" s="140">
        <v>0</v>
      </c>
      <c r="BB335" s="140">
        <v>0</v>
      </c>
      <c r="BC335" s="140">
        <v>0</v>
      </c>
      <c r="BD335" s="140">
        <v>0</v>
      </c>
      <c r="BE335" s="140">
        <v>0</v>
      </c>
      <c r="BF335" s="140">
        <v>0</v>
      </c>
      <c r="BG335" s="140">
        <v>0</v>
      </c>
      <c r="BH335" s="140">
        <v>0</v>
      </c>
      <c r="BI335" s="140">
        <v>0</v>
      </c>
      <c r="BJ335" s="140">
        <v>0</v>
      </c>
      <c r="BK335" s="140">
        <v>0</v>
      </c>
      <c r="BL335" s="140">
        <v>0</v>
      </c>
      <c r="BM335" s="140">
        <v>0</v>
      </c>
      <c r="BN335" s="140">
        <v>0</v>
      </c>
      <c r="BO335" s="140">
        <v>0</v>
      </c>
      <c r="BQ335" s="43" t="s">
        <v>329</v>
      </c>
      <c r="BX335" s="43">
        <v>13</v>
      </c>
      <c r="BZ335" s="90">
        <f t="shared" si="27"/>
        <v>-1</v>
      </c>
      <c r="CT335" s="90">
        <f t="shared" si="25"/>
        <v>-1</v>
      </c>
      <c r="CU335" s="90">
        <f t="shared" si="26"/>
        <v>-1</v>
      </c>
    </row>
    <row r="336" spans="1:99" ht="12" customHeight="1">
      <c r="A336" s="43">
        <v>5877</v>
      </c>
      <c r="B336" s="89" t="s">
        <v>813</v>
      </c>
      <c r="C336" s="89" t="s">
        <v>1149</v>
      </c>
      <c r="D336" s="89" t="s">
        <v>1150</v>
      </c>
      <c r="F336" s="43">
        <v>529014</v>
      </c>
      <c r="G336" s="43">
        <v>172572</v>
      </c>
      <c r="H336" s="89" t="s">
        <v>167</v>
      </c>
      <c r="I336" s="125">
        <v>43190</v>
      </c>
      <c r="K336" s="140">
        <v>0</v>
      </c>
      <c r="L336" s="140">
        <v>1</v>
      </c>
      <c r="M336" s="140">
        <v>1</v>
      </c>
      <c r="N336" s="140">
        <v>1</v>
      </c>
      <c r="O336" s="140">
        <v>1</v>
      </c>
      <c r="Q336" s="89" t="s">
        <v>1151</v>
      </c>
      <c r="R336" s="43" t="s">
        <v>316</v>
      </c>
      <c r="S336" s="125">
        <v>42486</v>
      </c>
      <c r="T336" s="117">
        <v>42542</v>
      </c>
      <c r="V336" s="43" t="s">
        <v>317</v>
      </c>
      <c r="X336" s="43" t="s">
        <v>318</v>
      </c>
      <c r="Y336" s="43" t="s">
        <v>361</v>
      </c>
      <c r="Z336" s="43" t="s">
        <v>320</v>
      </c>
      <c r="AA336" s="43" t="s">
        <v>353</v>
      </c>
      <c r="AB336" s="144">
        <v>2.19999998807907E-2</v>
      </c>
      <c r="AC336" s="125">
        <v>43190</v>
      </c>
      <c r="AF336" s="43" t="s">
        <v>75</v>
      </c>
      <c r="AG336" s="43" t="s">
        <v>322</v>
      </c>
      <c r="AJ336" s="140">
        <v>1</v>
      </c>
      <c r="AK336" s="140">
        <v>0</v>
      </c>
      <c r="AL336" s="140">
        <v>0</v>
      </c>
      <c r="AM336" s="140">
        <v>0</v>
      </c>
      <c r="AN336" s="140">
        <v>0</v>
      </c>
      <c r="AO336" s="140">
        <v>0</v>
      </c>
      <c r="AP336" s="140">
        <v>0</v>
      </c>
      <c r="AQ336" s="140">
        <v>1</v>
      </c>
      <c r="AR336" s="140">
        <v>0</v>
      </c>
      <c r="AS336" s="140">
        <v>0</v>
      </c>
      <c r="AT336" s="140">
        <v>0</v>
      </c>
      <c r="AU336" s="140">
        <v>0</v>
      </c>
      <c r="AV336" s="140">
        <v>0</v>
      </c>
      <c r="AW336" s="140">
        <v>0</v>
      </c>
      <c r="AX336" s="140">
        <v>0</v>
      </c>
      <c r="AY336" s="140">
        <v>0</v>
      </c>
      <c r="AZ336" s="140">
        <v>0</v>
      </c>
      <c r="BA336" s="140">
        <v>0</v>
      </c>
      <c r="BB336" s="140">
        <v>0</v>
      </c>
      <c r="BC336" s="140">
        <v>0</v>
      </c>
      <c r="BD336" s="140">
        <v>0</v>
      </c>
      <c r="BE336" s="140">
        <v>1</v>
      </c>
      <c r="BF336" s="140">
        <v>0</v>
      </c>
      <c r="BG336" s="140">
        <v>0</v>
      </c>
      <c r="BH336" s="140">
        <v>0</v>
      </c>
      <c r="BI336" s="140">
        <v>0</v>
      </c>
      <c r="BJ336" s="140">
        <v>0</v>
      </c>
      <c r="BK336" s="140">
        <v>0</v>
      </c>
      <c r="BL336" s="140">
        <v>0</v>
      </c>
      <c r="BM336" s="140">
        <v>0</v>
      </c>
      <c r="BN336" s="140">
        <v>0</v>
      </c>
      <c r="BO336" s="140">
        <v>0</v>
      </c>
      <c r="BX336" s="43">
        <v>2</v>
      </c>
      <c r="BZ336" s="90">
        <f t="shared" si="27"/>
        <v>1</v>
      </c>
      <c r="CT336" s="90">
        <f t="shared" si="25"/>
        <v>1</v>
      </c>
      <c r="CU336" s="90">
        <f t="shared" si="26"/>
        <v>1</v>
      </c>
    </row>
    <row r="337" spans="1:99" ht="12" customHeight="1">
      <c r="A337" s="43">
        <v>5918</v>
      </c>
      <c r="B337" s="89" t="s">
        <v>813</v>
      </c>
      <c r="C337" s="89" t="s">
        <v>1152</v>
      </c>
      <c r="D337" s="89" t="s">
        <v>1153</v>
      </c>
      <c r="E337" s="89" t="s">
        <v>346</v>
      </c>
      <c r="F337" s="43">
        <v>523322</v>
      </c>
      <c r="G337" s="43">
        <v>175861</v>
      </c>
      <c r="H337" s="89" t="s">
        <v>178</v>
      </c>
      <c r="I337" s="125">
        <v>43500</v>
      </c>
      <c r="K337" s="140">
        <v>1</v>
      </c>
      <c r="L337" s="140">
        <v>2</v>
      </c>
      <c r="M337" s="140">
        <v>1</v>
      </c>
      <c r="N337" s="140">
        <v>4</v>
      </c>
      <c r="O337" s="140">
        <v>3</v>
      </c>
      <c r="Q337" s="89" t="s">
        <v>1154</v>
      </c>
      <c r="R337" s="43" t="s">
        <v>316</v>
      </c>
      <c r="S337" s="125">
        <v>43717</v>
      </c>
      <c r="T337" s="117">
        <v>43754</v>
      </c>
      <c r="U337" s="43" t="s">
        <v>329</v>
      </c>
      <c r="V337" s="43" t="s">
        <v>317</v>
      </c>
      <c r="X337" s="43" t="s">
        <v>318</v>
      </c>
      <c r="Y337" s="43" t="s">
        <v>319</v>
      </c>
      <c r="Z337" s="43" t="s">
        <v>320</v>
      </c>
      <c r="AA337" s="43" t="s">
        <v>321</v>
      </c>
      <c r="AB337" s="144">
        <v>4.9999998882412902E-3</v>
      </c>
      <c r="AC337" s="125">
        <v>43500</v>
      </c>
      <c r="AF337" s="43" t="s">
        <v>75</v>
      </c>
      <c r="AG337" s="43" t="s">
        <v>322</v>
      </c>
      <c r="AJ337" s="140">
        <v>0</v>
      </c>
      <c r="AK337" s="140">
        <v>0</v>
      </c>
      <c r="AL337" s="140">
        <v>0</v>
      </c>
      <c r="AM337" s="140">
        <v>0</v>
      </c>
      <c r="AN337" s="140">
        <v>0</v>
      </c>
      <c r="AO337" s="140">
        <v>2</v>
      </c>
      <c r="AP337" s="140">
        <v>-1</v>
      </c>
      <c r="AQ337" s="140">
        <v>0</v>
      </c>
      <c r="AR337" s="140">
        <v>0</v>
      </c>
      <c r="AS337" s="140">
        <v>0</v>
      </c>
      <c r="AT337" s="140">
        <v>0</v>
      </c>
      <c r="AU337" s="140">
        <v>0</v>
      </c>
      <c r="AV337" s="140">
        <v>2</v>
      </c>
      <c r="AW337" s="140">
        <v>-1</v>
      </c>
      <c r="AX337" s="140">
        <v>0</v>
      </c>
      <c r="AY337" s="140">
        <v>0</v>
      </c>
      <c r="AZ337" s="140">
        <v>0</v>
      </c>
      <c r="BA337" s="140">
        <v>0</v>
      </c>
      <c r="BB337" s="140">
        <v>0</v>
      </c>
      <c r="BC337" s="140">
        <v>0</v>
      </c>
      <c r="BD337" s="140">
        <v>0</v>
      </c>
      <c r="BE337" s="140">
        <v>0</v>
      </c>
      <c r="BF337" s="140">
        <v>0</v>
      </c>
      <c r="BG337" s="140">
        <v>0</v>
      </c>
      <c r="BH337" s="140">
        <v>0</v>
      </c>
      <c r="BI337" s="140">
        <v>0</v>
      </c>
      <c r="BJ337" s="140">
        <v>0</v>
      </c>
      <c r="BK337" s="140">
        <v>0</v>
      </c>
      <c r="BL337" s="140">
        <v>0</v>
      </c>
      <c r="BM337" s="140">
        <v>0</v>
      </c>
      <c r="BN337" s="140">
        <v>0</v>
      </c>
      <c r="BO337" s="140">
        <v>0</v>
      </c>
      <c r="BX337" s="43">
        <v>13</v>
      </c>
      <c r="BZ337" s="90">
        <f t="shared" si="27"/>
        <v>1</v>
      </c>
      <c r="CT337" s="90">
        <f t="shared" si="25"/>
        <v>1</v>
      </c>
      <c r="CU337" s="90">
        <f t="shared" si="26"/>
        <v>1</v>
      </c>
    </row>
    <row r="338" spans="1:99" ht="12" customHeight="1">
      <c r="A338" s="43">
        <v>5918</v>
      </c>
      <c r="B338" s="89" t="s">
        <v>813</v>
      </c>
      <c r="C338" s="89" t="s">
        <v>1152</v>
      </c>
      <c r="D338" s="89" t="s">
        <v>1153</v>
      </c>
      <c r="E338" s="89" t="s">
        <v>730</v>
      </c>
      <c r="F338" s="43">
        <v>523322</v>
      </c>
      <c r="G338" s="43">
        <v>175861</v>
      </c>
      <c r="H338" s="89" t="s">
        <v>178</v>
      </c>
      <c r="I338" s="125">
        <v>43500</v>
      </c>
      <c r="K338" s="140">
        <v>0</v>
      </c>
      <c r="L338" s="140">
        <v>2</v>
      </c>
      <c r="M338" s="140">
        <v>2</v>
      </c>
      <c r="N338" s="140">
        <v>4</v>
      </c>
      <c r="O338" s="140">
        <v>3</v>
      </c>
      <c r="Q338" s="89" t="s">
        <v>1154</v>
      </c>
      <c r="R338" s="43" t="s">
        <v>316</v>
      </c>
      <c r="S338" s="125">
        <v>43717</v>
      </c>
      <c r="T338" s="117">
        <v>43754</v>
      </c>
      <c r="U338" s="43" t="s">
        <v>329</v>
      </c>
      <c r="V338" s="43" t="s">
        <v>317</v>
      </c>
      <c r="X338" s="43" t="s">
        <v>318</v>
      </c>
      <c r="Y338" s="43" t="s">
        <v>319</v>
      </c>
      <c r="Z338" s="43" t="s">
        <v>320</v>
      </c>
      <c r="AA338" s="43" t="s">
        <v>340</v>
      </c>
      <c r="AB338" s="144">
        <v>6.0000000521540598E-3</v>
      </c>
      <c r="AC338" s="125">
        <v>43500</v>
      </c>
      <c r="AF338" s="43" t="s">
        <v>75</v>
      </c>
      <c r="AG338" s="43" t="s">
        <v>322</v>
      </c>
      <c r="AJ338" s="140">
        <v>0</v>
      </c>
      <c r="AK338" s="140">
        <v>0</v>
      </c>
      <c r="AL338" s="140">
        <v>0</v>
      </c>
      <c r="AM338" s="140">
        <v>0</v>
      </c>
      <c r="AN338" s="140">
        <v>0</v>
      </c>
      <c r="AO338" s="140">
        <v>0</v>
      </c>
      <c r="AP338" s="140">
        <v>2</v>
      </c>
      <c r="AQ338" s="140">
        <v>0</v>
      </c>
      <c r="AR338" s="140">
        <v>0</v>
      </c>
      <c r="AS338" s="140">
        <v>0</v>
      </c>
      <c r="AT338" s="140">
        <v>0</v>
      </c>
      <c r="AU338" s="140">
        <v>0</v>
      </c>
      <c r="AV338" s="140">
        <v>0</v>
      </c>
      <c r="AW338" s="140">
        <v>2</v>
      </c>
      <c r="AX338" s="140">
        <v>0</v>
      </c>
      <c r="AY338" s="140">
        <v>0</v>
      </c>
      <c r="AZ338" s="140">
        <v>0</v>
      </c>
      <c r="BA338" s="140">
        <v>0</v>
      </c>
      <c r="BB338" s="140">
        <v>0</v>
      </c>
      <c r="BC338" s="140">
        <v>0</v>
      </c>
      <c r="BD338" s="140">
        <v>0</v>
      </c>
      <c r="BE338" s="140">
        <v>0</v>
      </c>
      <c r="BF338" s="140">
        <v>0</v>
      </c>
      <c r="BG338" s="140">
        <v>0</v>
      </c>
      <c r="BH338" s="140">
        <v>0</v>
      </c>
      <c r="BI338" s="140">
        <v>0</v>
      </c>
      <c r="BJ338" s="140">
        <v>0</v>
      </c>
      <c r="BK338" s="140">
        <v>0</v>
      </c>
      <c r="BL338" s="140">
        <v>0</v>
      </c>
      <c r="BM338" s="140">
        <v>0</v>
      </c>
      <c r="BN338" s="140">
        <v>0</v>
      </c>
      <c r="BO338" s="140">
        <v>0</v>
      </c>
      <c r="BX338" s="43">
        <v>13</v>
      </c>
      <c r="BZ338" s="90">
        <f t="shared" si="27"/>
        <v>2</v>
      </c>
      <c r="CT338" s="90">
        <f t="shared" si="25"/>
        <v>2</v>
      </c>
      <c r="CU338" s="90">
        <f t="shared" si="26"/>
        <v>2</v>
      </c>
    </row>
    <row r="339" spans="1:99" ht="12" customHeight="1">
      <c r="A339" s="43">
        <v>5942</v>
      </c>
      <c r="B339" s="89" t="s">
        <v>813</v>
      </c>
      <c r="C339" s="89" t="s">
        <v>1155</v>
      </c>
      <c r="D339" s="89" t="s">
        <v>1156</v>
      </c>
      <c r="E339" s="89" t="s">
        <v>1157</v>
      </c>
      <c r="F339" s="43">
        <v>528486</v>
      </c>
      <c r="G339" s="43">
        <v>173287</v>
      </c>
      <c r="H339" s="89" t="s">
        <v>173</v>
      </c>
      <c r="I339" s="125">
        <v>43190</v>
      </c>
      <c r="K339" s="140">
        <v>0</v>
      </c>
      <c r="L339" s="140">
        <v>6</v>
      </c>
      <c r="M339" s="140">
        <v>6</v>
      </c>
      <c r="N339" s="140">
        <v>7</v>
      </c>
      <c r="O339" s="140">
        <v>7</v>
      </c>
      <c r="Q339" s="89" t="s">
        <v>1158</v>
      </c>
      <c r="R339" s="43" t="s">
        <v>316</v>
      </c>
      <c r="S339" s="125">
        <v>42555</v>
      </c>
      <c r="T339" s="117">
        <v>42702</v>
      </c>
      <c r="V339" s="43" t="s">
        <v>317</v>
      </c>
      <c r="X339" s="43" t="s">
        <v>318</v>
      </c>
      <c r="Y339" s="43" t="s">
        <v>319</v>
      </c>
      <c r="Z339" s="43" t="s">
        <v>320</v>
      </c>
      <c r="AA339" s="43" t="s">
        <v>353</v>
      </c>
      <c r="AB339" s="144">
        <v>2.8999999165535001E-2</v>
      </c>
      <c r="AC339" s="125">
        <v>43190</v>
      </c>
      <c r="AF339" s="43" t="s">
        <v>75</v>
      </c>
      <c r="AG339" s="43" t="s">
        <v>322</v>
      </c>
      <c r="AJ339" s="140">
        <v>0</v>
      </c>
      <c r="AK339" s="140">
        <v>0</v>
      </c>
      <c r="AL339" s="140">
        <v>0</v>
      </c>
      <c r="AM339" s="140">
        <v>0</v>
      </c>
      <c r="AN339" s="140">
        <v>0</v>
      </c>
      <c r="AO339" s="140">
        <v>0</v>
      </c>
      <c r="AP339" s="140">
        <v>4</v>
      </c>
      <c r="AQ339" s="140">
        <v>2</v>
      </c>
      <c r="AR339" s="140">
        <v>0</v>
      </c>
      <c r="AS339" s="140">
        <v>0</v>
      </c>
      <c r="AT339" s="140">
        <v>0</v>
      </c>
      <c r="AU339" s="140">
        <v>0</v>
      </c>
      <c r="AV339" s="140">
        <v>0</v>
      </c>
      <c r="AW339" s="140">
        <v>4</v>
      </c>
      <c r="AX339" s="140">
        <v>2</v>
      </c>
      <c r="AY339" s="140">
        <v>0</v>
      </c>
      <c r="AZ339" s="140">
        <v>0</v>
      </c>
      <c r="BA339" s="140">
        <v>0</v>
      </c>
      <c r="BB339" s="140">
        <v>0</v>
      </c>
      <c r="BC339" s="140">
        <v>0</v>
      </c>
      <c r="BD339" s="140">
        <v>0</v>
      </c>
      <c r="BE339" s="140">
        <v>0</v>
      </c>
      <c r="BF339" s="140">
        <v>0</v>
      </c>
      <c r="BG339" s="140">
        <v>0</v>
      </c>
      <c r="BH339" s="140">
        <v>0</v>
      </c>
      <c r="BI339" s="140">
        <v>0</v>
      </c>
      <c r="BJ339" s="140">
        <v>0</v>
      </c>
      <c r="BK339" s="140">
        <v>0</v>
      </c>
      <c r="BL339" s="140">
        <v>0</v>
      </c>
      <c r="BM339" s="140">
        <v>0</v>
      </c>
      <c r="BN339" s="140">
        <v>0</v>
      </c>
      <c r="BO339" s="140">
        <v>0</v>
      </c>
      <c r="BP339" s="43" t="s">
        <v>138</v>
      </c>
      <c r="BX339" s="43">
        <v>13</v>
      </c>
      <c r="BZ339" s="90">
        <f t="shared" si="27"/>
        <v>6</v>
      </c>
      <c r="CT339" s="90">
        <f t="shared" si="25"/>
        <v>6</v>
      </c>
      <c r="CU339" s="90">
        <f t="shared" si="26"/>
        <v>6</v>
      </c>
    </row>
    <row r="340" spans="1:99" ht="12" customHeight="1">
      <c r="A340" s="43">
        <v>5942</v>
      </c>
      <c r="B340" s="89" t="s">
        <v>813</v>
      </c>
      <c r="C340" s="89" t="s">
        <v>1155</v>
      </c>
      <c r="D340" s="89" t="s">
        <v>1156</v>
      </c>
      <c r="E340" s="89" t="s">
        <v>59</v>
      </c>
      <c r="F340" s="43">
        <v>528486</v>
      </c>
      <c r="G340" s="43">
        <v>173287</v>
      </c>
      <c r="H340" s="89" t="s">
        <v>173</v>
      </c>
      <c r="I340" s="125">
        <v>43190</v>
      </c>
      <c r="K340" s="140">
        <v>0</v>
      </c>
      <c r="L340" s="140">
        <v>1</v>
      </c>
      <c r="M340" s="140">
        <v>1</v>
      </c>
      <c r="N340" s="140">
        <v>7</v>
      </c>
      <c r="O340" s="140">
        <v>7</v>
      </c>
      <c r="Q340" s="89" t="s">
        <v>1158</v>
      </c>
      <c r="R340" s="43" t="s">
        <v>316</v>
      </c>
      <c r="S340" s="125">
        <v>42555</v>
      </c>
      <c r="T340" s="117">
        <v>42702</v>
      </c>
      <c r="V340" s="43" t="s">
        <v>317</v>
      </c>
      <c r="X340" s="43" t="s">
        <v>318</v>
      </c>
      <c r="Y340" s="43" t="s">
        <v>319</v>
      </c>
      <c r="Z340" s="43" t="s">
        <v>320</v>
      </c>
      <c r="AA340" s="43" t="s">
        <v>353</v>
      </c>
      <c r="AB340" s="144">
        <v>1.2000000104308101E-2</v>
      </c>
      <c r="AC340" s="125">
        <v>43190</v>
      </c>
      <c r="AF340" s="43" t="s">
        <v>75</v>
      </c>
      <c r="AG340" s="43" t="s">
        <v>322</v>
      </c>
      <c r="AJ340" s="140">
        <v>0</v>
      </c>
      <c r="AK340" s="140">
        <v>0</v>
      </c>
      <c r="AL340" s="140">
        <v>0</v>
      </c>
      <c r="AM340" s="140">
        <v>0</v>
      </c>
      <c r="AN340" s="140">
        <v>0</v>
      </c>
      <c r="AO340" s="140">
        <v>0</v>
      </c>
      <c r="AP340" s="140">
        <v>0</v>
      </c>
      <c r="AQ340" s="140">
        <v>1</v>
      </c>
      <c r="AR340" s="140">
        <v>0</v>
      </c>
      <c r="AS340" s="140">
        <v>0</v>
      </c>
      <c r="AT340" s="140">
        <v>0</v>
      </c>
      <c r="AU340" s="140">
        <v>0</v>
      </c>
      <c r="AV340" s="140">
        <v>0</v>
      </c>
      <c r="AW340" s="140">
        <v>0</v>
      </c>
      <c r="AX340" s="140">
        <v>0</v>
      </c>
      <c r="AY340" s="140">
        <v>0</v>
      </c>
      <c r="AZ340" s="140">
        <v>0</v>
      </c>
      <c r="BA340" s="140">
        <v>0</v>
      </c>
      <c r="BB340" s="140">
        <v>0</v>
      </c>
      <c r="BC340" s="140">
        <v>0</v>
      </c>
      <c r="BD340" s="140">
        <v>0</v>
      </c>
      <c r="BE340" s="140">
        <v>1</v>
      </c>
      <c r="BF340" s="140">
        <v>0</v>
      </c>
      <c r="BG340" s="140">
        <v>0</v>
      </c>
      <c r="BH340" s="140">
        <v>0</v>
      </c>
      <c r="BI340" s="140">
        <v>0</v>
      </c>
      <c r="BJ340" s="140">
        <v>0</v>
      </c>
      <c r="BK340" s="140">
        <v>0</v>
      </c>
      <c r="BL340" s="140">
        <v>0</v>
      </c>
      <c r="BM340" s="140">
        <v>0</v>
      </c>
      <c r="BN340" s="140">
        <v>0</v>
      </c>
      <c r="BO340" s="140">
        <v>0</v>
      </c>
      <c r="BP340" s="43" t="s">
        <v>138</v>
      </c>
      <c r="BX340" s="43">
        <v>13</v>
      </c>
      <c r="BZ340" s="90">
        <f t="shared" si="27"/>
        <v>1</v>
      </c>
      <c r="CT340" s="90">
        <f t="shared" si="25"/>
        <v>1</v>
      </c>
      <c r="CU340" s="90">
        <f t="shared" si="26"/>
        <v>1</v>
      </c>
    </row>
    <row r="341" spans="1:99" ht="12" customHeight="1">
      <c r="A341" s="43">
        <v>5949</v>
      </c>
      <c r="B341" s="89" t="s">
        <v>813</v>
      </c>
      <c r="C341" s="89" t="s">
        <v>1159</v>
      </c>
      <c r="D341" s="89" t="s">
        <v>1160</v>
      </c>
      <c r="F341" s="43">
        <v>524987</v>
      </c>
      <c r="G341" s="43">
        <v>174835</v>
      </c>
      <c r="H341" s="89" t="s">
        <v>170</v>
      </c>
      <c r="I341" s="125">
        <v>43419</v>
      </c>
      <c r="K341" s="140">
        <v>0</v>
      </c>
      <c r="L341" s="140">
        <v>1</v>
      </c>
      <c r="M341" s="140">
        <v>1</v>
      </c>
      <c r="N341" s="140">
        <v>1</v>
      </c>
      <c r="O341" s="140">
        <v>1</v>
      </c>
      <c r="Q341" s="89" t="s">
        <v>1161</v>
      </c>
      <c r="R341" s="43" t="s">
        <v>316</v>
      </c>
      <c r="S341" s="125">
        <v>43507</v>
      </c>
      <c r="T341" s="117">
        <v>43650</v>
      </c>
      <c r="U341" s="43" t="s">
        <v>329</v>
      </c>
      <c r="V341" s="43" t="s">
        <v>317</v>
      </c>
      <c r="X341" s="43" t="s">
        <v>318</v>
      </c>
      <c r="Y341" s="43" t="s">
        <v>379</v>
      </c>
      <c r="Z341" s="43" t="s">
        <v>320</v>
      </c>
      <c r="AA341" s="43" t="s">
        <v>340</v>
      </c>
      <c r="AB341" s="144">
        <v>4.9999998882412902E-3</v>
      </c>
      <c r="AC341" s="125">
        <v>43419</v>
      </c>
      <c r="AF341" s="43" t="s">
        <v>75</v>
      </c>
      <c r="AG341" s="43" t="s">
        <v>322</v>
      </c>
      <c r="AJ341" s="140">
        <v>0</v>
      </c>
      <c r="AK341" s="140">
        <v>0</v>
      </c>
      <c r="AL341" s="140">
        <v>0</v>
      </c>
      <c r="AM341" s="140">
        <v>0</v>
      </c>
      <c r="AN341" s="140">
        <v>0</v>
      </c>
      <c r="AO341" s="140">
        <v>1</v>
      </c>
      <c r="AP341" s="140">
        <v>0</v>
      </c>
      <c r="AQ341" s="140">
        <v>0</v>
      </c>
      <c r="AR341" s="140">
        <v>0</v>
      </c>
      <c r="AS341" s="140">
        <v>0</v>
      </c>
      <c r="AT341" s="140">
        <v>0</v>
      </c>
      <c r="AU341" s="140">
        <v>0</v>
      </c>
      <c r="AV341" s="140">
        <v>1</v>
      </c>
      <c r="AW341" s="140">
        <v>0</v>
      </c>
      <c r="AX341" s="140">
        <v>0</v>
      </c>
      <c r="AY341" s="140">
        <v>0</v>
      </c>
      <c r="AZ341" s="140">
        <v>0</v>
      </c>
      <c r="BA341" s="140">
        <v>0</v>
      </c>
      <c r="BB341" s="140">
        <v>0</v>
      </c>
      <c r="BC341" s="140">
        <v>0</v>
      </c>
      <c r="BD341" s="140">
        <v>0</v>
      </c>
      <c r="BE341" s="140">
        <v>0</v>
      </c>
      <c r="BF341" s="140">
        <v>0</v>
      </c>
      <c r="BG341" s="140">
        <v>0</v>
      </c>
      <c r="BH341" s="140">
        <v>0</v>
      </c>
      <c r="BI341" s="140">
        <v>0</v>
      </c>
      <c r="BJ341" s="140">
        <v>0</v>
      </c>
      <c r="BK341" s="140">
        <v>0</v>
      </c>
      <c r="BL341" s="140">
        <v>0</v>
      </c>
      <c r="BM341" s="140">
        <v>0</v>
      </c>
      <c r="BN341" s="140">
        <v>0</v>
      </c>
      <c r="BO341" s="140">
        <v>0</v>
      </c>
      <c r="BX341" s="43">
        <v>13</v>
      </c>
      <c r="BZ341" s="90">
        <f t="shared" si="27"/>
        <v>1</v>
      </c>
      <c r="CT341" s="90">
        <f t="shared" si="25"/>
        <v>1</v>
      </c>
      <c r="CU341" s="90">
        <f t="shared" si="26"/>
        <v>1</v>
      </c>
    </row>
    <row r="342" spans="1:99" ht="12" customHeight="1">
      <c r="A342" s="43">
        <v>5996</v>
      </c>
      <c r="B342" s="89" t="s">
        <v>813</v>
      </c>
      <c r="C342" s="89" t="s">
        <v>1162</v>
      </c>
      <c r="D342" s="89" t="s">
        <v>1163</v>
      </c>
      <c r="F342" s="43">
        <v>527571</v>
      </c>
      <c r="G342" s="43">
        <v>171743</v>
      </c>
      <c r="H342" s="89" t="s">
        <v>141</v>
      </c>
      <c r="I342" s="125">
        <v>43921</v>
      </c>
      <c r="K342" s="140">
        <v>0</v>
      </c>
      <c r="L342" s="140">
        <v>3</v>
      </c>
      <c r="M342" s="140">
        <v>3</v>
      </c>
      <c r="N342" s="140">
        <v>3</v>
      </c>
      <c r="O342" s="140">
        <v>3</v>
      </c>
      <c r="Q342" s="89" t="s">
        <v>1164</v>
      </c>
      <c r="R342" s="43" t="s">
        <v>316</v>
      </c>
      <c r="S342" s="125">
        <v>42873</v>
      </c>
      <c r="T342" s="117">
        <v>43032</v>
      </c>
      <c r="V342" s="43" t="s">
        <v>317</v>
      </c>
      <c r="X342" s="43" t="s">
        <v>318</v>
      </c>
      <c r="Y342" s="43" t="s">
        <v>361</v>
      </c>
      <c r="Z342" s="43" t="s">
        <v>320</v>
      </c>
      <c r="AA342" s="43" t="s">
        <v>353</v>
      </c>
      <c r="AB342" s="144">
        <v>1.2000000104308101E-2</v>
      </c>
      <c r="AC342" s="125">
        <v>43921</v>
      </c>
      <c r="AD342" s="43" t="s">
        <v>329</v>
      </c>
      <c r="AF342" s="43" t="s">
        <v>75</v>
      </c>
      <c r="AG342" s="43" t="s">
        <v>322</v>
      </c>
      <c r="AJ342" s="140">
        <v>3</v>
      </c>
      <c r="AK342" s="140">
        <v>0</v>
      </c>
      <c r="AL342" s="140">
        <v>0</v>
      </c>
      <c r="AM342" s="140">
        <v>0</v>
      </c>
      <c r="AN342" s="140">
        <v>0</v>
      </c>
      <c r="AO342" s="140">
        <v>2</v>
      </c>
      <c r="AP342" s="140">
        <v>1</v>
      </c>
      <c r="AQ342" s="140">
        <v>0</v>
      </c>
      <c r="AR342" s="140">
        <v>0</v>
      </c>
      <c r="AS342" s="140">
        <v>0</v>
      </c>
      <c r="AT342" s="140">
        <v>0</v>
      </c>
      <c r="AU342" s="140">
        <v>0</v>
      </c>
      <c r="AV342" s="140">
        <v>2</v>
      </c>
      <c r="AW342" s="140">
        <v>1</v>
      </c>
      <c r="AX342" s="140">
        <v>0</v>
      </c>
      <c r="AY342" s="140">
        <v>0</v>
      </c>
      <c r="AZ342" s="140">
        <v>0</v>
      </c>
      <c r="BA342" s="140">
        <v>0</v>
      </c>
      <c r="BB342" s="140">
        <v>0</v>
      </c>
      <c r="BC342" s="140">
        <v>0</v>
      </c>
      <c r="BD342" s="140">
        <v>0</v>
      </c>
      <c r="BE342" s="140">
        <v>0</v>
      </c>
      <c r="BF342" s="140">
        <v>0</v>
      </c>
      <c r="BG342" s="140">
        <v>0</v>
      </c>
      <c r="BH342" s="140">
        <v>0</v>
      </c>
      <c r="BI342" s="140">
        <v>0</v>
      </c>
      <c r="BJ342" s="140">
        <v>0</v>
      </c>
      <c r="BK342" s="140">
        <v>0</v>
      </c>
      <c r="BL342" s="140">
        <v>0</v>
      </c>
      <c r="BM342" s="140">
        <v>0</v>
      </c>
      <c r="BN342" s="140">
        <v>0</v>
      </c>
      <c r="BO342" s="140">
        <v>0</v>
      </c>
      <c r="BX342" s="43">
        <v>3</v>
      </c>
      <c r="BZ342" s="90">
        <f>$M342/2</f>
        <v>1.5</v>
      </c>
      <c r="CA342" s="90">
        <f>$M342/2</f>
        <v>1.5</v>
      </c>
      <c r="CT342" s="90">
        <f t="shared" si="25"/>
        <v>3</v>
      </c>
      <c r="CU342" s="90">
        <f t="shared" si="26"/>
        <v>3</v>
      </c>
    </row>
    <row r="343" spans="1:99" ht="12" customHeight="1">
      <c r="A343" s="43">
        <v>6010</v>
      </c>
      <c r="B343" s="89" t="s">
        <v>813</v>
      </c>
      <c r="C343" s="89" t="s">
        <v>1165</v>
      </c>
      <c r="D343" s="89" t="s">
        <v>1166</v>
      </c>
      <c r="F343" s="43">
        <v>526682</v>
      </c>
      <c r="G343" s="43">
        <v>173711</v>
      </c>
      <c r="H343" s="89" t="s">
        <v>179</v>
      </c>
      <c r="I343" s="125">
        <v>43521</v>
      </c>
      <c r="K343" s="140">
        <v>0</v>
      </c>
      <c r="L343" s="140">
        <v>7</v>
      </c>
      <c r="M343" s="140">
        <v>7</v>
      </c>
      <c r="N343" s="140">
        <v>7</v>
      </c>
      <c r="O343" s="140">
        <v>7</v>
      </c>
      <c r="Q343" s="89" t="s">
        <v>1167</v>
      </c>
      <c r="R343" s="43" t="s">
        <v>316</v>
      </c>
      <c r="S343" s="125">
        <v>43810</v>
      </c>
      <c r="T343" s="117">
        <v>43882</v>
      </c>
      <c r="U343" s="43" t="s">
        <v>329</v>
      </c>
      <c r="V343" s="43" t="s">
        <v>317</v>
      </c>
      <c r="X343" s="43" t="s">
        <v>318</v>
      </c>
      <c r="Y343" s="43" t="s">
        <v>361</v>
      </c>
      <c r="Z343" s="43" t="s">
        <v>320</v>
      </c>
      <c r="AA343" s="43" t="s">
        <v>353</v>
      </c>
      <c r="AB343" s="144">
        <v>5.7000000029802302E-2</v>
      </c>
      <c r="AC343" s="125">
        <v>43521</v>
      </c>
      <c r="AF343" s="43" t="s">
        <v>75</v>
      </c>
      <c r="AG343" s="43" t="s">
        <v>322</v>
      </c>
      <c r="AJ343" s="140">
        <v>0</v>
      </c>
      <c r="AK343" s="140">
        <v>0</v>
      </c>
      <c r="AL343" s="140">
        <v>0</v>
      </c>
      <c r="AM343" s="140">
        <v>0</v>
      </c>
      <c r="AN343" s="140">
        <v>1</v>
      </c>
      <c r="AO343" s="140">
        <v>1</v>
      </c>
      <c r="AP343" s="140">
        <v>4</v>
      </c>
      <c r="AQ343" s="140">
        <v>1</v>
      </c>
      <c r="AR343" s="140">
        <v>0</v>
      </c>
      <c r="AS343" s="140">
        <v>0</v>
      </c>
      <c r="AT343" s="140">
        <v>0</v>
      </c>
      <c r="AU343" s="140">
        <v>1</v>
      </c>
      <c r="AV343" s="140">
        <v>1</v>
      </c>
      <c r="AW343" s="140">
        <v>4</v>
      </c>
      <c r="AX343" s="140">
        <v>1</v>
      </c>
      <c r="AY343" s="140">
        <v>0</v>
      </c>
      <c r="AZ343" s="140">
        <v>0</v>
      </c>
      <c r="BA343" s="140">
        <v>0</v>
      </c>
      <c r="BB343" s="140">
        <v>0</v>
      </c>
      <c r="BC343" s="140">
        <v>0</v>
      </c>
      <c r="BD343" s="140">
        <v>0</v>
      </c>
      <c r="BE343" s="140">
        <v>0</v>
      </c>
      <c r="BF343" s="140">
        <v>0</v>
      </c>
      <c r="BG343" s="140">
        <v>0</v>
      </c>
      <c r="BH343" s="140">
        <v>0</v>
      </c>
      <c r="BI343" s="140">
        <v>0</v>
      </c>
      <c r="BJ343" s="140">
        <v>0</v>
      </c>
      <c r="BK343" s="140">
        <v>0</v>
      </c>
      <c r="BL343" s="140">
        <v>0</v>
      </c>
      <c r="BM343" s="140">
        <v>0</v>
      </c>
      <c r="BN343" s="140">
        <v>0</v>
      </c>
      <c r="BO343" s="140">
        <v>0</v>
      </c>
      <c r="BX343" s="43">
        <v>2</v>
      </c>
      <c r="BZ343" s="90">
        <f>M343</f>
        <v>7</v>
      </c>
      <c r="CT343" s="90">
        <f t="shared" si="25"/>
        <v>7</v>
      </c>
      <c r="CU343" s="90">
        <f t="shared" si="26"/>
        <v>7</v>
      </c>
    </row>
    <row r="344" spans="1:99" ht="12" customHeight="1">
      <c r="A344" s="43">
        <v>6063</v>
      </c>
      <c r="B344" s="89" t="s">
        <v>813</v>
      </c>
      <c r="C344" s="89" t="s">
        <v>1168</v>
      </c>
      <c r="D344" s="89" t="s">
        <v>1169</v>
      </c>
      <c r="F344" s="43">
        <v>527408</v>
      </c>
      <c r="G344" s="43">
        <v>176440</v>
      </c>
      <c r="H344" s="89" t="s">
        <v>177</v>
      </c>
      <c r="I344" s="125">
        <v>43801</v>
      </c>
      <c r="K344" s="140">
        <v>0</v>
      </c>
      <c r="L344" s="140">
        <v>1</v>
      </c>
      <c r="M344" s="140">
        <v>1</v>
      </c>
      <c r="N344" s="140">
        <v>1</v>
      </c>
      <c r="O344" s="140">
        <v>1</v>
      </c>
      <c r="Q344" s="89" t="s">
        <v>1170</v>
      </c>
      <c r="R344" s="43" t="s">
        <v>316</v>
      </c>
      <c r="S344" s="125">
        <v>42257</v>
      </c>
      <c r="T344" s="117">
        <v>42580</v>
      </c>
      <c r="V344" s="43" t="s">
        <v>317</v>
      </c>
      <c r="X344" s="43" t="s">
        <v>318</v>
      </c>
      <c r="Y344" s="43" t="s">
        <v>361</v>
      </c>
      <c r="Z344" s="43" t="s">
        <v>320</v>
      </c>
      <c r="AA344" s="43" t="s">
        <v>353</v>
      </c>
      <c r="AB344" s="144">
        <v>1.7999999225139601E-2</v>
      </c>
      <c r="AC344" s="125">
        <v>43801</v>
      </c>
      <c r="AD344" s="43" t="s">
        <v>329</v>
      </c>
      <c r="AF344" s="43" t="s">
        <v>75</v>
      </c>
      <c r="AG344" s="43" t="s">
        <v>322</v>
      </c>
      <c r="AJ344" s="140">
        <v>1</v>
      </c>
      <c r="AK344" s="140">
        <v>0</v>
      </c>
      <c r="AL344" s="140">
        <v>0</v>
      </c>
      <c r="AM344" s="140">
        <v>0</v>
      </c>
      <c r="AN344" s="140">
        <v>0</v>
      </c>
      <c r="AO344" s="140">
        <v>0</v>
      </c>
      <c r="AP344" s="140">
        <v>1</v>
      </c>
      <c r="AQ344" s="140">
        <v>0</v>
      </c>
      <c r="AR344" s="140">
        <v>0</v>
      </c>
      <c r="AS344" s="140">
        <v>0</v>
      </c>
      <c r="AT344" s="140">
        <v>0</v>
      </c>
      <c r="AU344" s="140">
        <v>0</v>
      </c>
      <c r="AV344" s="140">
        <v>0</v>
      </c>
      <c r="AW344" s="140">
        <v>0</v>
      </c>
      <c r="AX344" s="140">
        <v>0</v>
      </c>
      <c r="AY344" s="140">
        <v>0</v>
      </c>
      <c r="AZ344" s="140">
        <v>0</v>
      </c>
      <c r="BA344" s="140">
        <v>0</v>
      </c>
      <c r="BB344" s="140">
        <v>0</v>
      </c>
      <c r="BC344" s="140">
        <v>0</v>
      </c>
      <c r="BD344" s="140">
        <v>1</v>
      </c>
      <c r="BE344" s="140">
        <v>0</v>
      </c>
      <c r="BF344" s="140">
        <v>0</v>
      </c>
      <c r="BG344" s="140">
        <v>0</v>
      </c>
      <c r="BH344" s="140">
        <v>0</v>
      </c>
      <c r="BI344" s="140">
        <v>0</v>
      </c>
      <c r="BJ344" s="140">
        <v>0</v>
      </c>
      <c r="BK344" s="140">
        <v>0</v>
      </c>
      <c r="BL344" s="140">
        <v>0</v>
      </c>
      <c r="BM344" s="140">
        <v>0</v>
      </c>
      <c r="BN344" s="140">
        <v>0</v>
      </c>
      <c r="BO344" s="140">
        <v>0</v>
      </c>
      <c r="BX344" s="43">
        <v>3</v>
      </c>
      <c r="BZ344" s="90">
        <f>$M344/2</f>
        <v>0.5</v>
      </c>
      <c r="CA344" s="90">
        <f>$M344/2</f>
        <v>0.5</v>
      </c>
      <c r="CT344" s="90">
        <f t="shared" si="25"/>
        <v>1</v>
      </c>
      <c r="CU344" s="90">
        <f t="shared" si="26"/>
        <v>1</v>
      </c>
    </row>
    <row r="345" spans="1:99" ht="12" customHeight="1">
      <c r="A345" s="43">
        <v>6065</v>
      </c>
      <c r="B345" s="89" t="s">
        <v>813</v>
      </c>
      <c r="C345" s="89" t="s">
        <v>1171</v>
      </c>
      <c r="D345" s="89" t="s">
        <v>1172</v>
      </c>
      <c r="F345" s="43">
        <v>528949</v>
      </c>
      <c r="G345" s="43">
        <v>173592</v>
      </c>
      <c r="H345" s="89" t="s">
        <v>138</v>
      </c>
      <c r="I345" s="125">
        <v>43921</v>
      </c>
      <c r="K345" s="140">
        <v>0</v>
      </c>
      <c r="L345" s="140">
        <v>2</v>
      </c>
      <c r="M345" s="140">
        <v>2</v>
      </c>
      <c r="N345" s="140">
        <v>2</v>
      </c>
      <c r="O345" s="140">
        <v>2</v>
      </c>
      <c r="Q345" s="89" t="s">
        <v>1173</v>
      </c>
      <c r="R345" s="43" t="s">
        <v>316</v>
      </c>
      <c r="S345" s="125">
        <v>43741</v>
      </c>
      <c r="T345" s="117">
        <v>43781</v>
      </c>
      <c r="U345" s="43" t="s">
        <v>329</v>
      </c>
      <c r="V345" s="43" t="s">
        <v>317</v>
      </c>
      <c r="X345" s="43" t="s">
        <v>318</v>
      </c>
      <c r="Y345" s="43" t="s">
        <v>336</v>
      </c>
      <c r="Z345" s="43" t="s">
        <v>320</v>
      </c>
      <c r="AA345" s="43" t="s">
        <v>36</v>
      </c>
      <c r="AB345" s="144">
        <v>8.0000003799796104E-3</v>
      </c>
      <c r="AC345" s="125">
        <v>43921</v>
      </c>
      <c r="AD345" s="43" t="s">
        <v>329</v>
      </c>
      <c r="AF345" s="43" t="s">
        <v>75</v>
      </c>
      <c r="AG345" s="43" t="s">
        <v>322</v>
      </c>
      <c r="AJ345" s="140">
        <v>0</v>
      </c>
      <c r="AK345" s="140">
        <v>0</v>
      </c>
      <c r="AL345" s="140">
        <v>0</v>
      </c>
      <c r="AM345" s="140">
        <v>0</v>
      </c>
      <c r="AN345" s="140">
        <v>0</v>
      </c>
      <c r="AO345" s="140">
        <v>1</v>
      </c>
      <c r="AP345" s="140">
        <v>1</v>
      </c>
      <c r="AQ345" s="140">
        <v>0</v>
      </c>
      <c r="AR345" s="140">
        <v>0</v>
      </c>
      <c r="AS345" s="140">
        <v>0</v>
      </c>
      <c r="AT345" s="140">
        <v>0</v>
      </c>
      <c r="AU345" s="140">
        <v>0</v>
      </c>
      <c r="AV345" s="140">
        <v>1</v>
      </c>
      <c r="AW345" s="140">
        <v>1</v>
      </c>
      <c r="AX345" s="140">
        <v>0</v>
      </c>
      <c r="AY345" s="140">
        <v>0</v>
      </c>
      <c r="AZ345" s="140">
        <v>0</v>
      </c>
      <c r="BA345" s="140">
        <v>0</v>
      </c>
      <c r="BB345" s="140">
        <v>0</v>
      </c>
      <c r="BC345" s="140">
        <v>0</v>
      </c>
      <c r="BD345" s="140">
        <v>0</v>
      </c>
      <c r="BE345" s="140">
        <v>0</v>
      </c>
      <c r="BF345" s="140">
        <v>0</v>
      </c>
      <c r="BG345" s="140">
        <v>0</v>
      </c>
      <c r="BH345" s="140">
        <v>0</v>
      </c>
      <c r="BI345" s="140">
        <v>0</v>
      </c>
      <c r="BJ345" s="140">
        <v>0</v>
      </c>
      <c r="BK345" s="140">
        <v>0</v>
      </c>
      <c r="BL345" s="140">
        <v>0</v>
      </c>
      <c r="BM345" s="140">
        <v>0</v>
      </c>
      <c r="BN345" s="140">
        <v>0</v>
      </c>
      <c r="BO345" s="140">
        <v>0</v>
      </c>
      <c r="BX345" s="43">
        <v>14</v>
      </c>
      <c r="BZ345" s="90">
        <f>$M345/2</f>
        <v>1</v>
      </c>
      <c r="CA345" s="90">
        <f>$M345/2</f>
        <v>1</v>
      </c>
      <c r="CT345" s="90">
        <f t="shared" si="25"/>
        <v>2</v>
      </c>
      <c r="CU345" s="90">
        <f t="shared" si="26"/>
        <v>2</v>
      </c>
    </row>
    <row r="346" spans="1:99" ht="12" customHeight="1">
      <c r="A346" s="43">
        <v>6081</v>
      </c>
      <c r="B346" s="89" t="s">
        <v>813</v>
      </c>
      <c r="C346" s="89" t="s">
        <v>1174</v>
      </c>
      <c r="D346" s="89" t="s">
        <v>1175</v>
      </c>
      <c r="F346" s="43">
        <v>527548</v>
      </c>
      <c r="G346" s="43">
        <v>172887</v>
      </c>
      <c r="H346" s="89" t="s">
        <v>179</v>
      </c>
      <c r="I346" s="125">
        <v>42460</v>
      </c>
      <c r="K346" s="140">
        <v>2</v>
      </c>
      <c r="L346" s="140">
        <v>1</v>
      </c>
      <c r="M346" s="140">
        <v>-1</v>
      </c>
      <c r="N346" s="140">
        <v>1</v>
      </c>
      <c r="O346" s="140">
        <v>-1</v>
      </c>
      <c r="Q346" s="89" t="s">
        <v>1176</v>
      </c>
      <c r="R346" s="43" t="s">
        <v>316</v>
      </c>
      <c r="S346" s="125">
        <v>42289</v>
      </c>
      <c r="T346" s="117">
        <v>42338</v>
      </c>
      <c r="V346" s="43" t="s">
        <v>317</v>
      </c>
      <c r="X346" s="43" t="s">
        <v>318</v>
      </c>
      <c r="Y346" s="43" t="s">
        <v>348</v>
      </c>
      <c r="Z346" s="43" t="s">
        <v>320</v>
      </c>
      <c r="AA346" s="43" t="s">
        <v>22</v>
      </c>
      <c r="AB346" s="144">
        <v>4.5000001788139302E-2</v>
      </c>
      <c r="AC346" s="125">
        <v>42460</v>
      </c>
      <c r="AF346" s="43" t="s">
        <v>75</v>
      </c>
      <c r="AG346" s="43" t="s">
        <v>322</v>
      </c>
      <c r="AJ346" s="140">
        <v>0</v>
      </c>
      <c r="AK346" s="140">
        <v>0</v>
      </c>
      <c r="AL346" s="140">
        <v>0</v>
      </c>
      <c r="AM346" s="140">
        <v>0</v>
      </c>
      <c r="AN346" s="140">
        <v>0</v>
      </c>
      <c r="AO346" s="140">
        <v>-1</v>
      </c>
      <c r="AP346" s="140">
        <v>0</v>
      </c>
      <c r="AQ346" s="140">
        <v>0</v>
      </c>
      <c r="AR346" s="140">
        <v>0</v>
      </c>
      <c r="AS346" s="140">
        <v>0</v>
      </c>
      <c r="AT346" s="140">
        <v>0</v>
      </c>
      <c r="AU346" s="140">
        <v>0</v>
      </c>
      <c r="AV346" s="140">
        <v>-1</v>
      </c>
      <c r="AW346" s="140">
        <v>0</v>
      </c>
      <c r="AX346" s="140">
        <v>0</v>
      </c>
      <c r="AY346" s="140">
        <v>-1</v>
      </c>
      <c r="AZ346" s="140">
        <v>0</v>
      </c>
      <c r="BA346" s="140">
        <v>0</v>
      </c>
      <c r="BB346" s="140">
        <v>0</v>
      </c>
      <c r="BC346" s="140">
        <v>0</v>
      </c>
      <c r="BD346" s="140">
        <v>0</v>
      </c>
      <c r="BE346" s="140">
        <v>0</v>
      </c>
      <c r="BF346" s="140">
        <v>1</v>
      </c>
      <c r="BG346" s="140">
        <v>0</v>
      </c>
      <c r="BH346" s="140">
        <v>0</v>
      </c>
      <c r="BI346" s="140">
        <v>0</v>
      </c>
      <c r="BJ346" s="140">
        <v>0</v>
      </c>
      <c r="BK346" s="140">
        <v>0</v>
      </c>
      <c r="BL346" s="140">
        <v>0</v>
      </c>
      <c r="BM346" s="140">
        <v>0</v>
      </c>
      <c r="BN346" s="140">
        <v>0</v>
      </c>
      <c r="BO346" s="140">
        <v>0</v>
      </c>
      <c r="BX346" s="43">
        <v>13</v>
      </c>
      <c r="BZ346" s="90">
        <f t="shared" ref="BZ346:BZ352" si="28">M346</f>
        <v>-1</v>
      </c>
      <c r="CT346" s="90">
        <f t="shared" si="25"/>
        <v>-1</v>
      </c>
      <c r="CU346" s="90">
        <f t="shared" si="26"/>
        <v>-1</v>
      </c>
    </row>
    <row r="347" spans="1:99" ht="12" customHeight="1">
      <c r="A347" s="43">
        <v>6084</v>
      </c>
      <c r="B347" s="89" t="s">
        <v>813</v>
      </c>
      <c r="C347" s="89" t="s">
        <v>1177</v>
      </c>
      <c r="D347" s="89" t="s">
        <v>1178</v>
      </c>
      <c r="F347" s="43">
        <v>527366</v>
      </c>
      <c r="G347" s="43">
        <v>175230</v>
      </c>
      <c r="H347" s="89" t="s">
        <v>174</v>
      </c>
      <c r="I347" s="125">
        <v>43528</v>
      </c>
      <c r="K347" s="140">
        <v>0</v>
      </c>
      <c r="L347" s="140">
        <v>4</v>
      </c>
      <c r="M347" s="140">
        <v>4</v>
      </c>
      <c r="N347" s="140">
        <v>4</v>
      </c>
      <c r="O347" s="140">
        <v>4</v>
      </c>
      <c r="Q347" s="89" t="s">
        <v>1179</v>
      </c>
      <c r="R347" s="43" t="s">
        <v>316</v>
      </c>
      <c r="S347" s="125">
        <v>42298</v>
      </c>
      <c r="T347" s="117">
        <v>42439</v>
      </c>
      <c r="V347" s="43" t="s">
        <v>317</v>
      </c>
      <c r="X347" s="43" t="s">
        <v>318</v>
      </c>
      <c r="Y347" s="43" t="s">
        <v>379</v>
      </c>
      <c r="Z347" s="43" t="s">
        <v>320</v>
      </c>
      <c r="AA347" s="43" t="s">
        <v>340</v>
      </c>
      <c r="AB347" s="144">
        <v>2.60000005364418E-2</v>
      </c>
      <c r="AC347" s="125">
        <v>43528</v>
      </c>
      <c r="AF347" s="43" t="s">
        <v>75</v>
      </c>
      <c r="AG347" s="43" t="s">
        <v>322</v>
      </c>
      <c r="AJ347" s="140">
        <v>0</v>
      </c>
      <c r="AK347" s="140">
        <v>0</v>
      </c>
      <c r="AL347" s="140">
        <v>0</v>
      </c>
      <c r="AM347" s="140">
        <v>0</v>
      </c>
      <c r="AN347" s="140">
        <v>0</v>
      </c>
      <c r="AO347" s="140">
        <v>2</v>
      </c>
      <c r="AP347" s="140">
        <v>2</v>
      </c>
      <c r="AQ347" s="140">
        <v>0</v>
      </c>
      <c r="AR347" s="140">
        <v>0</v>
      </c>
      <c r="AS347" s="140">
        <v>0</v>
      </c>
      <c r="AT347" s="140">
        <v>0</v>
      </c>
      <c r="AU347" s="140">
        <v>0</v>
      </c>
      <c r="AV347" s="140">
        <v>2</v>
      </c>
      <c r="AW347" s="140">
        <v>2</v>
      </c>
      <c r="AX347" s="140">
        <v>0</v>
      </c>
      <c r="AY347" s="140">
        <v>0</v>
      </c>
      <c r="AZ347" s="140">
        <v>0</v>
      </c>
      <c r="BA347" s="140">
        <v>0</v>
      </c>
      <c r="BB347" s="140">
        <v>0</v>
      </c>
      <c r="BC347" s="140">
        <v>0</v>
      </c>
      <c r="BD347" s="140">
        <v>0</v>
      </c>
      <c r="BE347" s="140">
        <v>0</v>
      </c>
      <c r="BF347" s="140">
        <v>0</v>
      </c>
      <c r="BG347" s="140">
        <v>0</v>
      </c>
      <c r="BH347" s="140">
        <v>0</v>
      </c>
      <c r="BI347" s="140">
        <v>0</v>
      </c>
      <c r="BJ347" s="140">
        <v>0</v>
      </c>
      <c r="BK347" s="140">
        <v>0</v>
      </c>
      <c r="BL347" s="140">
        <v>0</v>
      </c>
      <c r="BM347" s="140">
        <v>0</v>
      </c>
      <c r="BN347" s="140">
        <v>0</v>
      </c>
      <c r="BO347" s="140">
        <v>0</v>
      </c>
      <c r="BP347" s="43" t="s">
        <v>139</v>
      </c>
      <c r="BX347" s="43">
        <v>13</v>
      </c>
      <c r="BZ347" s="90">
        <f t="shared" si="28"/>
        <v>4</v>
      </c>
      <c r="CT347" s="90">
        <f t="shared" si="25"/>
        <v>4</v>
      </c>
      <c r="CU347" s="90">
        <f t="shared" si="26"/>
        <v>4</v>
      </c>
    </row>
    <row r="348" spans="1:99" ht="12" customHeight="1">
      <c r="A348" s="43">
        <v>6119</v>
      </c>
      <c r="B348" s="89" t="s">
        <v>813</v>
      </c>
      <c r="C348" s="89" t="s">
        <v>1180</v>
      </c>
      <c r="D348" s="89" t="s">
        <v>1181</v>
      </c>
      <c r="E348" s="89" t="s">
        <v>1182</v>
      </c>
      <c r="F348" s="43">
        <v>528391</v>
      </c>
      <c r="G348" s="43">
        <v>174060</v>
      </c>
      <c r="H348" s="89" t="s">
        <v>138</v>
      </c>
      <c r="I348" s="125">
        <v>42825</v>
      </c>
      <c r="K348" s="140">
        <v>0</v>
      </c>
      <c r="L348" s="140">
        <v>8</v>
      </c>
      <c r="M348" s="140">
        <v>8</v>
      </c>
      <c r="N348" s="140">
        <v>19</v>
      </c>
      <c r="O348" s="140">
        <v>19</v>
      </c>
      <c r="P348" s="43" t="s">
        <v>329</v>
      </c>
      <c r="Q348" s="89" t="s">
        <v>1183</v>
      </c>
      <c r="R348" s="43" t="s">
        <v>392</v>
      </c>
      <c r="S348" s="125">
        <v>43264</v>
      </c>
      <c r="T348" s="117">
        <v>43388</v>
      </c>
      <c r="V348" s="43" t="s">
        <v>317</v>
      </c>
      <c r="X348" s="43" t="s">
        <v>318</v>
      </c>
      <c r="Y348" s="43" t="s">
        <v>319</v>
      </c>
      <c r="Z348" s="43" t="s">
        <v>320</v>
      </c>
      <c r="AA348" s="43" t="s">
        <v>353</v>
      </c>
      <c r="AB348" s="144">
        <v>7.69999995827675E-2</v>
      </c>
      <c r="AC348" s="125">
        <v>42825</v>
      </c>
      <c r="AF348" s="43" t="s">
        <v>75</v>
      </c>
      <c r="AG348" s="43" t="s">
        <v>322</v>
      </c>
      <c r="AJ348" s="140">
        <v>0</v>
      </c>
      <c r="AK348" s="140">
        <v>0</v>
      </c>
      <c r="AL348" s="140">
        <v>0</v>
      </c>
      <c r="AM348" s="140">
        <v>1</v>
      </c>
      <c r="AN348" s="140">
        <v>0</v>
      </c>
      <c r="AO348" s="140">
        <v>0</v>
      </c>
      <c r="AP348" s="140">
        <v>6</v>
      </c>
      <c r="AQ348" s="140">
        <v>2</v>
      </c>
      <c r="AR348" s="140">
        <v>0</v>
      </c>
      <c r="AS348" s="140">
        <v>0</v>
      </c>
      <c r="AT348" s="140">
        <v>0</v>
      </c>
      <c r="AU348" s="140">
        <v>0</v>
      </c>
      <c r="AV348" s="140">
        <v>0</v>
      </c>
      <c r="AW348" s="140">
        <v>6</v>
      </c>
      <c r="AX348" s="140">
        <v>2</v>
      </c>
      <c r="AY348" s="140">
        <v>0</v>
      </c>
      <c r="AZ348" s="140">
        <v>0</v>
      </c>
      <c r="BA348" s="140">
        <v>0</v>
      </c>
      <c r="BB348" s="140">
        <v>0</v>
      </c>
      <c r="BC348" s="140">
        <v>0</v>
      </c>
      <c r="BD348" s="140">
        <v>0</v>
      </c>
      <c r="BE348" s="140">
        <v>0</v>
      </c>
      <c r="BF348" s="140">
        <v>0</v>
      </c>
      <c r="BG348" s="140">
        <v>0</v>
      </c>
      <c r="BH348" s="140">
        <v>0</v>
      </c>
      <c r="BI348" s="140">
        <v>0</v>
      </c>
      <c r="BJ348" s="140">
        <v>0</v>
      </c>
      <c r="BK348" s="140">
        <v>0</v>
      </c>
      <c r="BL348" s="140">
        <v>0</v>
      </c>
      <c r="BM348" s="140">
        <v>0</v>
      </c>
      <c r="BN348" s="140">
        <v>0</v>
      </c>
      <c r="BO348" s="140">
        <v>0</v>
      </c>
      <c r="BX348" s="43">
        <v>13</v>
      </c>
      <c r="BZ348" s="90">
        <f t="shared" si="28"/>
        <v>8</v>
      </c>
      <c r="CT348" s="90">
        <f t="shared" si="25"/>
        <v>8</v>
      </c>
      <c r="CU348" s="90">
        <f t="shared" si="26"/>
        <v>8</v>
      </c>
    </row>
    <row r="349" spans="1:99" ht="12" customHeight="1">
      <c r="A349" s="43">
        <v>6119</v>
      </c>
      <c r="B349" s="89" t="s">
        <v>813</v>
      </c>
      <c r="C349" s="89" t="s">
        <v>1180</v>
      </c>
      <c r="D349" s="89" t="s">
        <v>1181</v>
      </c>
      <c r="E349" s="89" t="s">
        <v>1184</v>
      </c>
      <c r="F349" s="43">
        <v>528391</v>
      </c>
      <c r="G349" s="43">
        <v>174060</v>
      </c>
      <c r="H349" s="89" t="s">
        <v>138</v>
      </c>
      <c r="I349" s="125">
        <v>42825</v>
      </c>
      <c r="K349" s="140">
        <v>0</v>
      </c>
      <c r="L349" s="140">
        <v>11</v>
      </c>
      <c r="M349" s="140">
        <v>11</v>
      </c>
      <c r="N349" s="140">
        <v>19</v>
      </c>
      <c r="O349" s="140">
        <v>19</v>
      </c>
      <c r="P349" s="43" t="s">
        <v>329</v>
      </c>
      <c r="Q349" s="89" t="s">
        <v>1183</v>
      </c>
      <c r="R349" s="43" t="s">
        <v>392</v>
      </c>
      <c r="S349" s="125">
        <v>43264</v>
      </c>
      <c r="T349" s="117">
        <v>43388</v>
      </c>
      <c r="V349" s="43" t="s">
        <v>317</v>
      </c>
      <c r="X349" s="43" t="s">
        <v>318</v>
      </c>
      <c r="Y349" s="43" t="s">
        <v>319</v>
      </c>
      <c r="Z349" s="43" t="s">
        <v>361</v>
      </c>
      <c r="AA349" s="43" t="s">
        <v>320</v>
      </c>
      <c r="AB349" s="144">
        <v>0.104999996721745</v>
      </c>
      <c r="AC349" s="125">
        <v>43555</v>
      </c>
      <c r="AF349" s="43" t="s">
        <v>75</v>
      </c>
      <c r="AG349" s="43" t="s">
        <v>322</v>
      </c>
      <c r="AJ349" s="140">
        <v>0</v>
      </c>
      <c r="AK349" s="140">
        <v>0</v>
      </c>
      <c r="AL349" s="140">
        <v>0</v>
      </c>
      <c r="AM349" s="140">
        <v>1</v>
      </c>
      <c r="AN349" s="140">
        <v>0</v>
      </c>
      <c r="AO349" s="140">
        <v>2</v>
      </c>
      <c r="AP349" s="140">
        <v>8</v>
      </c>
      <c r="AQ349" s="140">
        <v>1</v>
      </c>
      <c r="AR349" s="140">
        <v>0</v>
      </c>
      <c r="AS349" s="140">
        <v>0</v>
      </c>
      <c r="AT349" s="140">
        <v>0</v>
      </c>
      <c r="AU349" s="140">
        <v>0</v>
      </c>
      <c r="AV349" s="140">
        <v>2</v>
      </c>
      <c r="AW349" s="140">
        <v>8</v>
      </c>
      <c r="AX349" s="140">
        <v>1</v>
      </c>
      <c r="AY349" s="140">
        <v>0</v>
      </c>
      <c r="AZ349" s="140">
        <v>0</v>
      </c>
      <c r="BA349" s="140">
        <v>0</v>
      </c>
      <c r="BB349" s="140">
        <v>0</v>
      </c>
      <c r="BC349" s="140">
        <v>0</v>
      </c>
      <c r="BD349" s="140">
        <v>0</v>
      </c>
      <c r="BE349" s="140">
        <v>0</v>
      </c>
      <c r="BF349" s="140">
        <v>0</v>
      </c>
      <c r="BG349" s="140">
        <v>0</v>
      </c>
      <c r="BH349" s="140">
        <v>0</v>
      </c>
      <c r="BI349" s="140">
        <v>0</v>
      </c>
      <c r="BJ349" s="140">
        <v>0</v>
      </c>
      <c r="BK349" s="140">
        <v>0</v>
      </c>
      <c r="BL349" s="140">
        <v>0</v>
      </c>
      <c r="BM349" s="140">
        <v>0</v>
      </c>
      <c r="BN349" s="140">
        <v>0</v>
      </c>
      <c r="BO349" s="140">
        <v>0</v>
      </c>
      <c r="BX349" s="43">
        <v>13</v>
      </c>
      <c r="BZ349" s="90">
        <f t="shared" si="28"/>
        <v>11</v>
      </c>
      <c r="CT349" s="90">
        <f t="shared" si="25"/>
        <v>11</v>
      </c>
      <c r="CU349" s="90">
        <f t="shared" si="26"/>
        <v>11</v>
      </c>
    </row>
    <row r="350" spans="1:99" ht="12" customHeight="1">
      <c r="A350" s="43">
        <v>6122</v>
      </c>
      <c r="B350" s="89" t="s">
        <v>813</v>
      </c>
      <c r="C350" s="89" t="s">
        <v>1185</v>
      </c>
      <c r="D350" s="89" t="s">
        <v>1186</v>
      </c>
      <c r="F350" s="43">
        <v>526012</v>
      </c>
      <c r="G350" s="43">
        <v>173064</v>
      </c>
      <c r="H350" s="89" t="s">
        <v>168</v>
      </c>
      <c r="I350" s="125">
        <v>43724</v>
      </c>
      <c r="K350" s="140">
        <v>1</v>
      </c>
      <c r="L350" s="140">
        <v>2</v>
      </c>
      <c r="M350" s="140">
        <v>1</v>
      </c>
      <c r="N350" s="140">
        <v>3</v>
      </c>
      <c r="O350" s="140">
        <v>2</v>
      </c>
      <c r="Q350" s="89" t="s">
        <v>1187</v>
      </c>
      <c r="R350" s="43" t="s">
        <v>316</v>
      </c>
      <c r="S350" s="125">
        <v>43552</v>
      </c>
      <c r="T350" s="117">
        <v>43700</v>
      </c>
      <c r="U350" s="43" t="s">
        <v>329</v>
      </c>
      <c r="V350" s="43" t="s">
        <v>317</v>
      </c>
      <c r="X350" s="43" t="s">
        <v>318</v>
      </c>
      <c r="Y350" s="43" t="s">
        <v>319</v>
      </c>
      <c r="Z350" s="43" t="s">
        <v>320</v>
      </c>
      <c r="AA350" s="43" t="s">
        <v>321</v>
      </c>
      <c r="AB350" s="144">
        <v>8.9999996125698107E-3</v>
      </c>
      <c r="AC350" s="125">
        <v>43724</v>
      </c>
      <c r="AD350" s="43" t="s">
        <v>329</v>
      </c>
      <c r="AF350" s="43" t="s">
        <v>75</v>
      </c>
      <c r="AG350" s="43" t="s">
        <v>322</v>
      </c>
      <c r="AJ350" s="140">
        <v>0</v>
      </c>
      <c r="AK350" s="140">
        <v>0</v>
      </c>
      <c r="AL350" s="140">
        <v>0</v>
      </c>
      <c r="AM350" s="140">
        <v>0</v>
      </c>
      <c r="AN350" s="140">
        <v>0</v>
      </c>
      <c r="AO350" s="140">
        <v>0</v>
      </c>
      <c r="AP350" s="140">
        <v>2</v>
      </c>
      <c r="AQ350" s="140">
        <v>-1</v>
      </c>
      <c r="AR350" s="140">
        <v>0</v>
      </c>
      <c r="AS350" s="140">
        <v>0</v>
      </c>
      <c r="AT350" s="140">
        <v>0</v>
      </c>
      <c r="AU350" s="140">
        <v>0</v>
      </c>
      <c r="AV350" s="140">
        <v>0</v>
      </c>
      <c r="AW350" s="140">
        <v>2</v>
      </c>
      <c r="AX350" s="140">
        <v>-1</v>
      </c>
      <c r="AY350" s="140">
        <v>0</v>
      </c>
      <c r="AZ350" s="140">
        <v>0</v>
      </c>
      <c r="BA350" s="140">
        <v>0</v>
      </c>
      <c r="BB350" s="140">
        <v>0</v>
      </c>
      <c r="BC350" s="140">
        <v>0</v>
      </c>
      <c r="BD350" s="140">
        <v>0</v>
      </c>
      <c r="BE350" s="140">
        <v>0</v>
      </c>
      <c r="BF350" s="140">
        <v>0</v>
      </c>
      <c r="BG350" s="140">
        <v>0</v>
      </c>
      <c r="BH350" s="140">
        <v>0</v>
      </c>
      <c r="BI350" s="140">
        <v>0</v>
      </c>
      <c r="BJ350" s="140">
        <v>0</v>
      </c>
      <c r="BK350" s="140">
        <v>0</v>
      </c>
      <c r="BL350" s="140">
        <v>0</v>
      </c>
      <c r="BM350" s="140">
        <v>0</v>
      </c>
      <c r="BN350" s="140">
        <v>0</v>
      </c>
      <c r="BO350" s="140">
        <v>0</v>
      </c>
      <c r="BW350" s="43" t="s">
        <v>329</v>
      </c>
      <c r="BX350" s="43">
        <v>13</v>
      </c>
      <c r="BZ350" s="90">
        <f t="shared" si="28"/>
        <v>1</v>
      </c>
      <c r="CT350" s="90">
        <f t="shared" si="25"/>
        <v>1</v>
      </c>
      <c r="CU350" s="90">
        <f t="shared" si="26"/>
        <v>1</v>
      </c>
    </row>
    <row r="351" spans="1:99" ht="12" customHeight="1">
      <c r="A351" s="43">
        <v>6122</v>
      </c>
      <c r="B351" s="89" t="s">
        <v>813</v>
      </c>
      <c r="C351" s="89" t="s">
        <v>1185</v>
      </c>
      <c r="D351" s="89" t="s">
        <v>1186</v>
      </c>
      <c r="F351" s="43">
        <v>526012</v>
      </c>
      <c r="G351" s="43">
        <v>173064</v>
      </c>
      <c r="H351" s="89" t="s">
        <v>168</v>
      </c>
      <c r="I351" s="125">
        <v>43724</v>
      </c>
      <c r="K351" s="140">
        <v>0</v>
      </c>
      <c r="L351" s="140">
        <v>1</v>
      </c>
      <c r="M351" s="140">
        <v>1</v>
      </c>
      <c r="N351" s="140">
        <v>3</v>
      </c>
      <c r="O351" s="140">
        <v>2</v>
      </c>
      <c r="Q351" s="89" t="s">
        <v>1187</v>
      </c>
      <c r="R351" s="43" t="s">
        <v>316</v>
      </c>
      <c r="S351" s="125">
        <v>43552</v>
      </c>
      <c r="T351" s="117">
        <v>43700</v>
      </c>
      <c r="U351" s="43" t="s">
        <v>329</v>
      </c>
      <c r="V351" s="43" t="s">
        <v>317</v>
      </c>
      <c r="X351" s="43" t="s">
        <v>318</v>
      </c>
      <c r="Y351" s="43" t="s">
        <v>319</v>
      </c>
      <c r="Z351" s="43" t="s">
        <v>320</v>
      </c>
      <c r="AA351" s="43" t="s">
        <v>340</v>
      </c>
      <c r="AB351" s="144">
        <v>2.0000000949949E-3</v>
      </c>
      <c r="AC351" s="125">
        <v>43724</v>
      </c>
      <c r="AD351" s="43" t="s">
        <v>329</v>
      </c>
      <c r="AF351" s="43" t="s">
        <v>75</v>
      </c>
      <c r="AG351" s="43" t="s">
        <v>322</v>
      </c>
      <c r="AJ351" s="140">
        <v>0</v>
      </c>
      <c r="AK351" s="140">
        <v>0</v>
      </c>
      <c r="AL351" s="140">
        <v>0</v>
      </c>
      <c r="AM351" s="140">
        <v>0</v>
      </c>
      <c r="AN351" s="140">
        <v>0</v>
      </c>
      <c r="AO351" s="140">
        <v>1</v>
      </c>
      <c r="AP351" s="140">
        <v>0</v>
      </c>
      <c r="AQ351" s="140">
        <v>0</v>
      </c>
      <c r="AR351" s="140">
        <v>0</v>
      </c>
      <c r="AS351" s="140">
        <v>0</v>
      </c>
      <c r="AT351" s="140">
        <v>0</v>
      </c>
      <c r="AU351" s="140">
        <v>0</v>
      </c>
      <c r="AV351" s="140">
        <v>1</v>
      </c>
      <c r="AW351" s="140">
        <v>0</v>
      </c>
      <c r="AX351" s="140">
        <v>0</v>
      </c>
      <c r="AY351" s="140">
        <v>0</v>
      </c>
      <c r="AZ351" s="140">
        <v>0</v>
      </c>
      <c r="BA351" s="140">
        <v>0</v>
      </c>
      <c r="BB351" s="140">
        <v>0</v>
      </c>
      <c r="BC351" s="140">
        <v>0</v>
      </c>
      <c r="BD351" s="140">
        <v>0</v>
      </c>
      <c r="BE351" s="140">
        <v>0</v>
      </c>
      <c r="BF351" s="140">
        <v>0</v>
      </c>
      <c r="BG351" s="140">
        <v>0</v>
      </c>
      <c r="BH351" s="140">
        <v>0</v>
      </c>
      <c r="BI351" s="140">
        <v>0</v>
      </c>
      <c r="BJ351" s="140">
        <v>0</v>
      </c>
      <c r="BK351" s="140">
        <v>0</v>
      </c>
      <c r="BL351" s="140">
        <v>0</v>
      </c>
      <c r="BM351" s="140">
        <v>0</v>
      </c>
      <c r="BN351" s="140">
        <v>0</v>
      </c>
      <c r="BO351" s="140">
        <v>0</v>
      </c>
      <c r="BW351" s="43" t="s">
        <v>329</v>
      </c>
      <c r="BX351" s="43">
        <v>13</v>
      </c>
      <c r="BZ351" s="90">
        <f t="shared" si="28"/>
        <v>1</v>
      </c>
      <c r="CT351" s="90">
        <f t="shared" si="25"/>
        <v>1</v>
      </c>
      <c r="CU351" s="90">
        <f t="shared" si="26"/>
        <v>1</v>
      </c>
    </row>
    <row r="352" spans="1:99" ht="12" customHeight="1">
      <c r="A352" s="43">
        <v>6168</v>
      </c>
      <c r="B352" s="89" t="s">
        <v>813</v>
      </c>
      <c r="C352" s="89" t="s">
        <v>1188</v>
      </c>
      <c r="D352" s="89" t="s">
        <v>1189</v>
      </c>
      <c r="F352" s="43">
        <v>524806</v>
      </c>
      <c r="G352" s="43">
        <v>174483</v>
      </c>
      <c r="H352" s="89" t="s">
        <v>169</v>
      </c>
      <c r="I352" s="125">
        <v>43344</v>
      </c>
      <c r="K352" s="140">
        <v>1</v>
      </c>
      <c r="L352" s="140">
        <v>2</v>
      </c>
      <c r="M352" s="140">
        <v>1</v>
      </c>
      <c r="N352" s="140">
        <v>2</v>
      </c>
      <c r="O352" s="140">
        <v>1</v>
      </c>
      <c r="Q352" s="89" t="s">
        <v>1190</v>
      </c>
      <c r="R352" s="43" t="s">
        <v>316</v>
      </c>
      <c r="S352" s="125">
        <v>42534</v>
      </c>
      <c r="T352" s="117">
        <v>42607</v>
      </c>
      <c r="V352" s="43" t="s">
        <v>317</v>
      </c>
      <c r="X352" s="43" t="s">
        <v>318</v>
      </c>
      <c r="Y352" s="43" t="s">
        <v>361</v>
      </c>
      <c r="Z352" s="43" t="s">
        <v>320</v>
      </c>
      <c r="AA352" s="43" t="s">
        <v>353</v>
      </c>
      <c r="AB352" s="144">
        <v>4.1000001132488299E-2</v>
      </c>
      <c r="AC352" s="125">
        <v>43344</v>
      </c>
      <c r="AF352" s="43" t="s">
        <v>75</v>
      </c>
      <c r="AG352" s="43" t="s">
        <v>322</v>
      </c>
      <c r="AJ352" s="140">
        <v>0</v>
      </c>
      <c r="AK352" s="140">
        <v>0</v>
      </c>
      <c r="AL352" s="140">
        <v>0</v>
      </c>
      <c r="AM352" s="140">
        <v>0</v>
      </c>
      <c r="AN352" s="140">
        <v>0</v>
      </c>
      <c r="AO352" s="140">
        <v>0</v>
      </c>
      <c r="AP352" s="140">
        <v>0</v>
      </c>
      <c r="AQ352" s="140">
        <v>0</v>
      </c>
      <c r="AR352" s="140">
        <v>1</v>
      </c>
      <c r="AS352" s="140">
        <v>0</v>
      </c>
      <c r="AT352" s="140">
        <v>0</v>
      </c>
      <c r="AU352" s="140">
        <v>0</v>
      </c>
      <c r="AV352" s="140">
        <v>0</v>
      </c>
      <c r="AW352" s="140">
        <v>0</v>
      </c>
      <c r="AX352" s="140">
        <v>0</v>
      </c>
      <c r="AY352" s="140">
        <v>0</v>
      </c>
      <c r="AZ352" s="140">
        <v>0</v>
      </c>
      <c r="BA352" s="140">
        <v>0</v>
      </c>
      <c r="BB352" s="140">
        <v>0</v>
      </c>
      <c r="BC352" s="140">
        <v>0</v>
      </c>
      <c r="BD352" s="140">
        <v>0</v>
      </c>
      <c r="BE352" s="140">
        <v>0</v>
      </c>
      <c r="BF352" s="140">
        <v>1</v>
      </c>
      <c r="BG352" s="140">
        <v>0</v>
      </c>
      <c r="BH352" s="140">
        <v>0</v>
      </c>
      <c r="BI352" s="140">
        <v>0</v>
      </c>
      <c r="BJ352" s="140">
        <v>0</v>
      </c>
      <c r="BK352" s="140">
        <v>0</v>
      </c>
      <c r="BL352" s="140">
        <v>0</v>
      </c>
      <c r="BM352" s="140">
        <v>0</v>
      </c>
      <c r="BN352" s="140">
        <v>0</v>
      </c>
      <c r="BO352" s="140">
        <v>0</v>
      </c>
      <c r="BX352" s="43">
        <v>2</v>
      </c>
      <c r="BZ352" s="90">
        <f t="shared" si="28"/>
        <v>1</v>
      </c>
      <c r="CT352" s="90">
        <f t="shared" si="25"/>
        <v>1</v>
      </c>
      <c r="CU352" s="90">
        <f t="shared" si="26"/>
        <v>1</v>
      </c>
    </row>
    <row r="353" spans="1:99" ht="12" customHeight="1">
      <c r="A353" s="43">
        <v>6186</v>
      </c>
      <c r="B353" s="89" t="s">
        <v>813</v>
      </c>
      <c r="C353" s="89" t="s">
        <v>1191</v>
      </c>
      <c r="D353" s="89" t="s">
        <v>1192</v>
      </c>
      <c r="F353" s="43">
        <v>527237</v>
      </c>
      <c r="G353" s="43">
        <v>171543</v>
      </c>
      <c r="H353" s="89" t="s">
        <v>141</v>
      </c>
      <c r="I353" s="125">
        <v>43921</v>
      </c>
      <c r="K353" s="140">
        <v>1</v>
      </c>
      <c r="L353" s="140">
        <v>3</v>
      </c>
      <c r="M353" s="140">
        <v>2</v>
      </c>
      <c r="N353" s="140">
        <v>3</v>
      </c>
      <c r="O353" s="140">
        <v>2</v>
      </c>
      <c r="Q353" s="89" t="s">
        <v>1193</v>
      </c>
      <c r="R353" s="43" t="s">
        <v>316</v>
      </c>
      <c r="S353" s="125">
        <v>43563</v>
      </c>
      <c r="T353" s="117">
        <v>43675</v>
      </c>
      <c r="U353" s="43" t="s">
        <v>329</v>
      </c>
      <c r="V353" s="43" t="s">
        <v>317</v>
      </c>
      <c r="X353" s="43" t="s">
        <v>318</v>
      </c>
      <c r="Y353" s="43" t="s">
        <v>348</v>
      </c>
      <c r="Z353" s="43" t="s">
        <v>320</v>
      </c>
      <c r="AA353" s="43" t="s">
        <v>20</v>
      </c>
      <c r="AB353" s="144">
        <v>1.4000000432133701E-2</v>
      </c>
      <c r="AC353" s="125">
        <v>43921</v>
      </c>
      <c r="AD353" s="43" t="s">
        <v>329</v>
      </c>
      <c r="AF353" s="43" t="s">
        <v>75</v>
      </c>
      <c r="AG353" s="43" t="s">
        <v>322</v>
      </c>
      <c r="AJ353" s="140">
        <v>0</v>
      </c>
      <c r="AK353" s="140">
        <v>0</v>
      </c>
      <c r="AL353" s="140">
        <v>0</v>
      </c>
      <c r="AM353" s="140">
        <v>0</v>
      </c>
      <c r="AN353" s="140">
        <v>0</v>
      </c>
      <c r="AO353" s="140">
        <v>0</v>
      </c>
      <c r="AP353" s="140">
        <v>1</v>
      </c>
      <c r="AQ353" s="140">
        <v>2</v>
      </c>
      <c r="AR353" s="140">
        <v>0</v>
      </c>
      <c r="AS353" s="140">
        <v>-1</v>
      </c>
      <c r="AT353" s="140">
        <v>0</v>
      </c>
      <c r="AU353" s="140">
        <v>0</v>
      </c>
      <c r="AV353" s="140">
        <v>0</v>
      </c>
      <c r="AW353" s="140">
        <v>1</v>
      </c>
      <c r="AX353" s="140">
        <v>2</v>
      </c>
      <c r="AY353" s="140">
        <v>0</v>
      </c>
      <c r="AZ353" s="140">
        <v>0</v>
      </c>
      <c r="BA353" s="140">
        <v>0</v>
      </c>
      <c r="BB353" s="140">
        <v>0</v>
      </c>
      <c r="BC353" s="140">
        <v>0</v>
      </c>
      <c r="BD353" s="140">
        <v>0</v>
      </c>
      <c r="BE353" s="140">
        <v>0</v>
      </c>
      <c r="BF353" s="140">
        <v>0</v>
      </c>
      <c r="BG353" s="140">
        <v>-1</v>
      </c>
      <c r="BH353" s="140">
        <v>0</v>
      </c>
      <c r="BI353" s="140">
        <v>0</v>
      </c>
      <c r="BJ353" s="140">
        <v>0</v>
      </c>
      <c r="BK353" s="140">
        <v>0</v>
      </c>
      <c r="BL353" s="140">
        <v>0</v>
      </c>
      <c r="BM353" s="140">
        <v>0</v>
      </c>
      <c r="BN353" s="140">
        <v>0</v>
      </c>
      <c r="BO353" s="140">
        <v>0</v>
      </c>
      <c r="BX353" s="43">
        <v>14</v>
      </c>
      <c r="BZ353" s="90">
        <f>$M353/2</f>
        <v>1</v>
      </c>
      <c r="CA353" s="90">
        <f>$M353/2</f>
        <v>1</v>
      </c>
      <c r="CT353" s="90">
        <f t="shared" si="25"/>
        <v>2</v>
      </c>
      <c r="CU353" s="90">
        <f t="shared" si="26"/>
        <v>2</v>
      </c>
    </row>
    <row r="354" spans="1:99" ht="12" customHeight="1">
      <c r="A354" s="43">
        <v>6207</v>
      </c>
      <c r="B354" s="89" t="s">
        <v>813</v>
      </c>
      <c r="C354" s="89" t="s">
        <v>1194</v>
      </c>
      <c r="D354" s="89" t="s">
        <v>1195</v>
      </c>
      <c r="F354" s="43">
        <v>524680</v>
      </c>
      <c r="G354" s="43">
        <v>173245</v>
      </c>
      <c r="H354" s="89" t="s">
        <v>180</v>
      </c>
      <c r="I354" s="125">
        <v>43318</v>
      </c>
      <c r="K354" s="140">
        <v>0</v>
      </c>
      <c r="L354" s="140">
        <v>6</v>
      </c>
      <c r="M354" s="140">
        <v>6</v>
      </c>
      <c r="N354" s="140">
        <v>6</v>
      </c>
      <c r="O354" s="140">
        <v>6</v>
      </c>
      <c r="Q354" s="89" t="s">
        <v>1196</v>
      </c>
      <c r="R354" s="43" t="s">
        <v>316</v>
      </c>
      <c r="S354" s="125">
        <v>42341</v>
      </c>
      <c r="T354" s="117">
        <v>42501</v>
      </c>
      <c r="V354" s="43" t="s">
        <v>317</v>
      </c>
      <c r="X354" s="43" t="s">
        <v>318</v>
      </c>
      <c r="Y354" s="43" t="s">
        <v>361</v>
      </c>
      <c r="Z354" s="43" t="s">
        <v>320</v>
      </c>
      <c r="AA354" s="43" t="s">
        <v>353</v>
      </c>
      <c r="AB354" s="144">
        <v>9.7999997437000302E-2</v>
      </c>
      <c r="AC354" s="125">
        <v>43318</v>
      </c>
      <c r="AF354" s="43" t="s">
        <v>75</v>
      </c>
      <c r="AG354" s="43" t="s">
        <v>322</v>
      </c>
      <c r="AJ354" s="140">
        <v>6</v>
      </c>
      <c r="AK354" s="140">
        <v>0</v>
      </c>
      <c r="AL354" s="140">
        <v>0</v>
      </c>
      <c r="AM354" s="140">
        <v>0</v>
      </c>
      <c r="AN354" s="140">
        <v>0</v>
      </c>
      <c r="AO354" s="140">
        <v>0</v>
      </c>
      <c r="AP354" s="140">
        <v>6</v>
      </c>
      <c r="AQ354" s="140">
        <v>0</v>
      </c>
      <c r="AR354" s="140">
        <v>0</v>
      </c>
      <c r="AS354" s="140">
        <v>0</v>
      </c>
      <c r="AT354" s="140">
        <v>0</v>
      </c>
      <c r="AU354" s="140">
        <v>0</v>
      </c>
      <c r="AV354" s="140">
        <v>0</v>
      </c>
      <c r="AW354" s="140">
        <v>6</v>
      </c>
      <c r="AX354" s="140">
        <v>0</v>
      </c>
      <c r="AY354" s="140">
        <v>0</v>
      </c>
      <c r="AZ354" s="140">
        <v>0</v>
      </c>
      <c r="BA354" s="140">
        <v>0</v>
      </c>
      <c r="BB354" s="140">
        <v>0</v>
      </c>
      <c r="BC354" s="140">
        <v>0</v>
      </c>
      <c r="BD354" s="140">
        <v>0</v>
      </c>
      <c r="BE354" s="140">
        <v>0</v>
      </c>
      <c r="BF354" s="140">
        <v>0</v>
      </c>
      <c r="BG354" s="140">
        <v>0</v>
      </c>
      <c r="BH354" s="140">
        <v>0</v>
      </c>
      <c r="BI354" s="140">
        <v>0</v>
      </c>
      <c r="BJ354" s="140">
        <v>0</v>
      </c>
      <c r="BK354" s="140">
        <v>0</v>
      </c>
      <c r="BL354" s="140">
        <v>0</v>
      </c>
      <c r="BM354" s="140">
        <v>0</v>
      </c>
      <c r="BN354" s="140">
        <v>0</v>
      </c>
      <c r="BO354" s="140">
        <v>0</v>
      </c>
      <c r="BX354" s="43">
        <v>2</v>
      </c>
      <c r="BZ354" s="90">
        <f t="shared" ref="BZ354:BZ359" si="29">M354</f>
        <v>6</v>
      </c>
      <c r="CT354" s="90">
        <f t="shared" si="25"/>
        <v>6</v>
      </c>
      <c r="CU354" s="90">
        <f t="shared" si="26"/>
        <v>6</v>
      </c>
    </row>
    <row r="355" spans="1:99" ht="12" customHeight="1">
      <c r="A355" s="43">
        <v>6211</v>
      </c>
      <c r="B355" s="89" t="s">
        <v>813</v>
      </c>
      <c r="C355" s="89" t="s">
        <v>1197</v>
      </c>
      <c r="D355" s="89" t="s">
        <v>1198</v>
      </c>
      <c r="F355" s="43">
        <v>528429</v>
      </c>
      <c r="G355" s="43">
        <v>172911</v>
      </c>
      <c r="H355" s="89" t="s">
        <v>167</v>
      </c>
      <c r="I355" s="125">
        <v>43555</v>
      </c>
      <c r="K355" s="140">
        <v>0</v>
      </c>
      <c r="L355" s="140">
        <v>2</v>
      </c>
      <c r="M355" s="140">
        <v>2</v>
      </c>
      <c r="N355" s="140">
        <v>2</v>
      </c>
      <c r="O355" s="140">
        <v>2</v>
      </c>
      <c r="Q355" s="89" t="s">
        <v>1199</v>
      </c>
      <c r="R355" s="43" t="s">
        <v>316</v>
      </c>
      <c r="S355" s="125">
        <v>42501</v>
      </c>
      <c r="T355" s="117">
        <v>42541</v>
      </c>
      <c r="V355" s="43" t="s">
        <v>317</v>
      </c>
      <c r="X355" s="43" t="s">
        <v>318</v>
      </c>
      <c r="Y355" s="43" t="s">
        <v>379</v>
      </c>
      <c r="Z355" s="43" t="s">
        <v>320</v>
      </c>
      <c r="AA355" s="43" t="s">
        <v>340</v>
      </c>
      <c r="AB355" s="144">
        <v>1.2000000104308101E-2</v>
      </c>
      <c r="AC355" s="125">
        <v>43555</v>
      </c>
      <c r="AF355" s="43" t="s">
        <v>75</v>
      </c>
      <c r="AG355" s="43" t="s">
        <v>322</v>
      </c>
      <c r="AJ355" s="140">
        <v>0</v>
      </c>
      <c r="AK355" s="140">
        <v>0</v>
      </c>
      <c r="AL355" s="140">
        <v>0</v>
      </c>
      <c r="AM355" s="140">
        <v>0</v>
      </c>
      <c r="AN355" s="140">
        <v>0</v>
      </c>
      <c r="AO355" s="140">
        <v>2</v>
      </c>
      <c r="AP355" s="140">
        <v>0</v>
      </c>
      <c r="AQ355" s="140">
        <v>0</v>
      </c>
      <c r="AR355" s="140">
        <v>0</v>
      </c>
      <c r="AS355" s="140">
        <v>0</v>
      </c>
      <c r="AT355" s="140">
        <v>0</v>
      </c>
      <c r="AU355" s="140">
        <v>0</v>
      </c>
      <c r="AV355" s="140">
        <v>2</v>
      </c>
      <c r="AW355" s="140">
        <v>0</v>
      </c>
      <c r="AX355" s="140">
        <v>0</v>
      </c>
      <c r="AY355" s="140">
        <v>0</v>
      </c>
      <c r="AZ355" s="140">
        <v>0</v>
      </c>
      <c r="BA355" s="140">
        <v>0</v>
      </c>
      <c r="BB355" s="140">
        <v>0</v>
      </c>
      <c r="BC355" s="140">
        <v>0</v>
      </c>
      <c r="BD355" s="140">
        <v>0</v>
      </c>
      <c r="BE355" s="140">
        <v>0</v>
      </c>
      <c r="BF355" s="140">
        <v>0</v>
      </c>
      <c r="BG355" s="140">
        <v>0</v>
      </c>
      <c r="BH355" s="140">
        <v>0</v>
      </c>
      <c r="BI355" s="140">
        <v>0</v>
      </c>
      <c r="BJ355" s="140">
        <v>0</v>
      </c>
      <c r="BK355" s="140">
        <v>0</v>
      </c>
      <c r="BL355" s="140">
        <v>0</v>
      </c>
      <c r="BM355" s="140">
        <v>0</v>
      </c>
      <c r="BN355" s="140">
        <v>0</v>
      </c>
      <c r="BO355" s="140">
        <v>0</v>
      </c>
      <c r="BX355" s="43">
        <v>13</v>
      </c>
      <c r="BZ355" s="90">
        <f t="shared" si="29"/>
        <v>2</v>
      </c>
      <c r="CT355" s="90">
        <f t="shared" si="25"/>
        <v>2</v>
      </c>
      <c r="CU355" s="90">
        <f t="shared" si="26"/>
        <v>2</v>
      </c>
    </row>
    <row r="356" spans="1:99" ht="12" customHeight="1">
      <c r="A356" s="43">
        <v>6219</v>
      </c>
      <c r="B356" s="89" t="s">
        <v>813</v>
      </c>
      <c r="C356" s="89" t="s">
        <v>1200</v>
      </c>
      <c r="D356" s="89" t="s">
        <v>1201</v>
      </c>
      <c r="F356" s="43">
        <v>525163</v>
      </c>
      <c r="G356" s="43">
        <v>173918</v>
      </c>
      <c r="H356" s="89" t="s">
        <v>176</v>
      </c>
      <c r="I356" s="125">
        <v>43190</v>
      </c>
      <c r="K356" s="140">
        <v>0</v>
      </c>
      <c r="L356" s="140">
        <v>1</v>
      </c>
      <c r="M356" s="140">
        <v>1</v>
      </c>
      <c r="N356" s="140">
        <v>1</v>
      </c>
      <c r="O356" s="140">
        <v>1</v>
      </c>
      <c r="Q356" s="89" t="s">
        <v>1202</v>
      </c>
      <c r="R356" s="43" t="s">
        <v>316</v>
      </c>
      <c r="S356" s="125">
        <v>42615</v>
      </c>
      <c r="T356" s="117">
        <v>42671</v>
      </c>
      <c r="V356" s="43" t="s">
        <v>317</v>
      </c>
      <c r="X356" s="43" t="s">
        <v>318</v>
      </c>
      <c r="Y356" s="43" t="s">
        <v>361</v>
      </c>
      <c r="Z356" s="43" t="s">
        <v>320</v>
      </c>
      <c r="AA356" s="43" t="s">
        <v>353</v>
      </c>
      <c r="AB356" s="144">
        <v>1.60000007599592E-2</v>
      </c>
      <c r="AC356" s="125">
        <v>43190</v>
      </c>
      <c r="AF356" s="43" t="s">
        <v>75</v>
      </c>
      <c r="AG356" s="43" t="s">
        <v>322</v>
      </c>
      <c r="AJ356" s="140">
        <v>0</v>
      </c>
      <c r="AK356" s="140">
        <v>0</v>
      </c>
      <c r="AL356" s="140">
        <v>0</v>
      </c>
      <c r="AM356" s="140">
        <v>0</v>
      </c>
      <c r="AN356" s="140">
        <v>0</v>
      </c>
      <c r="AO356" s="140">
        <v>0</v>
      </c>
      <c r="AP356" s="140">
        <v>1</v>
      </c>
      <c r="AQ356" s="140">
        <v>0</v>
      </c>
      <c r="AR356" s="140">
        <v>0</v>
      </c>
      <c r="AS356" s="140">
        <v>0</v>
      </c>
      <c r="AT356" s="140">
        <v>0</v>
      </c>
      <c r="AU356" s="140">
        <v>0</v>
      </c>
      <c r="AV356" s="140">
        <v>0</v>
      </c>
      <c r="AW356" s="140">
        <v>0</v>
      </c>
      <c r="AX356" s="140">
        <v>0</v>
      </c>
      <c r="AY356" s="140">
        <v>0</v>
      </c>
      <c r="AZ356" s="140">
        <v>0</v>
      </c>
      <c r="BA356" s="140">
        <v>0</v>
      </c>
      <c r="BB356" s="140">
        <v>0</v>
      </c>
      <c r="BC356" s="140">
        <v>0</v>
      </c>
      <c r="BD356" s="140">
        <v>1</v>
      </c>
      <c r="BE356" s="140">
        <v>0</v>
      </c>
      <c r="BF356" s="140">
        <v>0</v>
      </c>
      <c r="BG356" s="140">
        <v>0</v>
      </c>
      <c r="BH356" s="140">
        <v>0</v>
      </c>
      <c r="BI356" s="140">
        <v>0</v>
      </c>
      <c r="BJ356" s="140">
        <v>0</v>
      </c>
      <c r="BK356" s="140">
        <v>0</v>
      </c>
      <c r="BL356" s="140">
        <v>0</v>
      </c>
      <c r="BM356" s="140">
        <v>0</v>
      </c>
      <c r="BN356" s="140">
        <v>0</v>
      </c>
      <c r="BO356" s="140">
        <v>0</v>
      </c>
      <c r="BX356" s="43">
        <v>2</v>
      </c>
      <c r="BZ356" s="90">
        <f t="shared" si="29"/>
        <v>1</v>
      </c>
      <c r="CT356" s="90">
        <f t="shared" si="25"/>
        <v>1</v>
      </c>
      <c r="CU356" s="90">
        <f t="shared" si="26"/>
        <v>1</v>
      </c>
    </row>
    <row r="357" spans="1:99" ht="12" customHeight="1">
      <c r="A357" s="43">
        <v>6227</v>
      </c>
      <c r="B357" s="89" t="s">
        <v>813</v>
      </c>
      <c r="C357" s="89" t="s">
        <v>1203</v>
      </c>
      <c r="D357" s="89" t="s">
        <v>1204</v>
      </c>
      <c r="F357" s="43">
        <v>526996</v>
      </c>
      <c r="G357" s="43">
        <v>172953</v>
      </c>
      <c r="H357" s="89" t="s">
        <v>179</v>
      </c>
      <c r="I357" s="125">
        <v>43381</v>
      </c>
      <c r="K357" s="140">
        <v>0</v>
      </c>
      <c r="L357" s="140">
        <v>1</v>
      </c>
      <c r="M357" s="140">
        <v>1</v>
      </c>
      <c r="N357" s="140">
        <v>1</v>
      </c>
      <c r="O357" s="140">
        <v>1</v>
      </c>
      <c r="Q357" s="89" t="s">
        <v>1205</v>
      </c>
      <c r="R357" s="43" t="s">
        <v>316</v>
      </c>
      <c r="S357" s="125">
        <v>42640</v>
      </c>
      <c r="T357" s="117">
        <v>42753</v>
      </c>
      <c r="V357" s="43" t="s">
        <v>317</v>
      </c>
      <c r="X357" s="43" t="s">
        <v>318</v>
      </c>
      <c r="Y357" s="43" t="s">
        <v>361</v>
      </c>
      <c r="Z357" s="43" t="s">
        <v>320</v>
      </c>
      <c r="AA357" s="43" t="s">
        <v>353</v>
      </c>
      <c r="AB357" s="144">
        <v>8.9999996125698107E-3</v>
      </c>
      <c r="AC357" s="125">
        <v>43381</v>
      </c>
      <c r="AF357" s="43" t="s">
        <v>75</v>
      </c>
      <c r="AG357" s="43" t="s">
        <v>322</v>
      </c>
      <c r="AJ357" s="140">
        <v>1</v>
      </c>
      <c r="AK357" s="140">
        <v>0</v>
      </c>
      <c r="AL357" s="140">
        <v>0</v>
      </c>
      <c r="AM357" s="140">
        <v>0</v>
      </c>
      <c r="AN357" s="140">
        <v>0</v>
      </c>
      <c r="AO357" s="140">
        <v>0</v>
      </c>
      <c r="AP357" s="140">
        <v>0</v>
      </c>
      <c r="AQ357" s="140">
        <v>1</v>
      </c>
      <c r="AR357" s="140">
        <v>0</v>
      </c>
      <c r="AS357" s="140">
        <v>0</v>
      </c>
      <c r="AT357" s="140">
        <v>0</v>
      </c>
      <c r="AU357" s="140">
        <v>0</v>
      </c>
      <c r="AV357" s="140">
        <v>0</v>
      </c>
      <c r="AW357" s="140">
        <v>0</v>
      </c>
      <c r="AX357" s="140">
        <v>0</v>
      </c>
      <c r="AY357" s="140">
        <v>0</v>
      </c>
      <c r="AZ357" s="140">
        <v>0</v>
      </c>
      <c r="BA357" s="140">
        <v>0</v>
      </c>
      <c r="BB357" s="140">
        <v>0</v>
      </c>
      <c r="BC357" s="140">
        <v>0</v>
      </c>
      <c r="BD357" s="140">
        <v>0</v>
      </c>
      <c r="BE357" s="140">
        <v>1</v>
      </c>
      <c r="BF357" s="140">
        <v>0</v>
      </c>
      <c r="BG357" s="140">
        <v>0</v>
      </c>
      <c r="BH357" s="140">
        <v>0</v>
      </c>
      <c r="BI357" s="140">
        <v>0</v>
      </c>
      <c r="BJ357" s="140">
        <v>0</v>
      </c>
      <c r="BK357" s="140">
        <v>0</v>
      </c>
      <c r="BL357" s="140">
        <v>0</v>
      </c>
      <c r="BM357" s="140">
        <v>0</v>
      </c>
      <c r="BN357" s="140">
        <v>0</v>
      </c>
      <c r="BO357" s="140">
        <v>0</v>
      </c>
      <c r="BX357" s="43">
        <v>2</v>
      </c>
      <c r="BZ357" s="90">
        <f t="shared" si="29"/>
        <v>1</v>
      </c>
      <c r="CT357" s="90">
        <f t="shared" si="25"/>
        <v>1</v>
      </c>
      <c r="CU357" s="90">
        <f t="shared" si="26"/>
        <v>1</v>
      </c>
    </row>
    <row r="358" spans="1:99" ht="12" customHeight="1">
      <c r="A358" s="43">
        <v>6265</v>
      </c>
      <c r="B358" s="89" t="s">
        <v>813</v>
      </c>
      <c r="C358" s="89" t="s">
        <v>1206</v>
      </c>
      <c r="D358" s="89" t="s">
        <v>1207</v>
      </c>
      <c r="F358" s="43">
        <v>527193</v>
      </c>
      <c r="G358" s="43">
        <v>174782</v>
      </c>
      <c r="H358" s="89" t="s">
        <v>174</v>
      </c>
      <c r="I358" s="125">
        <v>42825</v>
      </c>
      <c r="K358" s="140">
        <v>1</v>
      </c>
      <c r="L358" s="140">
        <v>1</v>
      </c>
      <c r="M358" s="140">
        <v>0</v>
      </c>
      <c r="N358" s="140">
        <v>1</v>
      </c>
      <c r="O358" s="140">
        <v>0</v>
      </c>
      <c r="Q358" s="89" t="s">
        <v>1208</v>
      </c>
      <c r="R358" s="43" t="s">
        <v>316</v>
      </c>
      <c r="S358" s="125">
        <v>42527</v>
      </c>
      <c r="T358" s="117">
        <v>42583</v>
      </c>
      <c r="V358" s="43" t="s">
        <v>317</v>
      </c>
      <c r="X358" s="43" t="s">
        <v>318</v>
      </c>
      <c r="Y358" s="43" t="s">
        <v>361</v>
      </c>
      <c r="Z358" s="43" t="s">
        <v>320</v>
      </c>
      <c r="AA358" s="43" t="s">
        <v>353</v>
      </c>
      <c r="AB358" s="144">
        <v>3.7999998778104803E-2</v>
      </c>
      <c r="AC358" s="125">
        <v>42825</v>
      </c>
      <c r="AF358" s="43" t="s">
        <v>75</v>
      </c>
      <c r="AG358" s="43" t="s">
        <v>322</v>
      </c>
      <c r="AJ358" s="140">
        <v>1</v>
      </c>
      <c r="AK358" s="140">
        <v>0</v>
      </c>
      <c r="AL358" s="140">
        <v>0</v>
      </c>
      <c r="AM358" s="140">
        <v>0</v>
      </c>
      <c r="AN358" s="140">
        <v>0</v>
      </c>
      <c r="AO358" s="140">
        <v>0</v>
      </c>
      <c r="AP358" s="140">
        <v>-1</v>
      </c>
      <c r="AQ358" s="140">
        <v>1</v>
      </c>
      <c r="AR358" s="140">
        <v>0</v>
      </c>
      <c r="AS358" s="140">
        <v>0</v>
      </c>
      <c r="AT358" s="140">
        <v>0</v>
      </c>
      <c r="AU358" s="140">
        <v>0</v>
      </c>
      <c r="AV358" s="140">
        <v>0</v>
      </c>
      <c r="AW358" s="140">
        <v>0</v>
      </c>
      <c r="AX358" s="140">
        <v>0</v>
      </c>
      <c r="AY358" s="140">
        <v>0</v>
      </c>
      <c r="AZ358" s="140">
        <v>0</v>
      </c>
      <c r="BA358" s="140">
        <v>0</v>
      </c>
      <c r="BB358" s="140">
        <v>0</v>
      </c>
      <c r="BC358" s="140">
        <v>0</v>
      </c>
      <c r="BD358" s="140">
        <v>-1</v>
      </c>
      <c r="BE358" s="140">
        <v>1</v>
      </c>
      <c r="BF358" s="140">
        <v>0</v>
      </c>
      <c r="BG358" s="140">
        <v>0</v>
      </c>
      <c r="BH358" s="140">
        <v>0</v>
      </c>
      <c r="BI358" s="140">
        <v>0</v>
      </c>
      <c r="BJ358" s="140">
        <v>0</v>
      </c>
      <c r="BK358" s="140">
        <v>0</v>
      </c>
      <c r="BL358" s="140">
        <v>0</v>
      </c>
      <c r="BM358" s="140">
        <v>0</v>
      </c>
      <c r="BN358" s="140">
        <v>0</v>
      </c>
      <c r="BO358" s="140">
        <v>0</v>
      </c>
      <c r="BX358" s="43">
        <v>2</v>
      </c>
      <c r="BZ358" s="90">
        <f t="shared" si="29"/>
        <v>0</v>
      </c>
      <c r="CT358" s="90">
        <f t="shared" si="25"/>
        <v>0</v>
      </c>
      <c r="CU358" s="90">
        <f t="shared" si="26"/>
        <v>0</v>
      </c>
    </row>
    <row r="359" spans="1:99" ht="12" customHeight="1">
      <c r="A359" s="43">
        <v>6272</v>
      </c>
      <c r="B359" s="89" t="s">
        <v>813</v>
      </c>
      <c r="C359" s="89" t="s">
        <v>1209</v>
      </c>
      <c r="D359" s="89" t="s">
        <v>1210</v>
      </c>
      <c r="F359" s="43">
        <v>522345</v>
      </c>
      <c r="G359" s="43">
        <v>174051</v>
      </c>
      <c r="H359" s="89" t="s">
        <v>149</v>
      </c>
      <c r="I359" s="125">
        <v>43555</v>
      </c>
      <c r="K359" s="140">
        <v>0</v>
      </c>
      <c r="L359" s="140">
        <v>1</v>
      </c>
      <c r="M359" s="140">
        <v>1</v>
      </c>
      <c r="N359" s="140">
        <v>1</v>
      </c>
      <c r="O359" s="140">
        <v>1</v>
      </c>
      <c r="Q359" s="89" t="s">
        <v>1211</v>
      </c>
      <c r="R359" s="43" t="s">
        <v>316</v>
      </c>
      <c r="S359" s="125">
        <v>43356</v>
      </c>
      <c r="T359" s="117">
        <v>43397</v>
      </c>
      <c r="V359" s="43" t="s">
        <v>317</v>
      </c>
      <c r="X359" s="43" t="s">
        <v>318</v>
      </c>
      <c r="Y359" s="43" t="s">
        <v>348</v>
      </c>
      <c r="Z359" s="43" t="s">
        <v>320</v>
      </c>
      <c r="AA359" s="43" t="s">
        <v>27</v>
      </c>
      <c r="AB359" s="144">
        <v>1.4000000432133701E-2</v>
      </c>
      <c r="AC359" s="125">
        <v>43555</v>
      </c>
      <c r="AF359" s="43" t="s">
        <v>75</v>
      </c>
      <c r="AG359" s="43" t="s">
        <v>322</v>
      </c>
      <c r="AJ359" s="140">
        <v>0</v>
      </c>
      <c r="AK359" s="140">
        <v>0</v>
      </c>
      <c r="AL359" s="140">
        <v>0</v>
      </c>
      <c r="AM359" s="140">
        <v>0</v>
      </c>
      <c r="AN359" s="140">
        <v>0</v>
      </c>
      <c r="AO359" s="140">
        <v>0</v>
      </c>
      <c r="AP359" s="140">
        <v>0</v>
      </c>
      <c r="AQ359" s="140">
        <v>1</v>
      </c>
      <c r="AR359" s="140">
        <v>0</v>
      </c>
      <c r="AS359" s="140">
        <v>0</v>
      </c>
      <c r="AT359" s="140">
        <v>0</v>
      </c>
      <c r="AU359" s="140">
        <v>0</v>
      </c>
      <c r="AV359" s="140">
        <v>0</v>
      </c>
      <c r="AW359" s="140">
        <v>0</v>
      </c>
      <c r="AX359" s="140">
        <v>0</v>
      </c>
      <c r="AY359" s="140">
        <v>0</v>
      </c>
      <c r="AZ359" s="140">
        <v>0</v>
      </c>
      <c r="BA359" s="140">
        <v>0</v>
      </c>
      <c r="BB359" s="140">
        <v>0</v>
      </c>
      <c r="BC359" s="140">
        <v>0</v>
      </c>
      <c r="BD359" s="140">
        <v>0</v>
      </c>
      <c r="BE359" s="140">
        <v>1</v>
      </c>
      <c r="BF359" s="140">
        <v>0</v>
      </c>
      <c r="BG359" s="140">
        <v>0</v>
      </c>
      <c r="BH359" s="140">
        <v>0</v>
      </c>
      <c r="BI359" s="140">
        <v>0</v>
      </c>
      <c r="BJ359" s="140">
        <v>0</v>
      </c>
      <c r="BK359" s="140">
        <v>0</v>
      </c>
      <c r="BL359" s="140">
        <v>0</v>
      </c>
      <c r="BM359" s="140">
        <v>0</v>
      </c>
      <c r="BN359" s="140">
        <v>0</v>
      </c>
      <c r="BO359" s="140">
        <v>0</v>
      </c>
      <c r="BX359" s="43">
        <v>13</v>
      </c>
      <c r="BZ359" s="90">
        <f t="shared" si="29"/>
        <v>1</v>
      </c>
      <c r="CT359" s="90">
        <f t="shared" si="25"/>
        <v>1</v>
      </c>
      <c r="CU359" s="90">
        <f t="shared" si="26"/>
        <v>1</v>
      </c>
    </row>
    <row r="360" spans="1:99" ht="12" customHeight="1">
      <c r="A360" s="43">
        <v>6276</v>
      </c>
      <c r="B360" s="89" t="s">
        <v>813</v>
      </c>
      <c r="C360" s="89" t="s">
        <v>1212</v>
      </c>
      <c r="D360" s="89" t="s">
        <v>1213</v>
      </c>
      <c r="F360" s="43">
        <v>527521</v>
      </c>
      <c r="G360" s="43">
        <v>171508</v>
      </c>
      <c r="H360" s="89" t="s">
        <v>172</v>
      </c>
      <c r="I360" s="125">
        <v>43892</v>
      </c>
      <c r="K360" s="140">
        <v>0</v>
      </c>
      <c r="L360" s="140">
        <v>4</v>
      </c>
      <c r="M360" s="140">
        <v>4</v>
      </c>
      <c r="N360" s="140">
        <v>4</v>
      </c>
      <c r="O360" s="140">
        <v>4</v>
      </c>
      <c r="Q360" s="89" t="s">
        <v>1214</v>
      </c>
      <c r="R360" s="43" t="s">
        <v>316</v>
      </c>
      <c r="S360" s="125">
        <v>43451</v>
      </c>
      <c r="T360" s="117">
        <v>43613</v>
      </c>
      <c r="U360" s="43" t="s">
        <v>329</v>
      </c>
      <c r="V360" s="43" t="s">
        <v>317</v>
      </c>
      <c r="X360" s="43" t="s">
        <v>318</v>
      </c>
      <c r="Y360" s="43" t="s">
        <v>379</v>
      </c>
      <c r="Z360" s="43" t="s">
        <v>320</v>
      </c>
      <c r="AA360" s="43" t="s">
        <v>340</v>
      </c>
      <c r="AB360" s="144">
        <v>1.30000002682209E-2</v>
      </c>
      <c r="AC360" s="125">
        <v>43892</v>
      </c>
      <c r="AD360" s="43" t="s">
        <v>329</v>
      </c>
      <c r="AF360" s="43" t="s">
        <v>75</v>
      </c>
      <c r="AG360" s="43" t="s">
        <v>322</v>
      </c>
      <c r="AH360" s="43" t="s">
        <v>1022</v>
      </c>
      <c r="AJ360" s="140">
        <v>0</v>
      </c>
      <c r="AK360" s="140">
        <v>0</v>
      </c>
      <c r="AL360" s="140">
        <v>0</v>
      </c>
      <c r="AM360" s="140">
        <v>0</v>
      </c>
      <c r="AN360" s="140">
        <v>2</v>
      </c>
      <c r="AO360" s="140">
        <v>1</v>
      </c>
      <c r="AP360" s="140">
        <v>1</v>
      </c>
      <c r="AQ360" s="140">
        <v>0</v>
      </c>
      <c r="AR360" s="140">
        <v>0</v>
      </c>
      <c r="AS360" s="140">
        <v>0</v>
      </c>
      <c r="AT360" s="140">
        <v>0</v>
      </c>
      <c r="AU360" s="140">
        <v>2</v>
      </c>
      <c r="AV360" s="140">
        <v>1</v>
      </c>
      <c r="AW360" s="140">
        <v>1</v>
      </c>
      <c r="AX360" s="140">
        <v>0</v>
      </c>
      <c r="AY360" s="140">
        <v>0</v>
      </c>
      <c r="AZ360" s="140">
        <v>0</v>
      </c>
      <c r="BA360" s="140">
        <v>0</v>
      </c>
      <c r="BB360" s="140">
        <v>0</v>
      </c>
      <c r="BC360" s="140">
        <v>0</v>
      </c>
      <c r="BD360" s="140">
        <v>0</v>
      </c>
      <c r="BE360" s="140">
        <v>0</v>
      </c>
      <c r="BF360" s="140">
        <v>0</v>
      </c>
      <c r="BG360" s="140">
        <v>0</v>
      </c>
      <c r="BH360" s="140">
        <v>0</v>
      </c>
      <c r="BI360" s="140">
        <v>0</v>
      </c>
      <c r="BJ360" s="140">
        <v>0</v>
      </c>
      <c r="BK360" s="140">
        <v>0</v>
      </c>
      <c r="BL360" s="140">
        <v>0</v>
      </c>
      <c r="BM360" s="140">
        <v>0</v>
      </c>
      <c r="BN360" s="140">
        <v>0</v>
      </c>
      <c r="BO360" s="140">
        <v>0</v>
      </c>
      <c r="BP360" s="43" t="s">
        <v>141</v>
      </c>
      <c r="BX360" s="43">
        <v>14</v>
      </c>
      <c r="BZ360" s="90">
        <f>$M360/2</f>
        <v>2</v>
      </c>
      <c r="CA360" s="90">
        <f>$M360/2</f>
        <v>2</v>
      </c>
      <c r="CT360" s="90">
        <f t="shared" si="25"/>
        <v>4</v>
      </c>
      <c r="CU360" s="90">
        <f t="shared" si="26"/>
        <v>4</v>
      </c>
    </row>
    <row r="361" spans="1:99" ht="12" customHeight="1">
      <c r="A361" s="43">
        <v>6287</v>
      </c>
      <c r="B361" s="89" t="s">
        <v>813</v>
      </c>
      <c r="C361" s="89" t="s">
        <v>1215</v>
      </c>
      <c r="D361" s="89" t="s">
        <v>1216</v>
      </c>
      <c r="F361" s="43">
        <v>527271</v>
      </c>
      <c r="G361" s="43">
        <v>176566</v>
      </c>
      <c r="H361" s="89" t="s">
        <v>177</v>
      </c>
      <c r="I361" s="125">
        <v>43409</v>
      </c>
      <c r="K361" s="140">
        <v>1</v>
      </c>
      <c r="L361" s="140">
        <v>1</v>
      </c>
      <c r="M361" s="140">
        <v>0</v>
      </c>
      <c r="N361" s="140">
        <v>1</v>
      </c>
      <c r="O361" s="140">
        <v>0</v>
      </c>
      <c r="Q361" s="89" t="s">
        <v>1217</v>
      </c>
      <c r="R361" s="43" t="s">
        <v>316</v>
      </c>
      <c r="S361" s="125">
        <v>42544</v>
      </c>
      <c r="T361" s="117">
        <v>42723</v>
      </c>
      <c r="V361" s="43" t="s">
        <v>317</v>
      </c>
      <c r="X361" s="43" t="s">
        <v>318</v>
      </c>
      <c r="Y361" s="43" t="s">
        <v>319</v>
      </c>
      <c r="Z361" s="43" t="s">
        <v>320</v>
      </c>
      <c r="AA361" s="43" t="s">
        <v>353</v>
      </c>
      <c r="AB361" s="144">
        <v>2.8000000864267301E-2</v>
      </c>
      <c r="AC361" s="125">
        <v>43409</v>
      </c>
      <c r="AF361" s="43" t="s">
        <v>75</v>
      </c>
      <c r="AG361" s="43" t="s">
        <v>322</v>
      </c>
      <c r="AJ361" s="140">
        <v>1</v>
      </c>
      <c r="AK361" s="140">
        <v>0</v>
      </c>
      <c r="AL361" s="140">
        <v>0</v>
      </c>
      <c r="AM361" s="140">
        <v>0</v>
      </c>
      <c r="AN361" s="140">
        <v>0</v>
      </c>
      <c r="AO361" s="140">
        <v>0</v>
      </c>
      <c r="AP361" s="140">
        <v>0</v>
      </c>
      <c r="AQ361" s="140">
        <v>0</v>
      </c>
      <c r="AR361" s="140">
        <v>0</v>
      </c>
      <c r="AS361" s="140">
        <v>0</v>
      </c>
      <c r="AT361" s="140">
        <v>0</v>
      </c>
      <c r="AU361" s="140">
        <v>0</v>
      </c>
      <c r="AV361" s="140">
        <v>0</v>
      </c>
      <c r="AW361" s="140">
        <v>0</v>
      </c>
      <c r="AX361" s="140">
        <v>0</v>
      </c>
      <c r="AY361" s="140">
        <v>0</v>
      </c>
      <c r="AZ361" s="140">
        <v>0</v>
      </c>
      <c r="BA361" s="140">
        <v>0</v>
      </c>
      <c r="BB361" s="140">
        <v>0</v>
      </c>
      <c r="BC361" s="140">
        <v>0</v>
      </c>
      <c r="BD361" s="140">
        <v>0</v>
      </c>
      <c r="BE361" s="140">
        <v>0</v>
      </c>
      <c r="BF361" s="140">
        <v>0</v>
      </c>
      <c r="BG361" s="140">
        <v>0</v>
      </c>
      <c r="BH361" s="140">
        <v>0</v>
      </c>
      <c r="BI361" s="140">
        <v>0</v>
      </c>
      <c r="BJ361" s="140">
        <v>0</v>
      </c>
      <c r="BK361" s="140">
        <v>0</v>
      </c>
      <c r="BL361" s="140">
        <v>0</v>
      </c>
      <c r="BM361" s="140">
        <v>0</v>
      </c>
      <c r="BN361" s="140">
        <v>0</v>
      </c>
      <c r="BO361" s="140">
        <v>0</v>
      </c>
      <c r="BX361" s="43">
        <v>13</v>
      </c>
      <c r="BZ361" s="90">
        <f>M361</f>
        <v>0</v>
      </c>
      <c r="CT361" s="90">
        <f t="shared" si="25"/>
        <v>0</v>
      </c>
      <c r="CU361" s="90">
        <f t="shared" si="26"/>
        <v>0</v>
      </c>
    </row>
    <row r="362" spans="1:99" ht="12" customHeight="1">
      <c r="A362" s="43">
        <v>6291</v>
      </c>
      <c r="B362" s="89" t="s">
        <v>813</v>
      </c>
      <c r="C362" s="89" t="s">
        <v>1218</v>
      </c>
      <c r="D362" s="89" t="s">
        <v>1219</v>
      </c>
      <c r="F362" s="43">
        <v>525235</v>
      </c>
      <c r="G362" s="43">
        <v>173834</v>
      </c>
      <c r="H362" s="89" t="s">
        <v>176</v>
      </c>
      <c r="I362" s="125">
        <v>43206</v>
      </c>
      <c r="K362" s="140">
        <v>0</v>
      </c>
      <c r="L362" s="140">
        <v>2</v>
      </c>
      <c r="M362" s="140">
        <v>2</v>
      </c>
      <c r="N362" s="140">
        <v>2</v>
      </c>
      <c r="O362" s="140">
        <v>2</v>
      </c>
      <c r="Q362" s="89" t="s">
        <v>1220</v>
      </c>
      <c r="R362" s="43" t="s">
        <v>316</v>
      </c>
      <c r="S362" s="125">
        <v>42548</v>
      </c>
      <c r="T362" s="117">
        <v>42604</v>
      </c>
      <c r="V362" s="43" t="s">
        <v>317</v>
      </c>
      <c r="X362" s="43" t="s">
        <v>318</v>
      </c>
      <c r="Y362" s="43" t="s">
        <v>361</v>
      </c>
      <c r="Z362" s="43" t="s">
        <v>320</v>
      </c>
      <c r="AA362" s="43" t="s">
        <v>353</v>
      </c>
      <c r="AB362" s="144">
        <v>1.4000000432133701E-2</v>
      </c>
      <c r="AC362" s="125">
        <v>43206</v>
      </c>
      <c r="AF362" s="43" t="s">
        <v>75</v>
      </c>
      <c r="AG362" s="43" t="s">
        <v>322</v>
      </c>
      <c r="AJ362" s="140">
        <v>2</v>
      </c>
      <c r="AK362" s="140">
        <v>0</v>
      </c>
      <c r="AL362" s="140">
        <v>0</v>
      </c>
      <c r="AM362" s="140">
        <v>0</v>
      </c>
      <c r="AN362" s="140">
        <v>0</v>
      </c>
      <c r="AO362" s="140">
        <v>0</v>
      </c>
      <c r="AP362" s="140">
        <v>2</v>
      </c>
      <c r="AQ362" s="140">
        <v>0</v>
      </c>
      <c r="AR362" s="140">
        <v>0</v>
      </c>
      <c r="AS362" s="140">
        <v>0</v>
      </c>
      <c r="AT362" s="140">
        <v>0</v>
      </c>
      <c r="AU362" s="140">
        <v>0</v>
      </c>
      <c r="AV362" s="140">
        <v>0</v>
      </c>
      <c r="AW362" s="140">
        <v>2</v>
      </c>
      <c r="AX362" s="140">
        <v>0</v>
      </c>
      <c r="AY362" s="140">
        <v>0</v>
      </c>
      <c r="AZ362" s="140">
        <v>0</v>
      </c>
      <c r="BA362" s="140">
        <v>0</v>
      </c>
      <c r="BB362" s="140">
        <v>0</v>
      </c>
      <c r="BC362" s="140">
        <v>0</v>
      </c>
      <c r="BD362" s="140">
        <v>0</v>
      </c>
      <c r="BE362" s="140">
        <v>0</v>
      </c>
      <c r="BF362" s="140">
        <v>0</v>
      </c>
      <c r="BG362" s="140">
        <v>0</v>
      </c>
      <c r="BH362" s="140">
        <v>0</v>
      </c>
      <c r="BI362" s="140">
        <v>0</v>
      </c>
      <c r="BJ362" s="140">
        <v>0</v>
      </c>
      <c r="BK362" s="140">
        <v>0</v>
      </c>
      <c r="BL362" s="140">
        <v>0</v>
      </c>
      <c r="BM362" s="140">
        <v>0</v>
      </c>
      <c r="BN362" s="140">
        <v>0</v>
      </c>
      <c r="BO362" s="140">
        <v>0</v>
      </c>
      <c r="BX362" s="43">
        <v>2</v>
      </c>
      <c r="BZ362" s="90">
        <f>M362</f>
        <v>2</v>
      </c>
      <c r="CT362" s="90">
        <f t="shared" si="25"/>
        <v>2</v>
      </c>
      <c r="CU362" s="90">
        <f t="shared" si="26"/>
        <v>2</v>
      </c>
    </row>
    <row r="363" spans="1:99" ht="12" customHeight="1">
      <c r="A363" s="43">
        <v>6299</v>
      </c>
      <c r="B363" s="89" t="s">
        <v>813</v>
      </c>
      <c r="C363" s="89" t="s">
        <v>1221</v>
      </c>
      <c r="D363" s="89" t="s">
        <v>1222</v>
      </c>
      <c r="F363" s="43">
        <v>522733</v>
      </c>
      <c r="G363" s="43">
        <v>175277</v>
      </c>
      <c r="H363" s="89" t="s">
        <v>181</v>
      </c>
      <c r="I363" s="125">
        <v>43190</v>
      </c>
      <c r="K363" s="140">
        <v>1</v>
      </c>
      <c r="L363" s="140">
        <v>1</v>
      </c>
      <c r="M363" s="140">
        <v>0</v>
      </c>
      <c r="N363" s="140">
        <v>1</v>
      </c>
      <c r="O363" s="140">
        <v>0</v>
      </c>
      <c r="Q363" s="89" t="s">
        <v>1223</v>
      </c>
      <c r="R363" s="43" t="s">
        <v>316</v>
      </c>
      <c r="S363" s="125">
        <v>42556</v>
      </c>
      <c r="T363" s="117">
        <v>42669</v>
      </c>
      <c r="V363" s="43" t="s">
        <v>317</v>
      </c>
      <c r="X363" s="43" t="s">
        <v>318</v>
      </c>
      <c r="Y363" s="43" t="s">
        <v>361</v>
      </c>
      <c r="Z363" s="43" t="s">
        <v>320</v>
      </c>
      <c r="AA363" s="43" t="s">
        <v>353</v>
      </c>
      <c r="AB363" s="144">
        <v>3.5000000149011598E-2</v>
      </c>
      <c r="AC363" s="125">
        <v>43190</v>
      </c>
      <c r="AF363" s="43" t="s">
        <v>75</v>
      </c>
      <c r="AG363" s="43" t="s">
        <v>322</v>
      </c>
      <c r="AJ363" s="140">
        <v>1</v>
      </c>
      <c r="AK363" s="140">
        <v>0</v>
      </c>
      <c r="AL363" s="140">
        <v>0</v>
      </c>
      <c r="AM363" s="140">
        <v>0</v>
      </c>
      <c r="AN363" s="140">
        <v>0</v>
      </c>
      <c r="AO363" s="140">
        <v>0</v>
      </c>
      <c r="AP363" s="140">
        <v>0</v>
      </c>
      <c r="AQ363" s="140">
        <v>-1</v>
      </c>
      <c r="AR363" s="140">
        <v>0</v>
      </c>
      <c r="AS363" s="140">
        <v>1</v>
      </c>
      <c r="AT363" s="140">
        <v>0</v>
      </c>
      <c r="AU363" s="140">
        <v>0</v>
      </c>
      <c r="AV363" s="140">
        <v>0</v>
      </c>
      <c r="AW363" s="140">
        <v>0</v>
      </c>
      <c r="AX363" s="140">
        <v>0</v>
      </c>
      <c r="AY363" s="140">
        <v>0</v>
      </c>
      <c r="AZ363" s="140">
        <v>0</v>
      </c>
      <c r="BA363" s="140">
        <v>0</v>
      </c>
      <c r="BB363" s="140">
        <v>0</v>
      </c>
      <c r="BC363" s="140">
        <v>0</v>
      </c>
      <c r="BD363" s="140">
        <v>0</v>
      </c>
      <c r="BE363" s="140">
        <v>-1</v>
      </c>
      <c r="BF363" s="140">
        <v>0</v>
      </c>
      <c r="BG363" s="140">
        <v>1</v>
      </c>
      <c r="BH363" s="140">
        <v>0</v>
      </c>
      <c r="BI363" s="140">
        <v>0</v>
      </c>
      <c r="BJ363" s="140">
        <v>0</v>
      </c>
      <c r="BK363" s="140">
        <v>0</v>
      </c>
      <c r="BL363" s="140">
        <v>0</v>
      </c>
      <c r="BM363" s="140">
        <v>0</v>
      </c>
      <c r="BN363" s="140">
        <v>0</v>
      </c>
      <c r="BO363" s="140">
        <v>0</v>
      </c>
      <c r="BX363" s="43">
        <v>2</v>
      </c>
      <c r="BZ363" s="90">
        <f>M363</f>
        <v>0</v>
      </c>
      <c r="CT363" s="90">
        <f t="shared" si="25"/>
        <v>0</v>
      </c>
      <c r="CU363" s="90">
        <f t="shared" si="26"/>
        <v>0</v>
      </c>
    </row>
    <row r="364" spans="1:99" ht="12" customHeight="1">
      <c r="A364" s="43">
        <v>6311</v>
      </c>
      <c r="B364" s="89" t="s">
        <v>813</v>
      </c>
      <c r="C364" s="89" t="s">
        <v>1224</v>
      </c>
      <c r="D364" s="89" t="s">
        <v>1225</v>
      </c>
      <c r="F364" s="43">
        <v>527604</v>
      </c>
      <c r="G364" s="43">
        <v>172607</v>
      </c>
      <c r="H364" s="89" t="s">
        <v>173</v>
      </c>
      <c r="I364" s="125">
        <v>43047</v>
      </c>
      <c r="K364" s="140">
        <v>4</v>
      </c>
      <c r="L364" s="140">
        <v>1</v>
      </c>
      <c r="M364" s="140">
        <v>-3</v>
      </c>
      <c r="N364" s="140">
        <v>1</v>
      </c>
      <c r="O364" s="140">
        <v>-3</v>
      </c>
      <c r="Q364" s="89" t="s">
        <v>1226</v>
      </c>
      <c r="R364" s="43" t="s">
        <v>316</v>
      </c>
      <c r="S364" s="125">
        <v>42670</v>
      </c>
      <c r="T364" s="117">
        <v>42725</v>
      </c>
      <c r="V364" s="43" t="s">
        <v>317</v>
      </c>
      <c r="X364" s="43" t="s">
        <v>318</v>
      </c>
      <c r="Y364" s="43" t="s">
        <v>348</v>
      </c>
      <c r="Z364" s="43" t="s">
        <v>320</v>
      </c>
      <c r="AA364" s="43" t="s">
        <v>22</v>
      </c>
      <c r="AB364" s="144">
        <v>2.8000000864267301E-2</v>
      </c>
      <c r="AC364" s="125">
        <v>43047</v>
      </c>
      <c r="AF364" s="43" t="s">
        <v>75</v>
      </c>
      <c r="AG364" s="43" t="s">
        <v>322</v>
      </c>
      <c r="AJ364" s="140">
        <v>0</v>
      </c>
      <c r="AK364" s="140">
        <v>0</v>
      </c>
      <c r="AL364" s="140">
        <v>0</v>
      </c>
      <c r="AM364" s="140">
        <v>0</v>
      </c>
      <c r="AN364" s="140">
        <v>0</v>
      </c>
      <c r="AO364" s="140">
        <v>-2</v>
      </c>
      <c r="AP364" s="140">
        <v>-2</v>
      </c>
      <c r="AQ364" s="140">
        <v>0</v>
      </c>
      <c r="AR364" s="140">
        <v>0</v>
      </c>
      <c r="AS364" s="140">
        <v>1</v>
      </c>
      <c r="AT364" s="140">
        <v>0</v>
      </c>
      <c r="AU364" s="140">
        <v>0</v>
      </c>
      <c r="AV364" s="140">
        <v>-2</v>
      </c>
      <c r="AW364" s="140">
        <v>-2</v>
      </c>
      <c r="AX364" s="140">
        <v>0</v>
      </c>
      <c r="AY364" s="140">
        <v>0</v>
      </c>
      <c r="AZ364" s="140">
        <v>0</v>
      </c>
      <c r="BA364" s="140">
        <v>0</v>
      </c>
      <c r="BB364" s="140">
        <v>0</v>
      </c>
      <c r="BC364" s="140">
        <v>0</v>
      </c>
      <c r="BD364" s="140">
        <v>0</v>
      </c>
      <c r="BE364" s="140">
        <v>0</v>
      </c>
      <c r="BF364" s="140">
        <v>0</v>
      </c>
      <c r="BG364" s="140">
        <v>1</v>
      </c>
      <c r="BH364" s="140">
        <v>0</v>
      </c>
      <c r="BI364" s="140">
        <v>0</v>
      </c>
      <c r="BJ364" s="140">
        <v>0</v>
      </c>
      <c r="BK364" s="140">
        <v>0</v>
      </c>
      <c r="BL364" s="140">
        <v>0</v>
      </c>
      <c r="BM364" s="140">
        <v>0</v>
      </c>
      <c r="BN364" s="140">
        <v>0</v>
      </c>
      <c r="BO364" s="140">
        <v>0</v>
      </c>
      <c r="BX364" s="43">
        <v>13</v>
      </c>
      <c r="BZ364" s="90">
        <f>M364</f>
        <v>-3</v>
      </c>
      <c r="CT364" s="90">
        <f t="shared" si="25"/>
        <v>-3</v>
      </c>
      <c r="CU364" s="90">
        <f t="shared" si="26"/>
        <v>-3</v>
      </c>
    </row>
    <row r="365" spans="1:99" ht="12" customHeight="1">
      <c r="A365" s="43">
        <v>6348</v>
      </c>
      <c r="B365" s="89" t="s">
        <v>813</v>
      </c>
      <c r="C365" s="89" t="s">
        <v>1227</v>
      </c>
      <c r="D365" s="89" t="s">
        <v>1228</v>
      </c>
      <c r="F365" s="43">
        <v>525098</v>
      </c>
      <c r="G365" s="43">
        <v>174608</v>
      </c>
      <c r="H365" s="89" t="s">
        <v>169</v>
      </c>
      <c r="I365" s="125">
        <v>43921</v>
      </c>
      <c r="K365" s="140">
        <v>0</v>
      </c>
      <c r="L365" s="140">
        <v>5</v>
      </c>
      <c r="M365" s="140">
        <v>5</v>
      </c>
      <c r="N365" s="140">
        <v>5</v>
      </c>
      <c r="O365" s="140">
        <v>5</v>
      </c>
      <c r="Q365" s="89" t="s">
        <v>1229</v>
      </c>
      <c r="R365" s="43" t="s">
        <v>316</v>
      </c>
      <c r="S365" s="125">
        <v>42710</v>
      </c>
      <c r="T365" s="117">
        <v>42766</v>
      </c>
      <c r="V365" s="43" t="s">
        <v>317</v>
      </c>
      <c r="X365" s="43" t="s">
        <v>318</v>
      </c>
      <c r="Y365" s="43" t="s">
        <v>319</v>
      </c>
      <c r="Z365" s="43" t="s">
        <v>320</v>
      </c>
      <c r="AA365" s="43" t="s">
        <v>30</v>
      </c>
      <c r="AB365" s="144">
        <v>3.5000000149011598E-2</v>
      </c>
      <c r="AC365" s="125">
        <v>43921</v>
      </c>
      <c r="AD365" s="43" t="s">
        <v>329</v>
      </c>
      <c r="AF365" s="43" t="s">
        <v>75</v>
      </c>
      <c r="AG365" s="43" t="s">
        <v>322</v>
      </c>
      <c r="AJ365" s="140">
        <v>0</v>
      </c>
      <c r="AK365" s="140">
        <v>0</v>
      </c>
      <c r="AL365" s="140">
        <v>0</v>
      </c>
      <c r="AM365" s="140">
        <v>0</v>
      </c>
      <c r="AN365" s="140">
        <v>0</v>
      </c>
      <c r="AO365" s="140">
        <v>1</v>
      </c>
      <c r="AP365" s="140">
        <v>4</v>
      </c>
      <c r="AQ365" s="140">
        <v>0</v>
      </c>
      <c r="AR365" s="140">
        <v>0</v>
      </c>
      <c r="AS365" s="140">
        <v>0</v>
      </c>
      <c r="AT365" s="140">
        <v>0</v>
      </c>
      <c r="AU365" s="140">
        <v>0</v>
      </c>
      <c r="AV365" s="140">
        <v>1</v>
      </c>
      <c r="AW365" s="140">
        <v>4</v>
      </c>
      <c r="AX365" s="140">
        <v>0</v>
      </c>
      <c r="AY365" s="140">
        <v>0</v>
      </c>
      <c r="AZ365" s="140">
        <v>0</v>
      </c>
      <c r="BA365" s="140">
        <v>0</v>
      </c>
      <c r="BB365" s="140">
        <v>0</v>
      </c>
      <c r="BC365" s="140">
        <v>0</v>
      </c>
      <c r="BD365" s="140">
        <v>0</v>
      </c>
      <c r="BE365" s="140">
        <v>0</v>
      </c>
      <c r="BF365" s="140">
        <v>0</v>
      </c>
      <c r="BG365" s="140">
        <v>0</v>
      </c>
      <c r="BH365" s="140">
        <v>0</v>
      </c>
      <c r="BI365" s="140">
        <v>0</v>
      </c>
      <c r="BJ365" s="140">
        <v>0</v>
      </c>
      <c r="BK365" s="140">
        <v>0</v>
      </c>
      <c r="BL365" s="140">
        <v>0</v>
      </c>
      <c r="BM365" s="140">
        <v>0</v>
      </c>
      <c r="BN365" s="140">
        <v>0</v>
      </c>
      <c r="BO365" s="140">
        <v>0</v>
      </c>
      <c r="BX365" s="43">
        <v>14</v>
      </c>
      <c r="BZ365" s="90">
        <f>$M365/2</f>
        <v>2.5</v>
      </c>
      <c r="CA365" s="90">
        <f>$M365/2</f>
        <v>2.5</v>
      </c>
      <c r="CT365" s="90">
        <f t="shared" si="25"/>
        <v>5</v>
      </c>
      <c r="CU365" s="90">
        <f t="shared" si="26"/>
        <v>5</v>
      </c>
    </row>
    <row r="366" spans="1:99" ht="12" customHeight="1">
      <c r="A366" s="43">
        <v>6349</v>
      </c>
      <c r="B366" s="89" t="s">
        <v>813</v>
      </c>
      <c r="C366" s="89" t="s">
        <v>1230</v>
      </c>
      <c r="D366" s="89" t="s">
        <v>1231</v>
      </c>
      <c r="F366" s="43">
        <v>527506</v>
      </c>
      <c r="G366" s="43">
        <v>171531</v>
      </c>
      <c r="H366" s="89" t="s">
        <v>172</v>
      </c>
      <c r="I366" s="125">
        <v>43921</v>
      </c>
      <c r="K366" s="140">
        <v>1</v>
      </c>
      <c r="L366" s="140">
        <v>3</v>
      </c>
      <c r="M366" s="140">
        <v>2</v>
      </c>
      <c r="N366" s="140">
        <v>3</v>
      </c>
      <c r="O366" s="140">
        <v>2</v>
      </c>
      <c r="Q366" s="89" t="s">
        <v>1232</v>
      </c>
      <c r="R366" s="43" t="s">
        <v>316</v>
      </c>
      <c r="S366" s="125">
        <v>42600</v>
      </c>
      <c r="T366" s="117">
        <v>42656</v>
      </c>
      <c r="V366" s="43" t="s">
        <v>317</v>
      </c>
      <c r="X366" s="43" t="s">
        <v>318</v>
      </c>
      <c r="Y366" s="43" t="s">
        <v>319</v>
      </c>
      <c r="Z366" s="43" t="s">
        <v>320</v>
      </c>
      <c r="AA366" s="43" t="s">
        <v>321</v>
      </c>
      <c r="AB366" s="144">
        <v>8.0000003799796104E-3</v>
      </c>
      <c r="AC366" s="125">
        <v>43921</v>
      </c>
      <c r="AD366" s="43" t="s">
        <v>329</v>
      </c>
      <c r="AF366" s="43" t="s">
        <v>75</v>
      </c>
      <c r="AG366" s="43" t="s">
        <v>322</v>
      </c>
      <c r="AH366" s="43" t="s">
        <v>1022</v>
      </c>
      <c r="AJ366" s="140">
        <v>0</v>
      </c>
      <c r="AK366" s="140">
        <v>0</v>
      </c>
      <c r="AL366" s="140">
        <v>0</v>
      </c>
      <c r="AM366" s="140">
        <v>0</v>
      </c>
      <c r="AN366" s="140">
        <v>0</v>
      </c>
      <c r="AO366" s="140">
        <v>3</v>
      </c>
      <c r="AP366" s="140">
        <v>0</v>
      </c>
      <c r="AQ366" s="140">
        <v>-1</v>
      </c>
      <c r="AR366" s="140">
        <v>0</v>
      </c>
      <c r="AS366" s="140">
        <v>0</v>
      </c>
      <c r="AT366" s="140">
        <v>0</v>
      </c>
      <c r="AU366" s="140">
        <v>0</v>
      </c>
      <c r="AV366" s="140">
        <v>3</v>
      </c>
      <c r="AW366" s="140">
        <v>0</v>
      </c>
      <c r="AX366" s="140">
        <v>-1</v>
      </c>
      <c r="AY366" s="140">
        <v>0</v>
      </c>
      <c r="AZ366" s="140">
        <v>0</v>
      </c>
      <c r="BA366" s="140">
        <v>0</v>
      </c>
      <c r="BB366" s="140">
        <v>0</v>
      </c>
      <c r="BC366" s="140">
        <v>0</v>
      </c>
      <c r="BD366" s="140">
        <v>0</v>
      </c>
      <c r="BE366" s="140">
        <v>0</v>
      </c>
      <c r="BF366" s="140">
        <v>0</v>
      </c>
      <c r="BG366" s="140">
        <v>0</v>
      </c>
      <c r="BH366" s="140">
        <v>0</v>
      </c>
      <c r="BI366" s="140">
        <v>0</v>
      </c>
      <c r="BJ366" s="140">
        <v>0</v>
      </c>
      <c r="BK366" s="140">
        <v>0</v>
      </c>
      <c r="BL366" s="140">
        <v>0</v>
      </c>
      <c r="BM366" s="140">
        <v>0</v>
      </c>
      <c r="BN366" s="140">
        <v>0</v>
      </c>
      <c r="BO366" s="140">
        <v>0</v>
      </c>
      <c r="BP366" s="43" t="s">
        <v>141</v>
      </c>
      <c r="BX366" s="43">
        <v>14</v>
      </c>
      <c r="BZ366" s="90">
        <f>$M366/2</f>
        <v>1</v>
      </c>
      <c r="CA366" s="90">
        <f>$M366/2</f>
        <v>1</v>
      </c>
      <c r="CT366" s="90">
        <f t="shared" si="25"/>
        <v>2</v>
      </c>
      <c r="CU366" s="90">
        <f t="shared" si="26"/>
        <v>2</v>
      </c>
    </row>
    <row r="367" spans="1:99" ht="12" customHeight="1">
      <c r="A367" s="43">
        <v>6371</v>
      </c>
      <c r="B367" s="89" t="s">
        <v>813</v>
      </c>
      <c r="C367" s="89" t="s">
        <v>1233</v>
      </c>
      <c r="D367" s="89" t="s">
        <v>603</v>
      </c>
      <c r="F367" s="43">
        <v>525949</v>
      </c>
      <c r="G367" s="43">
        <v>174999</v>
      </c>
      <c r="H367" s="89" t="s">
        <v>170</v>
      </c>
      <c r="I367" s="125">
        <v>43190</v>
      </c>
      <c r="K367" s="140">
        <v>0</v>
      </c>
      <c r="L367" s="140">
        <v>1</v>
      </c>
      <c r="M367" s="140">
        <v>1</v>
      </c>
      <c r="N367" s="140">
        <v>1</v>
      </c>
      <c r="O367" s="140">
        <v>1</v>
      </c>
      <c r="Q367" s="89" t="s">
        <v>1234</v>
      </c>
      <c r="R367" s="43" t="s">
        <v>620</v>
      </c>
      <c r="S367" s="125">
        <v>42683</v>
      </c>
      <c r="T367" s="117">
        <v>42739</v>
      </c>
      <c r="V367" s="43" t="s">
        <v>317</v>
      </c>
      <c r="X367" s="43" t="s">
        <v>318</v>
      </c>
      <c r="Y367" s="43" t="s">
        <v>336</v>
      </c>
      <c r="Z367" s="43" t="s">
        <v>320</v>
      </c>
      <c r="AA367" s="43" t="s">
        <v>33</v>
      </c>
      <c r="AB367" s="144">
        <v>7.0000002160668399E-3</v>
      </c>
      <c r="AC367" s="125">
        <v>43190</v>
      </c>
      <c r="AF367" s="43" t="s">
        <v>75</v>
      </c>
      <c r="AG367" s="43" t="s">
        <v>322</v>
      </c>
      <c r="AJ367" s="140">
        <v>0</v>
      </c>
      <c r="AK367" s="140">
        <v>0</v>
      </c>
      <c r="AL367" s="140">
        <v>0</v>
      </c>
      <c r="AM367" s="140">
        <v>0</v>
      </c>
      <c r="AN367" s="140">
        <v>0</v>
      </c>
      <c r="AO367" s="140">
        <v>1</v>
      </c>
      <c r="AP367" s="140">
        <v>0</v>
      </c>
      <c r="AQ367" s="140">
        <v>0</v>
      </c>
      <c r="AR367" s="140">
        <v>0</v>
      </c>
      <c r="AS367" s="140">
        <v>0</v>
      </c>
      <c r="AT367" s="140">
        <v>0</v>
      </c>
      <c r="AU367" s="140">
        <v>0</v>
      </c>
      <c r="AV367" s="140">
        <v>1</v>
      </c>
      <c r="AW367" s="140">
        <v>0</v>
      </c>
      <c r="AX367" s="140">
        <v>0</v>
      </c>
      <c r="AY367" s="140">
        <v>0</v>
      </c>
      <c r="AZ367" s="140">
        <v>0</v>
      </c>
      <c r="BA367" s="140">
        <v>0</v>
      </c>
      <c r="BB367" s="140">
        <v>0</v>
      </c>
      <c r="BC367" s="140">
        <v>0</v>
      </c>
      <c r="BD367" s="140">
        <v>0</v>
      </c>
      <c r="BE367" s="140">
        <v>0</v>
      </c>
      <c r="BF367" s="140">
        <v>0</v>
      </c>
      <c r="BG367" s="140">
        <v>0</v>
      </c>
      <c r="BH367" s="140">
        <v>0</v>
      </c>
      <c r="BI367" s="140">
        <v>0</v>
      </c>
      <c r="BJ367" s="140">
        <v>0</v>
      </c>
      <c r="BK367" s="140">
        <v>0</v>
      </c>
      <c r="BL367" s="140">
        <v>0</v>
      </c>
      <c r="BM367" s="140">
        <v>0</v>
      </c>
      <c r="BN367" s="140">
        <v>0</v>
      </c>
      <c r="BO367" s="140">
        <v>0</v>
      </c>
      <c r="BX367" s="43">
        <v>13</v>
      </c>
      <c r="BZ367" s="90">
        <f>M367</f>
        <v>1</v>
      </c>
      <c r="CT367" s="90">
        <f t="shared" si="25"/>
        <v>1</v>
      </c>
      <c r="CU367" s="90">
        <f t="shared" si="26"/>
        <v>1</v>
      </c>
    </row>
    <row r="368" spans="1:99" ht="12" customHeight="1">
      <c r="A368" s="43">
        <v>6373</v>
      </c>
      <c r="B368" s="89" t="s">
        <v>813</v>
      </c>
      <c r="C368" s="89" t="s">
        <v>1235</v>
      </c>
      <c r="D368" s="89" t="s">
        <v>1236</v>
      </c>
      <c r="F368" s="43">
        <v>527327</v>
      </c>
      <c r="G368" s="43">
        <v>175384</v>
      </c>
      <c r="H368" s="89" t="s">
        <v>174</v>
      </c>
      <c r="I368" s="125">
        <v>43555</v>
      </c>
      <c r="K368" s="140">
        <v>0</v>
      </c>
      <c r="L368" s="140">
        <v>35</v>
      </c>
      <c r="M368" s="140">
        <v>35</v>
      </c>
      <c r="N368" s="140">
        <v>35</v>
      </c>
      <c r="O368" s="140">
        <v>35</v>
      </c>
      <c r="P368" s="43" t="s">
        <v>329</v>
      </c>
      <c r="Q368" s="89" t="s">
        <v>1237</v>
      </c>
      <c r="R368" s="43" t="s">
        <v>443</v>
      </c>
      <c r="S368" s="125">
        <v>42716</v>
      </c>
      <c r="T368" s="117">
        <v>42772</v>
      </c>
      <c r="V368" s="43" t="s">
        <v>317</v>
      </c>
      <c r="X368" s="43" t="s">
        <v>318</v>
      </c>
      <c r="Y368" s="43" t="s">
        <v>336</v>
      </c>
      <c r="Z368" s="43" t="s">
        <v>320</v>
      </c>
      <c r="AA368" s="43" t="s">
        <v>33</v>
      </c>
      <c r="AB368" s="144">
        <v>0.144999995827675</v>
      </c>
      <c r="AC368" s="125">
        <v>43555</v>
      </c>
      <c r="AF368" s="43" t="s">
        <v>75</v>
      </c>
      <c r="AG368" s="43" t="s">
        <v>322</v>
      </c>
      <c r="AJ368" s="140">
        <v>0</v>
      </c>
      <c r="AK368" s="140">
        <v>0</v>
      </c>
      <c r="AL368" s="140">
        <v>0</v>
      </c>
      <c r="AM368" s="140">
        <v>0</v>
      </c>
      <c r="AN368" s="140">
        <v>0</v>
      </c>
      <c r="AO368" s="140">
        <v>32</v>
      </c>
      <c r="AP368" s="140">
        <v>3</v>
      </c>
      <c r="AQ368" s="140">
        <v>0</v>
      </c>
      <c r="AR368" s="140">
        <v>0</v>
      </c>
      <c r="AS368" s="140">
        <v>0</v>
      </c>
      <c r="AT368" s="140">
        <v>0</v>
      </c>
      <c r="AU368" s="140">
        <v>0</v>
      </c>
      <c r="AV368" s="140">
        <v>32</v>
      </c>
      <c r="AW368" s="140">
        <v>3</v>
      </c>
      <c r="AX368" s="140">
        <v>0</v>
      </c>
      <c r="AY368" s="140">
        <v>0</v>
      </c>
      <c r="AZ368" s="140">
        <v>0</v>
      </c>
      <c r="BA368" s="140">
        <v>0</v>
      </c>
      <c r="BB368" s="140">
        <v>0</v>
      </c>
      <c r="BC368" s="140">
        <v>0</v>
      </c>
      <c r="BD368" s="140">
        <v>0</v>
      </c>
      <c r="BE368" s="140">
        <v>0</v>
      </c>
      <c r="BF368" s="140">
        <v>0</v>
      </c>
      <c r="BG368" s="140">
        <v>0</v>
      </c>
      <c r="BH368" s="140">
        <v>0</v>
      </c>
      <c r="BI368" s="140">
        <v>0</v>
      </c>
      <c r="BJ368" s="140">
        <v>0</v>
      </c>
      <c r="BK368" s="140">
        <v>0</v>
      </c>
      <c r="BL368" s="140">
        <v>0</v>
      </c>
      <c r="BM368" s="140">
        <v>0</v>
      </c>
      <c r="BN368" s="140">
        <v>0</v>
      </c>
      <c r="BO368" s="140">
        <v>0</v>
      </c>
      <c r="BP368" s="43" t="s">
        <v>139</v>
      </c>
      <c r="BX368" s="43">
        <v>13</v>
      </c>
      <c r="BZ368" s="90">
        <f>M368</f>
        <v>35</v>
      </c>
      <c r="CT368" s="90">
        <f t="shared" si="25"/>
        <v>35</v>
      </c>
      <c r="CU368" s="90">
        <f t="shared" si="26"/>
        <v>35</v>
      </c>
    </row>
    <row r="369" spans="1:99" ht="12" customHeight="1">
      <c r="A369" s="43">
        <v>6375</v>
      </c>
      <c r="B369" s="89" t="s">
        <v>813</v>
      </c>
      <c r="C369" s="89" t="s">
        <v>1238</v>
      </c>
      <c r="D369" s="89" t="s">
        <v>1239</v>
      </c>
      <c r="F369" s="43">
        <v>523565</v>
      </c>
      <c r="G369" s="43">
        <v>175816</v>
      </c>
      <c r="H369" s="89" t="s">
        <v>178</v>
      </c>
      <c r="I369" s="125">
        <v>42983</v>
      </c>
      <c r="K369" s="140">
        <v>1</v>
      </c>
      <c r="L369" s="140">
        <v>2</v>
      </c>
      <c r="M369" s="140">
        <v>1</v>
      </c>
      <c r="N369" s="140">
        <v>2</v>
      </c>
      <c r="O369" s="140">
        <v>1</v>
      </c>
      <c r="Q369" s="89" t="s">
        <v>1240</v>
      </c>
      <c r="R369" s="43" t="s">
        <v>803</v>
      </c>
      <c r="S369" s="125">
        <v>42583</v>
      </c>
      <c r="T369" s="117">
        <v>42660</v>
      </c>
      <c r="V369" s="43" t="s">
        <v>317</v>
      </c>
      <c r="X369" s="43" t="s">
        <v>318</v>
      </c>
      <c r="Y369" s="43" t="s">
        <v>336</v>
      </c>
      <c r="Z369" s="43" t="s">
        <v>320</v>
      </c>
      <c r="AA369" s="43" t="s">
        <v>27</v>
      </c>
      <c r="AB369" s="144">
        <v>7.0000002160668399E-3</v>
      </c>
      <c r="AC369" s="125">
        <v>42983</v>
      </c>
      <c r="AF369" s="43" t="s">
        <v>75</v>
      </c>
      <c r="AG369" s="43" t="s">
        <v>322</v>
      </c>
      <c r="AJ369" s="140">
        <v>0</v>
      </c>
      <c r="AK369" s="140">
        <v>0</v>
      </c>
      <c r="AL369" s="140">
        <v>0</v>
      </c>
      <c r="AM369" s="140">
        <v>0</v>
      </c>
      <c r="AN369" s="140">
        <v>0</v>
      </c>
      <c r="AO369" s="140">
        <v>0</v>
      </c>
      <c r="AP369" s="140">
        <v>2</v>
      </c>
      <c r="AQ369" s="140">
        <v>0</v>
      </c>
      <c r="AR369" s="140">
        <v>0</v>
      </c>
      <c r="AS369" s="140">
        <v>-1</v>
      </c>
      <c r="AT369" s="140">
        <v>0</v>
      </c>
      <c r="AU369" s="140">
        <v>0</v>
      </c>
      <c r="AV369" s="140">
        <v>0</v>
      </c>
      <c r="AW369" s="140">
        <v>2</v>
      </c>
      <c r="AX369" s="140">
        <v>0</v>
      </c>
      <c r="AY369" s="140">
        <v>0</v>
      </c>
      <c r="AZ369" s="140">
        <v>-1</v>
      </c>
      <c r="BA369" s="140">
        <v>0</v>
      </c>
      <c r="BB369" s="140">
        <v>0</v>
      </c>
      <c r="BC369" s="140">
        <v>0</v>
      </c>
      <c r="BD369" s="140">
        <v>0</v>
      </c>
      <c r="BE369" s="140">
        <v>0</v>
      </c>
      <c r="BF369" s="140">
        <v>0</v>
      </c>
      <c r="BG369" s="140">
        <v>0</v>
      </c>
      <c r="BH369" s="140">
        <v>0</v>
      </c>
      <c r="BI369" s="140">
        <v>0</v>
      </c>
      <c r="BJ369" s="140">
        <v>0</v>
      </c>
      <c r="BK369" s="140">
        <v>0</v>
      </c>
      <c r="BL369" s="140">
        <v>0</v>
      </c>
      <c r="BM369" s="140">
        <v>0</v>
      </c>
      <c r="BN369" s="140">
        <v>0</v>
      </c>
      <c r="BO369" s="140">
        <v>0</v>
      </c>
      <c r="BX369" s="43">
        <v>13</v>
      </c>
      <c r="BZ369" s="90">
        <f>M369</f>
        <v>1</v>
      </c>
      <c r="CT369" s="90">
        <f t="shared" si="25"/>
        <v>1</v>
      </c>
      <c r="CU369" s="90">
        <f t="shared" si="26"/>
        <v>1</v>
      </c>
    </row>
    <row r="370" spans="1:99" ht="12" customHeight="1">
      <c r="A370" s="43">
        <v>6403</v>
      </c>
      <c r="B370" s="89" t="s">
        <v>813</v>
      </c>
      <c r="C370" s="89" t="s">
        <v>1241</v>
      </c>
      <c r="D370" s="89" t="s">
        <v>1242</v>
      </c>
      <c r="F370" s="43">
        <v>523845</v>
      </c>
      <c r="G370" s="43">
        <v>174877</v>
      </c>
      <c r="H370" s="89" t="s">
        <v>169</v>
      </c>
      <c r="I370" s="125">
        <v>43921</v>
      </c>
      <c r="K370" s="140">
        <v>2</v>
      </c>
      <c r="L370" s="140">
        <v>2</v>
      </c>
      <c r="M370" s="140">
        <v>0</v>
      </c>
      <c r="N370" s="140">
        <v>2</v>
      </c>
      <c r="O370" s="140">
        <v>0</v>
      </c>
      <c r="Q370" s="89" t="s">
        <v>1243</v>
      </c>
      <c r="R370" s="43" t="s">
        <v>316</v>
      </c>
      <c r="S370" s="125">
        <v>42661</v>
      </c>
      <c r="T370" s="117">
        <v>42753</v>
      </c>
      <c r="V370" s="43" t="s">
        <v>317</v>
      </c>
      <c r="X370" s="43" t="s">
        <v>318</v>
      </c>
      <c r="Y370" s="43" t="s">
        <v>361</v>
      </c>
      <c r="Z370" s="43" t="s">
        <v>320</v>
      </c>
      <c r="AA370" s="43" t="s">
        <v>353</v>
      </c>
      <c r="AB370" s="144">
        <v>0.10199999809265101</v>
      </c>
      <c r="AC370" s="125">
        <v>43921</v>
      </c>
      <c r="AD370" s="43" t="s">
        <v>329</v>
      </c>
      <c r="AF370" s="43" t="s">
        <v>75</v>
      </c>
      <c r="AG370" s="43" t="s">
        <v>322</v>
      </c>
      <c r="AJ370" s="140">
        <v>0</v>
      </c>
      <c r="AK370" s="140">
        <v>0</v>
      </c>
      <c r="AL370" s="140">
        <v>2</v>
      </c>
      <c r="AM370" s="140">
        <v>0</v>
      </c>
      <c r="AN370" s="140">
        <v>0</v>
      </c>
      <c r="AO370" s="140">
        <v>0</v>
      </c>
      <c r="AP370" s="140">
        <v>0</v>
      </c>
      <c r="AQ370" s="140">
        <v>-1</v>
      </c>
      <c r="AR370" s="140">
        <v>1</v>
      </c>
      <c r="AS370" s="140">
        <v>0</v>
      </c>
      <c r="AT370" s="140">
        <v>0</v>
      </c>
      <c r="AU370" s="140">
        <v>0</v>
      </c>
      <c r="AV370" s="140">
        <v>0</v>
      </c>
      <c r="AW370" s="140">
        <v>0</v>
      </c>
      <c r="AX370" s="140">
        <v>0</v>
      </c>
      <c r="AY370" s="140">
        <v>0</v>
      </c>
      <c r="AZ370" s="140">
        <v>0</v>
      </c>
      <c r="BA370" s="140">
        <v>0</v>
      </c>
      <c r="BB370" s="140">
        <v>0</v>
      </c>
      <c r="BC370" s="140">
        <v>0</v>
      </c>
      <c r="BD370" s="140">
        <v>0</v>
      </c>
      <c r="BE370" s="140">
        <v>-1</v>
      </c>
      <c r="BF370" s="140">
        <v>1</v>
      </c>
      <c r="BG370" s="140">
        <v>0</v>
      </c>
      <c r="BH370" s="140">
        <v>0</v>
      </c>
      <c r="BI370" s="140">
        <v>0</v>
      </c>
      <c r="BJ370" s="140">
        <v>0</v>
      </c>
      <c r="BK370" s="140">
        <v>0</v>
      </c>
      <c r="BL370" s="140">
        <v>0</v>
      </c>
      <c r="BM370" s="140">
        <v>0</v>
      </c>
      <c r="BN370" s="140">
        <v>0</v>
      </c>
      <c r="BO370" s="140">
        <v>0</v>
      </c>
      <c r="BX370" s="43">
        <v>3</v>
      </c>
      <c r="BZ370" s="90">
        <f>$M370/2</f>
        <v>0</v>
      </c>
      <c r="CA370" s="90">
        <f>$M370/2</f>
        <v>0</v>
      </c>
      <c r="CT370" s="90">
        <f t="shared" si="25"/>
        <v>0</v>
      </c>
      <c r="CU370" s="90">
        <f t="shared" si="26"/>
        <v>0</v>
      </c>
    </row>
    <row r="371" spans="1:99" ht="12" customHeight="1">
      <c r="A371" s="43">
        <v>6404</v>
      </c>
      <c r="B371" s="89" t="s">
        <v>813</v>
      </c>
      <c r="C371" s="89" t="s">
        <v>1244</v>
      </c>
      <c r="D371" s="89" t="s">
        <v>1245</v>
      </c>
      <c r="F371" s="43">
        <v>526552</v>
      </c>
      <c r="G371" s="43">
        <v>172073</v>
      </c>
      <c r="H371" s="89" t="s">
        <v>168</v>
      </c>
      <c r="I371" s="125">
        <v>43423</v>
      </c>
      <c r="K371" s="140">
        <v>1</v>
      </c>
      <c r="L371" s="140">
        <v>10</v>
      </c>
      <c r="M371" s="140">
        <v>9</v>
      </c>
      <c r="N371" s="140">
        <v>10</v>
      </c>
      <c r="O371" s="140">
        <v>9</v>
      </c>
      <c r="P371" s="43" t="s">
        <v>329</v>
      </c>
      <c r="Q371" s="89" t="s">
        <v>1246</v>
      </c>
      <c r="R371" s="43" t="s">
        <v>392</v>
      </c>
      <c r="S371" s="125">
        <v>42933</v>
      </c>
      <c r="T371" s="117">
        <v>43250</v>
      </c>
      <c r="V371" s="43" t="s">
        <v>317</v>
      </c>
      <c r="X371" s="43" t="s">
        <v>318</v>
      </c>
      <c r="Y371" s="43" t="s">
        <v>361</v>
      </c>
      <c r="Z371" s="43" t="s">
        <v>361</v>
      </c>
      <c r="AA371" s="43" t="s">
        <v>320</v>
      </c>
      <c r="AB371" s="144">
        <v>1.7999999225139601E-2</v>
      </c>
      <c r="AC371" s="125">
        <v>43423</v>
      </c>
      <c r="AF371" s="43" t="s">
        <v>75</v>
      </c>
      <c r="AG371" s="43" t="s">
        <v>322</v>
      </c>
      <c r="AJ371" s="140">
        <v>0</v>
      </c>
      <c r="AK371" s="140">
        <v>3</v>
      </c>
      <c r="AL371" s="140">
        <v>0</v>
      </c>
      <c r="AM371" s="140">
        <v>1</v>
      </c>
      <c r="AN371" s="140">
        <v>0</v>
      </c>
      <c r="AO371" s="140">
        <v>4</v>
      </c>
      <c r="AP371" s="140">
        <v>5</v>
      </c>
      <c r="AQ371" s="140">
        <v>0</v>
      </c>
      <c r="AR371" s="140">
        <v>0</v>
      </c>
      <c r="AS371" s="140">
        <v>0</v>
      </c>
      <c r="AT371" s="140">
        <v>0</v>
      </c>
      <c r="AU371" s="140">
        <v>0</v>
      </c>
      <c r="AV371" s="140">
        <v>4</v>
      </c>
      <c r="AW371" s="140">
        <v>6</v>
      </c>
      <c r="AX371" s="140">
        <v>0</v>
      </c>
      <c r="AY371" s="140">
        <v>0</v>
      </c>
      <c r="AZ371" s="140">
        <v>0</v>
      </c>
      <c r="BA371" s="140">
        <v>0</v>
      </c>
      <c r="BB371" s="140">
        <v>0</v>
      </c>
      <c r="BC371" s="140">
        <v>0</v>
      </c>
      <c r="BD371" s="140">
        <v>-1</v>
      </c>
      <c r="BE371" s="140">
        <v>0</v>
      </c>
      <c r="BF371" s="140">
        <v>0</v>
      </c>
      <c r="BG371" s="140">
        <v>0</v>
      </c>
      <c r="BH371" s="140">
        <v>0</v>
      </c>
      <c r="BI371" s="140">
        <v>0</v>
      </c>
      <c r="BJ371" s="140">
        <v>0</v>
      </c>
      <c r="BK371" s="140">
        <v>0</v>
      </c>
      <c r="BL371" s="140">
        <v>0</v>
      </c>
      <c r="BM371" s="140">
        <v>0</v>
      </c>
      <c r="BN371" s="140">
        <v>0</v>
      </c>
      <c r="BO371" s="140">
        <v>0</v>
      </c>
      <c r="BX371" s="43">
        <v>2</v>
      </c>
      <c r="BZ371" s="90">
        <f>M371</f>
        <v>9</v>
      </c>
      <c r="CT371" s="90">
        <f t="shared" si="25"/>
        <v>9</v>
      </c>
      <c r="CU371" s="90">
        <f t="shared" si="26"/>
        <v>9</v>
      </c>
    </row>
    <row r="372" spans="1:99" ht="12" customHeight="1">
      <c r="A372" s="43">
        <v>6419</v>
      </c>
      <c r="B372" s="89" t="s">
        <v>813</v>
      </c>
      <c r="C372" s="89" t="s">
        <v>1247</v>
      </c>
      <c r="D372" s="89" t="s">
        <v>1248</v>
      </c>
      <c r="F372" s="43">
        <v>527130</v>
      </c>
      <c r="G372" s="43">
        <v>176085</v>
      </c>
      <c r="H372" s="89" t="s">
        <v>147</v>
      </c>
      <c r="I372" s="125">
        <v>43752</v>
      </c>
      <c r="K372" s="140">
        <v>0</v>
      </c>
      <c r="L372" s="140">
        <v>25</v>
      </c>
      <c r="M372" s="140">
        <v>25</v>
      </c>
      <c r="N372" s="140">
        <v>25</v>
      </c>
      <c r="O372" s="140">
        <v>25</v>
      </c>
      <c r="P372" s="43" t="s">
        <v>329</v>
      </c>
      <c r="Q372" s="89" t="s">
        <v>1249</v>
      </c>
      <c r="R372" s="43" t="s">
        <v>392</v>
      </c>
      <c r="S372" s="125">
        <v>42472</v>
      </c>
      <c r="T372" s="117">
        <v>42790</v>
      </c>
      <c r="V372" s="43" t="s">
        <v>317</v>
      </c>
      <c r="X372" s="43" t="s">
        <v>318</v>
      </c>
      <c r="Y372" s="43" t="s">
        <v>361</v>
      </c>
      <c r="Z372" s="43" t="s">
        <v>361</v>
      </c>
      <c r="AA372" s="43" t="s">
        <v>320</v>
      </c>
      <c r="AB372" s="144">
        <v>7.1000002324581105E-2</v>
      </c>
      <c r="AC372" s="125">
        <v>43752</v>
      </c>
      <c r="AD372" s="43" t="s">
        <v>329</v>
      </c>
      <c r="AF372" s="43" t="s">
        <v>75</v>
      </c>
      <c r="AG372" s="43" t="s">
        <v>322</v>
      </c>
      <c r="AJ372" s="140">
        <v>3</v>
      </c>
      <c r="AK372" s="140">
        <v>0</v>
      </c>
      <c r="AL372" s="140">
        <v>25</v>
      </c>
      <c r="AM372" s="140">
        <v>0</v>
      </c>
      <c r="AN372" s="140">
        <v>0</v>
      </c>
      <c r="AO372" s="140">
        <v>8</v>
      </c>
      <c r="AP372" s="140">
        <v>13</v>
      </c>
      <c r="AQ372" s="140">
        <v>4</v>
      </c>
      <c r="AR372" s="140">
        <v>0</v>
      </c>
      <c r="AS372" s="140">
        <v>0</v>
      </c>
      <c r="AT372" s="140">
        <v>0</v>
      </c>
      <c r="AU372" s="140">
        <v>0</v>
      </c>
      <c r="AV372" s="140">
        <v>8</v>
      </c>
      <c r="AW372" s="140">
        <v>13</v>
      </c>
      <c r="AX372" s="140">
        <v>4</v>
      </c>
      <c r="AY372" s="140">
        <v>0</v>
      </c>
      <c r="AZ372" s="140">
        <v>0</v>
      </c>
      <c r="BA372" s="140">
        <v>0</v>
      </c>
      <c r="BB372" s="140">
        <v>0</v>
      </c>
      <c r="BC372" s="140">
        <v>0</v>
      </c>
      <c r="BD372" s="140">
        <v>0</v>
      </c>
      <c r="BE372" s="140">
        <v>0</v>
      </c>
      <c r="BF372" s="140">
        <v>0</v>
      </c>
      <c r="BG372" s="140">
        <v>0</v>
      </c>
      <c r="BH372" s="140">
        <v>0</v>
      </c>
      <c r="BI372" s="140">
        <v>0</v>
      </c>
      <c r="BJ372" s="140">
        <v>0</v>
      </c>
      <c r="BK372" s="140">
        <v>0</v>
      </c>
      <c r="BL372" s="140">
        <v>0</v>
      </c>
      <c r="BM372" s="140">
        <v>0</v>
      </c>
      <c r="BN372" s="140">
        <v>0</v>
      </c>
      <c r="BO372" s="140">
        <v>0</v>
      </c>
      <c r="BX372" s="43">
        <v>5</v>
      </c>
      <c r="CA372" s="90">
        <f>$M372/4</f>
        <v>6.25</v>
      </c>
      <c r="CB372" s="90">
        <f>$M372/4</f>
        <v>6.25</v>
      </c>
      <c r="CC372" s="90">
        <f>$M372/4</f>
        <v>6.25</v>
      </c>
      <c r="CD372" s="90">
        <f>$M372/4</f>
        <v>6.25</v>
      </c>
      <c r="CT372" s="90">
        <f t="shared" si="25"/>
        <v>25</v>
      </c>
      <c r="CU372" s="90">
        <f t="shared" si="26"/>
        <v>25</v>
      </c>
    </row>
    <row r="373" spans="1:99" ht="12" customHeight="1">
      <c r="A373" s="43">
        <v>6426</v>
      </c>
      <c r="B373" s="89" t="s">
        <v>813</v>
      </c>
      <c r="C373" s="89" t="s">
        <v>1250</v>
      </c>
      <c r="D373" s="89" t="s">
        <v>1251</v>
      </c>
      <c r="F373" s="43">
        <v>527111</v>
      </c>
      <c r="G373" s="43">
        <v>170959</v>
      </c>
      <c r="H373" s="89" t="s">
        <v>141</v>
      </c>
      <c r="I373" s="125">
        <v>43656</v>
      </c>
      <c r="K373" s="140">
        <v>0</v>
      </c>
      <c r="L373" s="140">
        <v>2</v>
      </c>
      <c r="M373" s="140">
        <v>2</v>
      </c>
      <c r="N373" s="140">
        <v>2</v>
      </c>
      <c r="O373" s="140">
        <v>2</v>
      </c>
      <c r="Q373" s="89" t="s">
        <v>1252</v>
      </c>
      <c r="R373" s="43" t="s">
        <v>316</v>
      </c>
      <c r="S373" s="125">
        <v>42859</v>
      </c>
      <c r="T373" s="117">
        <v>42944</v>
      </c>
      <c r="V373" s="43" t="s">
        <v>317</v>
      </c>
      <c r="X373" s="43" t="s">
        <v>318</v>
      </c>
      <c r="Y373" s="43" t="s">
        <v>319</v>
      </c>
      <c r="Z373" s="43" t="s">
        <v>320</v>
      </c>
      <c r="AA373" s="43" t="s">
        <v>33</v>
      </c>
      <c r="AB373" s="144">
        <v>2.0000000949949E-3</v>
      </c>
      <c r="AC373" s="125">
        <v>43656</v>
      </c>
      <c r="AD373" s="43" t="s">
        <v>329</v>
      </c>
      <c r="AF373" s="43" t="s">
        <v>75</v>
      </c>
      <c r="AG373" s="43" t="s">
        <v>322</v>
      </c>
      <c r="AJ373" s="140">
        <v>0</v>
      </c>
      <c r="AK373" s="140">
        <v>0</v>
      </c>
      <c r="AL373" s="140">
        <v>0</v>
      </c>
      <c r="AM373" s="140">
        <v>0</v>
      </c>
      <c r="AN373" s="140">
        <v>0</v>
      </c>
      <c r="AO373" s="140">
        <v>2</v>
      </c>
      <c r="AP373" s="140">
        <v>0</v>
      </c>
      <c r="AQ373" s="140">
        <v>0</v>
      </c>
      <c r="AR373" s="140">
        <v>0</v>
      </c>
      <c r="AS373" s="140">
        <v>0</v>
      </c>
      <c r="AT373" s="140">
        <v>0</v>
      </c>
      <c r="AU373" s="140">
        <v>0</v>
      </c>
      <c r="AV373" s="140">
        <v>2</v>
      </c>
      <c r="AW373" s="140">
        <v>0</v>
      </c>
      <c r="AX373" s="140">
        <v>0</v>
      </c>
      <c r="AY373" s="140">
        <v>0</v>
      </c>
      <c r="AZ373" s="140">
        <v>0</v>
      </c>
      <c r="BA373" s="140">
        <v>0</v>
      </c>
      <c r="BB373" s="140">
        <v>0</v>
      </c>
      <c r="BC373" s="140">
        <v>0</v>
      </c>
      <c r="BD373" s="140">
        <v>0</v>
      </c>
      <c r="BE373" s="140">
        <v>0</v>
      </c>
      <c r="BF373" s="140">
        <v>0</v>
      </c>
      <c r="BG373" s="140">
        <v>0</v>
      </c>
      <c r="BH373" s="140">
        <v>0</v>
      </c>
      <c r="BI373" s="140">
        <v>0</v>
      </c>
      <c r="BJ373" s="140">
        <v>0</v>
      </c>
      <c r="BK373" s="140">
        <v>0</v>
      </c>
      <c r="BL373" s="140">
        <v>0</v>
      </c>
      <c r="BM373" s="140">
        <v>0</v>
      </c>
      <c r="BN373" s="140">
        <v>0</v>
      </c>
      <c r="BO373" s="140">
        <v>0</v>
      </c>
      <c r="BX373" s="43">
        <v>13</v>
      </c>
      <c r="BZ373" s="90">
        <f t="shared" ref="BZ373:BZ380" si="30">M373</f>
        <v>2</v>
      </c>
      <c r="CT373" s="90">
        <f t="shared" si="25"/>
        <v>2</v>
      </c>
      <c r="CU373" s="90">
        <f t="shared" si="26"/>
        <v>2</v>
      </c>
    </row>
    <row r="374" spans="1:99" ht="12" customHeight="1">
      <c r="A374" s="43">
        <v>6443</v>
      </c>
      <c r="B374" s="89" t="s">
        <v>813</v>
      </c>
      <c r="C374" s="89" t="s">
        <v>1253</v>
      </c>
      <c r="D374" s="89" t="s">
        <v>1254</v>
      </c>
      <c r="F374" s="43">
        <v>522012</v>
      </c>
      <c r="G374" s="43">
        <v>172337</v>
      </c>
      <c r="H374" s="89" t="s">
        <v>149</v>
      </c>
      <c r="I374" s="125">
        <v>43340</v>
      </c>
      <c r="K374" s="140">
        <v>0</v>
      </c>
      <c r="L374" s="140">
        <v>11</v>
      </c>
      <c r="M374" s="140">
        <v>11</v>
      </c>
      <c r="N374" s="140">
        <v>21</v>
      </c>
      <c r="O374" s="140">
        <v>21</v>
      </c>
      <c r="P374" s="43" t="s">
        <v>329</v>
      </c>
      <c r="Q374" s="89" t="s">
        <v>1255</v>
      </c>
      <c r="R374" s="43" t="s">
        <v>316</v>
      </c>
      <c r="S374" s="125">
        <v>42650</v>
      </c>
      <c r="T374" s="117">
        <v>42719</v>
      </c>
      <c r="V374" s="43" t="s">
        <v>317</v>
      </c>
      <c r="X374" s="43" t="s">
        <v>318</v>
      </c>
      <c r="Y374" s="43" t="s">
        <v>361</v>
      </c>
      <c r="Z374" s="43" t="s">
        <v>361</v>
      </c>
      <c r="AA374" s="43" t="s">
        <v>320</v>
      </c>
      <c r="AB374" s="144">
        <v>9.0999998152255998E-2</v>
      </c>
      <c r="AC374" s="125">
        <v>43340</v>
      </c>
      <c r="AF374" s="43" t="s">
        <v>55</v>
      </c>
      <c r="AG374" s="43" t="s">
        <v>438</v>
      </c>
      <c r="AJ374" s="140">
        <v>11</v>
      </c>
      <c r="AK374" s="140">
        <v>0</v>
      </c>
      <c r="AL374" s="140">
        <v>6</v>
      </c>
      <c r="AM374" s="140">
        <v>0</v>
      </c>
      <c r="AN374" s="140">
        <v>0</v>
      </c>
      <c r="AO374" s="140">
        <v>4</v>
      </c>
      <c r="AP374" s="140">
        <v>7</v>
      </c>
      <c r="AQ374" s="140">
        <v>0</v>
      </c>
      <c r="AR374" s="140">
        <v>0</v>
      </c>
      <c r="AS374" s="140">
        <v>0</v>
      </c>
      <c r="AT374" s="140">
        <v>0</v>
      </c>
      <c r="AU374" s="140">
        <v>0</v>
      </c>
      <c r="AV374" s="140">
        <v>4</v>
      </c>
      <c r="AW374" s="140">
        <v>7</v>
      </c>
      <c r="AX374" s="140">
        <v>0</v>
      </c>
      <c r="AY374" s="140">
        <v>0</v>
      </c>
      <c r="AZ374" s="140">
        <v>0</v>
      </c>
      <c r="BA374" s="140">
        <v>0</v>
      </c>
      <c r="BB374" s="140">
        <v>0</v>
      </c>
      <c r="BC374" s="140">
        <v>0</v>
      </c>
      <c r="BD374" s="140">
        <v>0</v>
      </c>
      <c r="BE374" s="140">
        <v>0</v>
      </c>
      <c r="BF374" s="140">
        <v>0</v>
      </c>
      <c r="BG374" s="140">
        <v>0</v>
      </c>
      <c r="BH374" s="140">
        <v>0</v>
      </c>
      <c r="BI374" s="140">
        <v>0</v>
      </c>
      <c r="BJ374" s="140">
        <v>0</v>
      </c>
      <c r="BK374" s="140">
        <v>0</v>
      </c>
      <c r="BL374" s="140">
        <v>0</v>
      </c>
      <c r="BM374" s="140">
        <v>0</v>
      </c>
      <c r="BN374" s="140">
        <v>0</v>
      </c>
      <c r="BO374" s="140">
        <v>0</v>
      </c>
      <c r="BX374" s="43">
        <v>4</v>
      </c>
      <c r="BZ374" s="90">
        <f t="shared" si="30"/>
        <v>11</v>
      </c>
      <c r="CT374" s="90">
        <f t="shared" si="25"/>
        <v>11</v>
      </c>
      <c r="CU374" s="90">
        <f t="shared" si="26"/>
        <v>11</v>
      </c>
    </row>
    <row r="375" spans="1:99" ht="12" customHeight="1">
      <c r="A375" s="43">
        <v>6443</v>
      </c>
      <c r="B375" s="89" t="s">
        <v>813</v>
      </c>
      <c r="C375" s="89" t="s">
        <v>1253</v>
      </c>
      <c r="D375" s="89" t="s">
        <v>1254</v>
      </c>
      <c r="F375" s="43">
        <v>522012</v>
      </c>
      <c r="G375" s="43">
        <v>172337</v>
      </c>
      <c r="H375" s="89" t="s">
        <v>149</v>
      </c>
      <c r="I375" s="125">
        <v>43340</v>
      </c>
      <c r="K375" s="140">
        <v>0</v>
      </c>
      <c r="L375" s="140">
        <v>10</v>
      </c>
      <c r="M375" s="140">
        <v>10</v>
      </c>
      <c r="N375" s="140">
        <v>21</v>
      </c>
      <c r="O375" s="140">
        <v>21</v>
      </c>
      <c r="P375" s="43" t="s">
        <v>329</v>
      </c>
      <c r="Q375" s="89" t="s">
        <v>1255</v>
      </c>
      <c r="R375" s="43" t="s">
        <v>316</v>
      </c>
      <c r="S375" s="125">
        <v>42650</v>
      </c>
      <c r="T375" s="117">
        <v>42719</v>
      </c>
      <c r="V375" s="43" t="s">
        <v>317</v>
      </c>
      <c r="X375" s="43" t="s">
        <v>318</v>
      </c>
      <c r="Y375" s="43" t="s">
        <v>361</v>
      </c>
      <c r="Z375" s="43" t="s">
        <v>361</v>
      </c>
      <c r="AA375" s="43" t="s">
        <v>320</v>
      </c>
      <c r="AB375" s="144">
        <v>3.9000000804662698E-2</v>
      </c>
      <c r="AC375" s="125">
        <v>43340</v>
      </c>
      <c r="AF375" s="43" t="s">
        <v>55</v>
      </c>
      <c r="AG375" s="43" t="s">
        <v>438</v>
      </c>
      <c r="AJ375" s="140">
        <v>10</v>
      </c>
      <c r="AK375" s="140">
        <v>0</v>
      </c>
      <c r="AL375" s="140">
        <v>6</v>
      </c>
      <c r="AM375" s="140">
        <v>0</v>
      </c>
      <c r="AN375" s="140">
        <v>0</v>
      </c>
      <c r="AO375" s="140">
        <v>10</v>
      </c>
      <c r="AP375" s="140">
        <v>0</v>
      </c>
      <c r="AQ375" s="140">
        <v>0</v>
      </c>
      <c r="AR375" s="140">
        <v>0</v>
      </c>
      <c r="AS375" s="140">
        <v>0</v>
      </c>
      <c r="AT375" s="140">
        <v>0</v>
      </c>
      <c r="AU375" s="140">
        <v>0</v>
      </c>
      <c r="AV375" s="140">
        <v>10</v>
      </c>
      <c r="AW375" s="140">
        <v>0</v>
      </c>
      <c r="AX375" s="140">
        <v>0</v>
      </c>
      <c r="AY375" s="140">
        <v>0</v>
      </c>
      <c r="AZ375" s="140">
        <v>0</v>
      </c>
      <c r="BA375" s="140">
        <v>0</v>
      </c>
      <c r="BB375" s="140">
        <v>0</v>
      </c>
      <c r="BC375" s="140">
        <v>0</v>
      </c>
      <c r="BD375" s="140">
        <v>0</v>
      </c>
      <c r="BE375" s="140">
        <v>0</v>
      </c>
      <c r="BF375" s="140">
        <v>0</v>
      </c>
      <c r="BG375" s="140">
        <v>0</v>
      </c>
      <c r="BH375" s="140">
        <v>0</v>
      </c>
      <c r="BI375" s="140">
        <v>0</v>
      </c>
      <c r="BJ375" s="140">
        <v>0</v>
      </c>
      <c r="BK375" s="140">
        <v>0</v>
      </c>
      <c r="BL375" s="140">
        <v>0</v>
      </c>
      <c r="BM375" s="140">
        <v>0</v>
      </c>
      <c r="BN375" s="140">
        <v>0</v>
      </c>
      <c r="BO375" s="140">
        <v>0</v>
      </c>
      <c r="BX375" s="43">
        <v>4</v>
      </c>
      <c r="BZ375" s="90">
        <f t="shared" si="30"/>
        <v>10</v>
      </c>
      <c r="CT375" s="90">
        <f t="shared" si="25"/>
        <v>10</v>
      </c>
      <c r="CU375" s="90">
        <f t="shared" si="26"/>
        <v>10</v>
      </c>
    </row>
    <row r="376" spans="1:99" ht="12" customHeight="1">
      <c r="A376" s="43">
        <v>6479</v>
      </c>
      <c r="B376" s="89" t="s">
        <v>813</v>
      </c>
      <c r="C376" s="89" t="s">
        <v>1256</v>
      </c>
      <c r="D376" s="89" t="s">
        <v>1257</v>
      </c>
      <c r="F376" s="43">
        <v>528125</v>
      </c>
      <c r="G376" s="43">
        <v>175809</v>
      </c>
      <c r="H376" s="89" t="s">
        <v>175</v>
      </c>
      <c r="I376" s="125">
        <v>43570</v>
      </c>
      <c r="K376" s="140">
        <v>0</v>
      </c>
      <c r="L376" s="140">
        <v>18</v>
      </c>
      <c r="M376" s="140">
        <v>18</v>
      </c>
      <c r="N376" s="140">
        <v>18</v>
      </c>
      <c r="O376" s="140">
        <v>18</v>
      </c>
      <c r="P376" s="43" t="s">
        <v>329</v>
      </c>
      <c r="Q376" s="89" t="s">
        <v>1258</v>
      </c>
      <c r="R376" s="43" t="s">
        <v>316</v>
      </c>
      <c r="S376" s="125">
        <v>42643</v>
      </c>
      <c r="T376" s="117">
        <v>42761</v>
      </c>
      <c r="V376" s="43" t="s">
        <v>317</v>
      </c>
      <c r="X376" s="43" t="s">
        <v>318</v>
      </c>
      <c r="Y376" s="43" t="s">
        <v>361</v>
      </c>
      <c r="Z376" s="43" t="s">
        <v>361</v>
      </c>
      <c r="AA376" s="43" t="s">
        <v>320</v>
      </c>
      <c r="AB376" s="144">
        <v>0.40000000596046398</v>
      </c>
      <c r="AC376" s="125">
        <v>43570</v>
      </c>
      <c r="AD376" s="43" t="s">
        <v>329</v>
      </c>
      <c r="AF376" s="43" t="s">
        <v>55</v>
      </c>
      <c r="AG376" s="43" t="s">
        <v>438</v>
      </c>
      <c r="AJ376" s="140">
        <v>16</v>
      </c>
      <c r="AK376" s="140">
        <v>0</v>
      </c>
      <c r="AL376" s="140">
        <v>2</v>
      </c>
      <c r="AM376" s="140">
        <v>0</v>
      </c>
      <c r="AN376" s="140">
        <v>0</v>
      </c>
      <c r="AO376" s="140">
        <v>4</v>
      </c>
      <c r="AP376" s="140">
        <v>11</v>
      </c>
      <c r="AQ376" s="140">
        <v>0</v>
      </c>
      <c r="AR376" s="140">
        <v>1</v>
      </c>
      <c r="AS376" s="140">
        <v>2</v>
      </c>
      <c r="AT376" s="140">
        <v>0</v>
      </c>
      <c r="AU376" s="140">
        <v>0</v>
      </c>
      <c r="AV376" s="140">
        <v>4</v>
      </c>
      <c r="AW376" s="140">
        <v>11</v>
      </c>
      <c r="AX376" s="140">
        <v>0</v>
      </c>
      <c r="AY376" s="140">
        <v>0</v>
      </c>
      <c r="AZ376" s="140">
        <v>0</v>
      </c>
      <c r="BA376" s="140">
        <v>0</v>
      </c>
      <c r="BB376" s="140">
        <v>0</v>
      </c>
      <c r="BC376" s="140">
        <v>0</v>
      </c>
      <c r="BD376" s="140">
        <v>0</v>
      </c>
      <c r="BE376" s="140">
        <v>0</v>
      </c>
      <c r="BF376" s="140">
        <v>1</v>
      </c>
      <c r="BG376" s="140">
        <v>2</v>
      </c>
      <c r="BH376" s="140">
        <v>0</v>
      </c>
      <c r="BI376" s="140">
        <v>0</v>
      </c>
      <c r="BJ376" s="140">
        <v>0</v>
      </c>
      <c r="BK376" s="140">
        <v>0</v>
      </c>
      <c r="BL376" s="140">
        <v>0</v>
      </c>
      <c r="BM376" s="140">
        <v>0</v>
      </c>
      <c r="BN376" s="140">
        <v>0</v>
      </c>
      <c r="BO376" s="140">
        <v>0</v>
      </c>
      <c r="BX376" s="43">
        <v>2</v>
      </c>
      <c r="BZ376" s="90">
        <f t="shared" si="30"/>
        <v>18</v>
      </c>
      <c r="CT376" s="90">
        <f t="shared" si="25"/>
        <v>18</v>
      </c>
      <c r="CU376" s="90">
        <f t="shared" si="26"/>
        <v>18</v>
      </c>
    </row>
    <row r="377" spans="1:99" ht="12" customHeight="1">
      <c r="A377" s="43">
        <v>6480</v>
      </c>
      <c r="B377" s="89" t="s">
        <v>813</v>
      </c>
      <c r="C377" s="89" t="s">
        <v>1259</v>
      </c>
      <c r="D377" s="89" t="s">
        <v>1260</v>
      </c>
      <c r="F377" s="43">
        <v>528205</v>
      </c>
      <c r="G377" s="43">
        <v>175735</v>
      </c>
      <c r="H377" s="89" t="s">
        <v>175</v>
      </c>
      <c r="I377" s="125">
        <v>43556</v>
      </c>
      <c r="K377" s="140">
        <v>0</v>
      </c>
      <c r="L377" s="140">
        <v>4</v>
      </c>
      <c r="M377" s="140">
        <v>4</v>
      </c>
      <c r="N377" s="140">
        <v>4</v>
      </c>
      <c r="O377" s="140">
        <v>4</v>
      </c>
      <c r="Q377" s="89" t="s">
        <v>1261</v>
      </c>
      <c r="R377" s="43" t="s">
        <v>316</v>
      </c>
      <c r="S377" s="125">
        <v>42643</v>
      </c>
      <c r="T377" s="117">
        <v>42761</v>
      </c>
      <c r="V377" s="43" t="s">
        <v>317</v>
      </c>
      <c r="X377" s="43" t="s">
        <v>318</v>
      </c>
      <c r="Y377" s="43" t="s">
        <v>361</v>
      </c>
      <c r="Z377" s="43" t="s">
        <v>320</v>
      </c>
      <c r="AA377" s="43" t="s">
        <v>353</v>
      </c>
      <c r="AB377" s="144">
        <v>6.1999998986720997E-2</v>
      </c>
      <c r="AC377" s="125">
        <v>43556</v>
      </c>
      <c r="AD377" s="43" t="s">
        <v>329</v>
      </c>
      <c r="AF377" s="43" t="s">
        <v>55</v>
      </c>
      <c r="AG377" s="43" t="s">
        <v>438</v>
      </c>
      <c r="AJ377" s="140">
        <v>1</v>
      </c>
      <c r="AK377" s="140">
        <v>0</v>
      </c>
      <c r="AL377" s="140">
        <v>3</v>
      </c>
      <c r="AM377" s="140">
        <v>0</v>
      </c>
      <c r="AN377" s="140">
        <v>0</v>
      </c>
      <c r="AO377" s="140">
        <v>2</v>
      </c>
      <c r="AP377" s="140">
        <v>1</v>
      </c>
      <c r="AQ377" s="140">
        <v>1</v>
      </c>
      <c r="AR377" s="140">
        <v>0</v>
      </c>
      <c r="AS377" s="140">
        <v>0</v>
      </c>
      <c r="AT377" s="140">
        <v>0</v>
      </c>
      <c r="AU377" s="140">
        <v>0</v>
      </c>
      <c r="AV377" s="140">
        <v>2</v>
      </c>
      <c r="AW377" s="140">
        <v>1</v>
      </c>
      <c r="AX377" s="140">
        <v>0</v>
      </c>
      <c r="AY377" s="140">
        <v>0</v>
      </c>
      <c r="AZ377" s="140">
        <v>0</v>
      </c>
      <c r="BA377" s="140">
        <v>0</v>
      </c>
      <c r="BB377" s="140">
        <v>0</v>
      </c>
      <c r="BC377" s="140">
        <v>0</v>
      </c>
      <c r="BD377" s="140">
        <v>0</v>
      </c>
      <c r="BE377" s="140">
        <v>1</v>
      </c>
      <c r="BF377" s="140">
        <v>0</v>
      </c>
      <c r="BG377" s="140">
        <v>0</v>
      </c>
      <c r="BH377" s="140">
        <v>0</v>
      </c>
      <c r="BI377" s="140">
        <v>0</v>
      </c>
      <c r="BJ377" s="140">
        <v>0</v>
      </c>
      <c r="BK377" s="140">
        <v>0</v>
      </c>
      <c r="BL377" s="140">
        <v>0</v>
      </c>
      <c r="BM377" s="140">
        <v>0</v>
      </c>
      <c r="BN377" s="140">
        <v>0</v>
      </c>
      <c r="BO377" s="140">
        <v>0</v>
      </c>
      <c r="BX377" s="43">
        <v>2</v>
      </c>
      <c r="BZ377" s="90">
        <f t="shared" si="30"/>
        <v>4</v>
      </c>
      <c r="CT377" s="90">
        <f t="shared" si="25"/>
        <v>4</v>
      </c>
      <c r="CU377" s="90">
        <f t="shared" si="26"/>
        <v>4</v>
      </c>
    </row>
    <row r="378" spans="1:99" ht="12" customHeight="1">
      <c r="A378" s="43">
        <v>6491</v>
      </c>
      <c r="B378" s="89" t="s">
        <v>813</v>
      </c>
      <c r="C378" s="89" t="s">
        <v>1262</v>
      </c>
      <c r="D378" s="89" t="s">
        <v>1263</v>
      </c>
      <c r="F378" s="43">
        <v>529359</v>
      </c>
      <c r="G378" s="43">
        <v>171414</v>
      </c>
      <c r="H378" s="89" t="s">
        <v>171</v>
      </c>
      <c r="I378" s="125">
        <v>43717</v>
      </c>
      <c r="K378" s="140">
        <v>0</v>
      </c>
      <c r="L378" s="140">
        <v>3</v>
      </c>
      <c r="M378" s="140">
        <v>3</v>
      </c>
      <c r="N378" s="140">
        <v>3</v>
      </c>
      <c r="O378" s="140">
        <v>3</v>
      </c>
      <c r="Q378" s="89" t="s">
        <v>1264</v>
      </c>
      <c r="R378" s="43" t="s">
        <v>316</v>
      </c>
      <c r="S378" s="125">
        <v>42772</v>
      </c>
      <c r="T378" s="117">
        <v>42828</v>
      </c>
      <c r="V378" s="43" t="s">
        <v>317</v>
      </c>
      <c r="X378" s="43" t="s">
        <v>318</v>
      </c>
      <c r="Y378" s="43" t="s">
        <v>379</v>
      </c>
      <c r="Z378" s="43" t="s">
        <v>320</v>
      </c>
      <c r="AA378" s="43" t="s">
        <v>340</v>
      </c>
      <c r="AB378" s="144">
        <v>4.9999998882412902E-3</v>
      </c>
      <c r="AC378" s="125">
        <v>43717</v>
      </c>
      <c r="AD378" s="43" t="s">
        <v>329</v>
      </c>
      <c r="AF378" s="43" t="s">
        <v>75</v>
      </c>
      <c r="AG378" s="43" t="s">
        <v>322</v>
      </c>
      <c r="AJ378" s="140">
        <v>0</v>
      </c>
      <c r="AK378" s="140">
        <v>0</v>
      </c>
      <c r="AL378" s="140">
        <v>0</v>
      </c>
      <c r="AM378" s="140">
        <v>0</v>
      </c>
      <c r="AN378" s="140">
        <v>0</v>
      </c>
      <c r="AO378" s="140">
        <v>2</v>
      </c>
      <c r="AP378" s="140">
        <v>1</v>
      </c>
      <c r="AQ378" s="140">
        <v>0</v>
      </c>
      <c r="AR378" s="140">
        <v>0</v>
      </c>
      <c r="AS378" s="140">
        <v>0</v>
      </c>
      <c r="AT378" s="140">
        <v>0</v>
      </c>
      <c r="AU378" s="140">
        <v>0</v>
      </c>
      <c r="AV378" s="140">
        <v>2</v>
      </c>
      <c r="AW378" s="140">
        <v>1</v>
      </c>
      <c r="AX378" s="140">
        <v>0</v>
      </c>
      <c r="AY378" s="140">
        <v>0</v>
      </c>
      <c r="AZ378" s="140">
        <v>0</v>
      </c>
      <c r="BA378" s="140">
        <v>0</v>
      </c>
      <c r="BB378" s="140">
        <v>0</v>
      </c>
      <c r="BC378" s="140">
        <v>0</v>
      </c>
      <c r="BD378" s="140">
        <v>0</v>
      </c>
      <c r="BE378" s="140">
        <v>0</v>
      </c>
      <c r="BF378" s="140">
        <v>0</v>
      </c>
      <c r="BG378" s="140">
        <v>0</v>
      </c>
      <c r="BH378" s="140">
        <v>0</v>
      </c>
      <c r="BI378" s="140">
        <v>0</v>
      </c>
      <c r="BJ378" s="140">
        <v>0</v>
      </c>
      <c r="BK378" s="140">
        <v>0</v>
      </c>
      <c r="BL378" s="140">
        <v>0</v>
      </c>
      <c r="BM378" s="140">
        <v>0</v>
      </c>
      <c r="BN378" s="140">
        <v>0</v>
      </c>
      <c r="BO378" s="140">
        <v>0</v>
      </c>
      <c r="BX378" s="43">
        <v>13</v>
      </c>
      <c r="BZ378" s="90">
        <f t="shared" si="30"/>
        <v>3</v>
      </c>
      <c r="CT378" s="90">
        <f t="shared" si="25"/>
        <v>3</v>
      </c>
      <c r="CU378" s="90">
        <f t="shared" si="26"/>
        <v>3</v>
      </c>
    </row>
    <row r="379" spans="1:99" ht="12" customHeight="1">
      <c r="A379" s="43">
        <v>6493</v>
      </c>
      <c r="B379" s="89" t="s">
        <v>813</v>
      </c>
      <c r="C379" s="89" t="s">
        <v>1265</v>
      </c>
      <c r="D379" s="89" t="s">
        <v>1266</v>
      </c>
      <c r="F379" s="43">
        <v>529358</v>
      </c>
      <c r="G379" s="43">
        <v>171498</v>
      </c>
      <c r="H379" s="89" t="s">
        <v>171</v>
      </c>
      <c r="I379" s="125">
        <v>43717</v>
      </c>
      <c r="K379" s="140">
        <v>0</v>
      </c>
      <c r="L379" s="140">
        <v>3</v>
      </c>
      <c r="M379" s="140">
        <v>3</v>
      </c>
      <c r="N379" s="140">
        <v>3</v>
      </c>
      <c r="O379" s="140">
        <v>3</v>
      </c>
      <c r="Q379" s="89" t="s">
        <v>1267</v>
      </c>
      <c r="R379" s="43" t="s">
        <v>316</v>
      </c>
      <c r="S379" s="125">
        <v>42773</v>
      </c>
      <c r="T379" s="117">
        <v>42829</v>
      </c>
      <c r="V379" s="43" t="s">
        <v>317</v>
      </c>
      <c r="X379" s="43" t="s">
        <v>318</v>
      </c>
      <c r="Y379" s="43" t="s">
        <v>379</v>
      </c>
      <c r="Z379" s="43" t="s">
        <v>320</v>
      </c>
      <c r="AA379" s="43" t="s">
        <v>340</v>
      </c>
      <c r="AB379" s="144">
        <v>4.9999998882412902E-3</v>
      </c>
      <c r="AC379" s="125">
        <v>43717</v>
      </c>
      <c r="AD379" s="43" t="s">
        <v>329</v>
      </c>
      <c r="AF379" s="43" t="s">
        <v>55</v>
      </c>
      <c r="AG379" s="43" t="s">
        <v>438</v>
      </c>
      <c r="AJ379" s="140">
        <v>3</v>
      </c>
      <c r="AK379" s="140">
        <v>0</v>
      </c>
      <c r="AL379" s="140">
        <v>0</v>
      </c>
      <c r="AM379" s="140">
        <v>0</v>
      </c>
      <c r="AN379" s="140">
        <v>0</v>
      </c>
      <c r="AO379" s="140">
        <v>2</v>
      </c>
      <c r="AP379" s="140">
        <v>1</v>
      </c>
      <c r="AQ379" s="140">
        <v>0</v>
      </c>
      <c r="AR379" s="140">
        <v>0</v>
      </c>
      <c r="AS379" s="140">
        <v>0</v>
      </c>
      <c r="AT379" s="140">
        <v>0</v>
      </c>
      <c r="AU379" s="140">
        <v>0</v>
      </c>
      <c r="AV379" s="140">
        <v>2</v>
      </c>
      <c r="AW379" s="140">
        <v>1</v>
      </c>
      <c r="AX379" s="140">
        <v>0</v>
      </c>
      <c r="AY379" s="140">
        <v>0</v>
      </c>
      <c r="AZ379" s="140">
        <v>0</v>
      </c>
      <c r="BA379" s="140">
        <v>0</v>
      </c>
      <c r="BB379" s="140">
        <v>0</v>
      </c>
      <c r="BC379" s="140">
        <v>0</v>
      </c>
      <c r="BD379" s="140">
        <v>0</v>
      </c>
      <c r="BE379" s="140">
        <v>0</v>
      </c>
      <c r="BF379" s="140">
        <v>0</v>
      </c>
      <c r="BG379" s="140">
        <v>0</v>
      </c>
      <c r="BH379" s="140">
        <v>0</v>
      </c>
      <c r="BI379" s="140">
        <v>0</v>
      </c>
      <c r="BJ379" s="140">
        <v>0</v>
      </c>
      <c r="BK379" s="140">
        <v>0</v>
      </c>
      <c r="BL379" s="140">
        <v>0</v>
      </c>
      <c r="BM379" s="140">
        <v>0</v>
      </c>
      <c r="BN379" s="140">
        <v>0</v>
      </c>
      <c r="BO379" s="140">
        <v>0</v>
      </c>
      <c r="BX379" s="43">
        <v>13</v>
      </c>
      <c r="BZ379" s="90">
        <f t="shared" si="30"/>
        <v>3</v>
      </c>
      <c r="CT379" s="90">
        <f t="shared" si="25"/>
        <v>3</v>
      </c>
      <c r="CU379" s="90">
        <f t="shared" si="26"/>
        <v>3</v>
      </c>
    </row>
    <row r="380" spans="1:99" ht="12" customHeight="1">
      <c r="A380" s="43">
        <v>6494</v>
      </c>
      <c r="B380" s="89" t="s">
        <v>813</v>
      </c>
      <c r="C380" s="89" t="s">
        <v>1268</v>
      </c>
      <c r="D380" s="89" t="s">
        <v>1269</v>
      </c>
      <c r="F380" s="43">
        <v>529449</v>
      </c>
      <c r="G380" s="43">
        <v>171532</v>
      </c>
      <c r="H380" s="89" t="s">
        <v>171</v>
      </c>
      <c r="I380" s="125">
        <v>43717</v>
      </c>
      <c r="K380" s="140">
        <v>0</v>
      </c>
      <c r="L380" s="140">
        <v>3</v>
      </c>
      <c r="M380" s="140">
        <v>3</v>
      </c>
      <c r="N380" s="140">
        <v>3</v>
      </c>
      <c r="O380" s="140">
        <v>3</v>
      </c>
      <c r="Q380" s="89" t="s">
        <v>1270</v>
      </c>
      <c r="R380" s="43" t="s">
        <v>316</v>
      </c>
      <c r="S380" s="125">
        <v>42773</v>
      </c>
      <c r="T380" s="117">
        <v>42829</v>
      </c>
      <c r="V380" s="43" t="s">
        <v>317</v>
      </c>
      <c r="X380" s="43" t="s">
        <v>318</v>
      </c>
      <c r="Y380" s="43" t="s">
        <v>379</v>
      </c>
      <c r="Z380" s="43" t="s">
        <v>320</v>
      </c>
      <c r="AA380" s="43" t="s">
        <v>340</v>
      </c>
      <c r="AB380" s="144">
        <v>1.60000007599592E-2</v>
      </c>
      <c r="AC380" s="125">
        <v>43717</v>
      </c>
      <c r="AD380" s="43" t="s">
        <v>329</v>
      </c>
      <c r="AF380" s="43" t="s">
        <v>55</v>
      </c>
      <c r="AG380" s="43" t="s">
        <v>438</v>
      </c>
      <c r="AJ380" s="140">
        <v>3</v>
      </c>
      <c r="AK380" s="140">
        <v>0</v>
      </c>
      <c r="AL380" s="140">
        <v>0</v>
      </c>
      <c r="AM380" s="140">
        <v>0</v>
      </c>
      <c r="AN380" s="140">
        <v>0</v>
      </c>
      <c r="AO380" s="140">
        <v>1</v>
      </c>
      <c r="AP380" s="140">
        <v>2</v>
      </c>
      <c r="AQ380" s="140">
        <v>0</v>
      </c>
      <c r="AR380" s="140">
        <v>0</v>
      </c>
      <c r="AS380" s="140">
        <v>0</v>
      </c>
      <c r="AT380" s="140">
        <v>0</v>
      </c>
      <c r="AU380" s="140">
        <v>0</v>
      </c>
      <c r="AV380" s="140">
        <v>1</v>
      </c>
      <c r="AW380" s="140">
        <v>2</v>
      </c>
      <c r="AX380" s="140">
        <v>0</v>
      </c>
      <c r="AY380" s="140">
        <v>0</v>
      </c>
      <c r="AZ380" s="140">
        <v>0</v>
      </c>
      <c r="BA380" s="140">
        <v>0</v>
      </c>
      <c r="BB380" s="140">
        <v>0</v>
      </c>
      <c r="BC380" s="140">
        <v>0</v>
      </c>
      <c r="BD380" s="140">
        <v>0</v>
      </c>
      <c r="BE380" s="140">
        <v>0</v>
      </c>
      <c r="BF380" s="140">
        <v>0</v>
      </c>
      <c r="BG380" s="140">
        <v>0</v>
      </c>
      <c r="BH380" s="140">
        <v>0</v>
      </c>
      <c r="BI380" s="140">
        <v>0</v>
      </c>
      <c r="BJ380" s="140">
        <v>0</v>
      </c>
      <c r="BK380" s="140">
        <v>0</v>
      </c>
      <c r="BL380" s="140">
        <v>0</v>
      </c>
      <c r="BM380" s="140">
        <v>0</v>
      </c>
      <c r="BN380" s="140">
        <v>0</v>
      </c>
      <c r="BO380" s="140">
        <v>0</v>
      </c>
      <c r="BX380" s="43">
        <v>13</v>
      </c>
      <c r="BZ380" s="90">
        <f t="shared" si="30"/>
        <v>3</v>
      </c>
      <c r="CT380" s="90">
        <f t="shared" si="25"/>
        <v>3</v>
      </c>
      <c r="CU380" s="90">
        <f t="shared" si="26"/>
        <v>3</v>
      </c>
    </row>
    <row r="381" spans="1:99" ht="12" customHeight="1">
      <c r="A381" s="43">
        <v>6514</v>
      </c>
      <c r="B381" s="89" t="s">
        <v>813</v>
      </c>
      <c r="C381" s="89" t="s">
        <v>1271</v>
      </c>
      <c r="D381" s="89" t="s">
        <v>1272</v>
      </c>
      <c r="F381" s="43">
        <v>527636</v>
      </c>
      <c r="G381" s="43">
        <v>172936</v>
      </c>
      <c r="H381" s="89" t="s">
        <v>173</v>
      </c>
      <c r="I381" s="125">
        <v>43891</v>
      </c>
      <c r="K381" s="140">
        <v>0</v>
      </c>
      <c r="L381" s="140">
        <v>1</v>
      </c>
      <c r="M381" s="140">
        <v>1</v>
      </c>
      <c r="N381" s="140">
        <v>1</v>
      </c>
      <c r="O381" s="140">
        <v>1</v>
      </c>
      <c r="Q381" s="89" t="s">
        <v>1273</v>
      </c>
      <c r="R381" s="43" t="s">
        <v>316</v>
      </c>
      <c r="S381" s="125">
        <v>43286</v>
      </c>
      <c r="T381" s="117">
        <v>43342</v>
      </c>
      <c r="V381" s="43" t="s">
        <v>317</v>
      </c>
      <c r="X381" s="43" t="s">
        <v>318</v>
      </c>
      <c r="Y381" s="43" t="s">
        <v>361</v>
      </c>
      <c r="Z381" s="43" t="s">
        <v>320</v>
      </c>
      <c r="AA381" s="43" t="s">
        <v>353</v>
      </c>
      <c r="AB381" s="144">
        <v>5.7000000029802302E-2</v>
      </c>
      <c r="AC381" s="125">
        <v>43891</v>
      </c>
      <c r="AD381" s="43" t="s">
        <v>329</v>
      </c>
      <c r="AF381" s="43" t="s">
        <v>75</v>
      </c>
      <c r="AG381" s="43" t="s">
        <v>322</v>
      </c>
      <c r="AJ381" s="140">
        <v>0</v>
      </c>
      <c r="AK381" s="140">
        <v>1</v>
      </c>
      <c r="AL381" s="140">
        <v>0</v>
      </c>
      <c r="AM381" s="140">
        <v>0</v>
      </c>
      <c r="AN381" s="140">
        <v>0</v>
      </c>
      <c r="AO381" s="140">
        <v>0</v>
      </c>
      <c r="AP381" s="140">
        <v>0</v>
      </c>
      <c r="AQ381" s="140">
        <v>1</v>
      </c>
      <c r="AR381" s="140">
        <v>0</v>
      </c>
      <c r="AS381" s="140">
        <v>0</v>
      </c>
      <c r="AT381" s="140">
        <v>0</v>
      </c>
      <c r="AU381" s="140">
        <v>0</v>
      </c>
      <c r="AV381" s="140">
        <v>0</v>
      </c>
      <c r="AW381" s="140">
        <v>0</v>
      </c>
      <c r="AX381" s="140">
        <v>0</v>
      </c>
      <c r="AY381" s="140">
        <v>0</v>
      </c>
      <c r="AZ381" s="140">
        <v>0</v>
      </c>
      <c r="BA381" s="140">
        <v>0</v>
      </c>
      <c r="BB381" s="140">
        <v>0</v>
      </c>
      <c r="BC381" s="140">
        <v>0</v>
      </c>
      <c r="BD381" s="140">
        <v>0</v>
      </c>
      <c r="BE381" s="140">
        <v>1</v>
      </c>
      <c r="BF381" s="140">
        <v>0</v>
      </c>
      <c r="BG381" s="140">
        <v>0</v>
      </c>
      <c r="BH381" s="140">
        <v>0</v>
      </c>
      <c r="BI381" s="140">
        <v>0</v>
      </c>
      <c r="BJ381" s="140">
        <v>0</v>
      </c>
      <c r="BK381" s="140">
        <v>0</v>
      </c>
      <c r="BL381" s="140">
        <v>0</v>
      </c>
      <c r="BM381" s="140">
        <v>0</v>
      </c>
      <c r="BN381" s="140">
        <v>0</v>
      </c>
      <c r="BO381" s="140">
        <v>0</v>
      </c>
      <c r="BX381" s="43">
        <v>3</v>
      </c>
      <c r="BZ381" s="90">
        <f>$M381/2</f>
        <v>0.5</v>
      </c>
      <c r="CA381" s="90">
        <f>$M381/2</f>
        <v>0.5</v>
      </c>
      <c r="CT381" s="90">
        <f t="shared" si="25"/>
        <v>1</v>
      </c>
      <c r="CU381" s="90">
        <f t="shared" si="26"/>
        <v>1</v>
      </c>
    </row>
    <row r="382" spans="1:99" ht="12" customHeight="1">
      <c r="A382" s="43">
        <v>6516</v>
      </c>
      <c r="B382" s="89" t="s">
        <v>813</v>
      </c>
      <c r="C382" s="89" t="s">
        <v>1274</v>
      </c>
      <c r="D382" s="89" t="s">
        <v>1275</v>
      </c>
      <c r="F382" s="43">
        <v>529436</v>
      </c>
      <c r="G382" s="43">
        <v>171443</v>
      </c>
      <c r="H382" s="89" t="s">
        <v>171</v>
      </c>
      <c r="I382" s="125">
        <v>43717</v>
      </c>
      <c r="K382" s="140">
        <v>0</v>
      </c>
      <c r="L382" s="140">
        <v>3</v>
      </c>
      <c r="M382" s="140">
        <v>3</v>
      </c>
      <c r="N382" s="140">
        <v>3</v>
      </c>
      <c r="O382" s="140">
        <v>3</v>
      </c>
      <c r="Q382" s="89" t="s">
        <v>1276</v>
      </c>
      <c r="R382" s="43" t="s">
        <v>316</v>
      </c>
      <c r="S382" s="125">
        <v>42772</v>
      </c>
      <c r="T382" s="117">
        <v>42828</v>
      </c>
      <c r="V382" s="43" t="s">
        <v>317</v>
      </c>
      <c r="X382" s="43" t="s">
        <v>318</v>
      </c>
      <c r="Y382" s="43" t="s">
        <v>379</v>
      </c>
      <c r="Z382" s="43" t="s">
        <v>320</v>
      </c>
      <c r="AA382" s="43" t="s">
        <v>340</v>
      </c>
      <c r="AB382" s="144">
        <v>6.0000000521540598E-3</v>
      </c>
      <c r="AC382" s="125">
        <v>43717</v>
      </c>
      <c r="AD382" s="43" t="s">
        <v>329</v>
      </c>
      <c r="AF382" s="43" t="s">
        <v>55</v>
      </c>
      <c r="AG382" s="43" t="s">
        <v>438</v>
      </c>
      <c r="AJ382" s="140">
        <v>3</v>
      </c>
      <c r="AK382" s="140">
        <v>0</v>
      </c>
      <c r="AL382" s="140">
        <v>0</v>
      </c>
      <c r="AM382" s="140">
        <v>0</v>
      </c>
      <c r="AN382" s="140">
        <v>0</v>
      </c>
      <c r="AO382" s="140">
        <v>1</v>
      </c>
      <c r="AP382" s="140">
        <v>2</v>
      </c>
      <c r="AQ382" s="140">
        <v>0</v>
      </c>
      <c r="AR382" s="140">
        <v>0</v>
      </c>
      <c r="AS382" s="140">
        <v>0</v>
      </c>
      <c r="AT382" s="140">
        <v>0</v>
      </c>
      <c r="AU382" s="140">
        <v>0</v>
      </c>
      <c r="AV382" s="140">
        <v>1</v>
      </c>
      <c r="AW382" s="140">
        <v>2</v>
      </c>
      <c r="AX382" s="140">
        <v>0</v>
      </c>
      <c r="AY382" s="140">
        <v>0</v>
      </c>
      <c r="AZ382" s="140">
        <v>0</v>
      </c>
      <c r="BA382" s="140">
        <v>0</v>
      </c>
      <c r="BB382" s="140">
        <v>0</v>
      </c>
      <c r="BC382" s="140">
        <v>0</v>
      </c>
      <c r="BD382" s="140">
        <v>0</v>
      </c>
      <c r="BE382" s="140">
        <v>0</v>
      </c>
      <c r="BF382" s="140">
        <v>0</v>
      </c>
      <c r="BG382" s="140">
        <v>0</v>
      </c>
      <c r="BH382" s="140">
        <v>0</v>
      </c>
      <c r="BI382" s="140">
        <v>0</v>
      </c>
      <c r="BJ382" s="140">
        <v>0</v>
      </c>
      <c r="BK382" s="140">
        <v>0</v>
      </c>
      <c r="BL382" s="140">
        <v>0</v>
      </c>
      <c r="BM382" s="140">
        <v>0</v>
      </c>
      <c r="BN382" s="140">
        <v>0</v>
      </c>
      <c r="BO382" s="140">
        <v>0</v>
      </c>
      <c r="BX382" s="43">
        <v>13</v>
      </c>
      <c r="BZ382" s="90">
        <f>M382</f>
        <v>3</v>
      </c>
      <c r="CT382" s="90">
        <f t="shared" si="25"/>
        <v>3</v>
      </c>
      <c r="CU382" s="90">
        <f t="shared" si="26"/>
        <v>3</v>
      </c>
    </row>
    <row r="383" spans="1:99" ht="12" customHeight="1">
      <c r="A383" s="43">
        <v>6525</v>
      </c>
      <c r="B383" s="89" t="s">
        <v>813</v>
      </c>
      <c r="C383" s="89" t="s">
        <v>1277</v>
      </c>
      <c r="D383" s="89" t="s">
        <v>1278</v>
      </c>
      <c r="F383" s="43">
        <v>527828</v>
      </c>
      <c r="G383" s="43">
        <v>173720</v>
      </c>
      <c r="H383" s="89" t="s">
        <v>173</v>
      </c>
      <c r="I383" s="125">
        <v>43227</v>
      </c>
      <c r="K383" s="140">
        <v>1</v>
      </c>
      <c r="L383" s="140">
        <v>1</v>
      </c>
      <c r="M383" s="140">
        <v>0</v>
      </c>
      <c r="N383" s="140">
        <v>1</v>
      </c>
      <c r="O383" s="140">
        <v>0</v>
      </c>
      <c r="Q383" s="89" t="s">
        <v>1279</v>
      </c>
      <c r="R383" s="43" t="s">
        <v>316</v>
      </c>
      <c r="S383" s="125">
        <v>42793</v>
      </c>
      <c r="T383" s="117">
        <v>42919</v>
      </c>
      <c r="V383" s="43" t="s">
        <v>317</v>
      </c>
      <c r="X383" s="43" t="s">
        <v>318</v>
      </c>
      <c r="Y383" s="43" t="s">
        <v>361</v>
      </c>
      <c r="Z383" s="43" t="s">
        <v>320</v>
      </c>
      <c r="AA383" s="43" t="s">
        <v>353</v>
      </c>
      <c r="AB383" s="144">
        <v>4.0199998766183902E-2</v>
      </c>
      <c r="AC383" s="125">
        <v>43227</v>
      </c>
      <c r="AF383" s="43" t="s">
        <v>75</v>
      </c>
      <c r="AG383" s="43" t="s">
        <v>322</v>
      </c>
      <c r="AJ383" s="140">
        <v>0</v>
      </c>
      <c r="AK383" s="140">
        <v>0</v>
      </c>
      <c r="AL383" s="140">
        <v>0</v>
      </c>
      <c r="AM383" s="140">
        <v>0</v>
      </c>
      <c r="AN383" s="140">
        <v>0</v>
      </c>
      <c r="AO383" s="140">
        <v>0</v>
      </c>
      <c r="AP383" s="140">
        <v>0</v>
      </c>
      <c r="AQ383" s="140">
        <v>-1</v>
      </c>
      <c r="AR383" s="140">
        <v>0</v>
      </c>
      <c r="AS383" s="140">
        <v>1</v>
      </c>
      <c r="AT383" s="140">
        <v>0</v>
      </c>
      <c r="AU383" s="140">
        <v>0</v>
      </c>
      <c r="AV383" s="140">
        <v>0</v>
      </c>
      <c r="AW383" s="140">
        <v>0</v>
      </c>
      <c r="AX383" s="140">
        <v>0</v>
      </c>
      <c r="AY383" s="140">
        <v>0</v>
      </c>
      <c r="AZ383" s="140">
        <v>0</v>
      </c>
      <c r="BA383" s="140">
        <v>0</v>
      </c>
      <c r="BB383" s="140">
        <v>0</v>
      </c>
      <c r="BC383" s="140">
        <v>0</v>
      </c>
      <c r="BD383" s="140">
        <v>0</v>
      </c>
      <c r="BE383" s="140">
        <v>-1</v>
      </c>
      <c r="BF383" s="140">
        <v>0</v>
      </c>
      <c r="BG383" s="140">
        <v>1</v>
      </c>
      <c r="BH383" s="140">
        <v>0</v>
      </c>
      <c r="BI383" s="140">
        <v>0</v>
      </c>
      <c r="BJ383" s="140">
        <v>0</v>
      </c>
      <c r="BK383" s="140">
        <v>0</v>
      </c>
      <c r="BL383" s="140">
        <v>0</v>
      </c>
      <c r="BM383" s="140">
        <v>0</v>
      </c>
      <c r="BN383" s="140">
        <v>0</v>
      </c>
      <c r="BO383" s="140">
        <v>0</v>
      </c>
      <c r="BX383" s="43">
        <v>2</v>
      </c>
      <c r="BZ383" s="90">
        <f>M383</f>
        <v>0</v>
      </c>
      <c r="CT383" s="90">
        <f t="shared" si="25"/>
        <v>0</v>
      </c>
      <c r="CU383" s="90">
        <f t="shared" si="26"/>
        <v>0</v>
      </c>
    </row>
    <row r="384" spans="1:99" ht="12" customHeight="1">
      <c r="A384" s="43">
        <v>6530</v>
      </c>
      <c r="B384" s="89" t="s">
        <v>813</v>
      </c>
      <c r="C384" s="89" t="s">
        <v>1280</v>
      </c>
      <c r="D384" s="89" t="s">
        <v>1281</v>
      </c>
      <c r="F384" s="43">
        <v>522247</v>
      </c>
      <c r="G384" s="43">
        <v>175326</v>
      </c>
      <c r="H384" s="89" t="s">
        <v>181</v>
      </c>
      <c r="I384" s="125">
        <v>43167</v>
      </c>
      <c r="K384" s="140">
        <v>2</v>
      </c>
      <c r="L384" s="140">
        <v>1</v>
      </c>
      <c r="M384" s="140">
        <v>-1</v>
      </c>
      <c r="N384" s="140">
        <v>1</v>
      </c>
      <c r="O384" s="140">
        <v>-1</v>
      </c>
      <c r="Q384" s="89" t="s">
        <v>1282</v>
      </c>
      <c r="R384" s="43" t="s">
        <v>316</v>
      </c>
      <c r="S384" s="125">
        <v>43398</v>
      </c>
      <c r="T384" s="117">
        <v>43454</v>
      </c>
      <c r="V384" s="43" t="s">
        <v>317</v>
      </c>
      <c r="X384" s="43" t="s">
        <v>318</v>
      </c>
      <c r="Y384" s="43" t="s">
        <v>319</v>
      </c>
      <c r="Z384" s="43" t="s">
        <v>320</v>
      </c>
      <c r="AA384" s="43" t="s">
        <v>22</v>
      </c>
      <c r="AB384" s="144">
        <v>3.7999998778104803E-2</v>
      </c>
      <c r="AC384" s="125">
        <v>43167</v>
      </c>
      <c r="AF384" s="43" t="s">
        <v>75</v>
      </c>
      <c r="AG384" s="43" t="s">
        <v>322</v>
      </c>
      <c r="AJ384" s="140">
        <v>0</v>
      </c>
      <c r="AK384" s="140">
        <v>0</v>
      </c>
      <c r="AL384" s="140">
        <v>0</v>
      </c>
      <c r="AM384" s="140">
        <v>0</v>
      </c>
      <c r="AN384" s="140">
        <v>0</v>
      </c>
      <c r="AO384" s="140">
        <v>0</v>
      </c>
      <c r="AP384" s="140">
        <v>-1</v>
      </c>
      <c r="AQ384" s="140">
        <v>-1</v>
      </c>
      <c r="AR384" s="140">
        <v>0</v>
      </c>
      <c r="AS384" s="140">
        <v>1</v>
      </c>
      <c r="AT384" s="140">
        <v>0</v>
      </c>
      <c r="AU384" s="140">
        <v>0</v>
      </c>
      <c r="AV384" s="140">
        <v>0</v>
      </c>
      <c r="AW384" s="140">
        <v>-1</v>
      </c>
      <c r="AX384" s="140">
        <v>-1</v>
      </c>
      <c r="AY384" s="140">
        <v>0</v>
      </c>
      <c r="AZ384" s="140">
        <v>0</v>
      </c>
      <c r="BA384" s="140">
        <v>0</v>
      </c>
      <c r="BB384" s="140">
        <v>0</v>
      </c>
      <c r="BC384" s="140">
        <v>0</v>
      </c>
      <c r="BD384" s="140">
        <v>0</v>
      </c>
      <c r="BE384" s="140">
        <v>0</v>
      </c>
      <c r="BF384" s="140">
        <v>0</v>
      </c>
      <c r="BG384" s="140">
        <v>1</v>
      </c>
      <c r="BH384" s="140">
        <v>0</v>
      </c>
      <c r="BI384" s="140">
        <v>0</v>
      </c>
      <c r="BJ384" s="140">
        <v>0</v>
      </c>
      <c r="BK384" s="140">
        <v>0</v>
      </c>
      <c r="BL384" s="140">
        <v>0</v>
      </c>
      <c r="BM384" s="140">
        <v>0</v>
      </c>
      <c r="BN384" s="140">
        <v>0</v>
      </c>
      <c r="BO384" s="140">
        <v>0</v>
      </c>
      <c r="BX384" s="43">
        <v>13</v>
      </c>
      <c r="BZ384" s="90">
        <f>M384</f>
        <v>-1</v>
      </c>
      <c r="CT384" s="90">
        <f t="shared" si="25"/>
        <v>-1</v>
      </c>
      <c r="CU384" s="90">
        <f t="shared" si="26"/>
        <v>-1</v>
      </c>
    </row>
    <row r="385" spans="1:99" ht="12" customHeight="1">
      <c r="A385" s="43">
        <v>6561</v>
      </c>
      <c r="B385" s="89" t="s">
        <v>813</v>
      </c>
      <c r="C385" s="89" t="s">
        <v>1283</v>
      </c>
      <c r="D385" s="89" t="s">
        <v>1284</v>
      </c>
      <c r="F385" s="43">
        <v>527670</v>
      </c>
      <c r="G385" s="43">
        <v>172194</v>
      </c>
      <c r="H385" s="89" t="s">
        <v>141</v>
      </c>
      <c r="I385" s="125">
        <v>43880</v>
      </c>
      <c r="K385" s="140">
        <v>1</v>
      </c>
      <c r="L385" s="140">
        <v>2</v>
      </c>
      <c r="M385" s="140">
        <v>1</v>
      </c>
      <c r="N385" s="140">
        <v>2</v>
      </c>
      <c r="O385" s="140">
        <v>1</v>
      </c>
      <c r="Q385" s="89" t="s">
        <v>1285</v>
      </c>
      <c r="R385" s="43" t="s">
        <v>316</v>
      </c>
      <c r="S385" s="125">
        <v>43678</v>
      </c>
      <c r="T385" s="117">
        <v>43713</v>
      </c>
      <c r="U385" s="43" t="s">
        <v>329</v>
      </c>
      <c r="V385" s="43" t="s">
        <v>317</v>
      </c>
      <c r="X385" s="43" t="s">
        <v>318</v>
      </c>
      <c r="Y385" s="43" t="s">
        <v>348</v>
      </c>
      <c r="Z385" s="43" t="s">
        <v>320</v>
      </c>
      <c r="AA385" s="43" t="s">
        <v>20</v>
      </c>
      <c r="AB385" s="144">
        <v>2.3000000044703501E-2</v>
      </c>
      <c r="AC385" s="125">
        <v>43880</v>
      </c>
      <c r="AD385" s="43" t="s">
        <v>329</v>
      </c>
      <c r="AF385" s="43" t="s">
        <v>75</v>
      </c>
      <c r="AG385" s="43" t="s">
        <v>322</v>
      </c>
      <c r="AJ385" s="140">
        <v>0</v>
      </c>
      <c r="AK385" s="140">
        <v>0</v>
      </c>
      <c r="AL385" s="140">
        <v>0</v>
      </c>
      <c r="AM385" s="140">
        <v>0</v>
      </c>
      <c r="AN385" s="140">
        <v>0</v>
      </c>
      <c r="AO385" s="140">
        <v>0</v>
      </c>
      <c r="AP385" s="140">
        <v>1</v>
      </c>
      <c r="AQ385" s="140">
        <v>0</v>
      </c>
      <c r="AR385" s="140">
        <v>0</v>
      </c>
      <c r="AS385" s="140">
        <v>0</v>
      </c>
      <c r="AT385" s="140">
        <v>0</v>
      </c>
      <c r="AU385" s="140">
        <v>0</v>
      </c>
      <c r="AV385" s="140">
        <v>0</v>
      </c>
      <c r="AW385" s="140">
        <v>1</v>
      </c>
      <c r="AX385" s="140">
        <v>1</v>
      </c>
      <c r="AY385" s="140">
        <v>0</v>
      </c>
      <c r="AZ385" s="140">
        <v>0</v>
      </c>
      <c r="BA385" s="140">
        <v>0</v>
      </c>
      <c r="BB385" s="140">
        <v>0</v>
      </c>
      <c r="BC385" s="140">
        <v>0</v>
      </c>
      <c r="BD385" s="140">
        <v>0</v>
      </c>
      <c r="BE385" s="140">
        <v>-1</v>
      </c>
      <c r="BF385" s="140">
        <v>0</v>
      </c>
      <c r="BG385" s="140">
        <v>0</v>
      </c>
      <c r="BH385" s="140">
        <v>0</v>
      </c>
      <c r="BI385" s="140">
        <v>0</v>
      </c>
      <c r="BJ385" s="140">
        <v>0</v>
      </c>
      <c r="BK385" s="140">
        <v>0</v>
      </c>
      <c r="BL385" s="140">
        <v>0</v>
      </c>
      <c r="BM385" s="140">
        <v>0</v>
      </c>
      <c r="BN385" s="140">
        <v>0</v>
      </c>
      <c r="BO385" s="140">
        <v>0</v>
      </c>
      <c r="BX385" s="43">
        <v>14</v>
      </c>
      <c r="BZ385" s="90">
        <f>$M385/2</f>
        <v>0.5</v>
      </c>
      <c r="CA385" s="90">
        <f>$M385/2</f>
        <v>0.5</v>
      </c>
      <c r="CT385" s="90">
        <f t="shared" si="25"/>
        <v>1</v>
      </c>
      <c r="CU385" s="90">
        <f t="shared" si="26"/>
        <v>1</v>
      </c>
    </row>
    <row r="386" spans="1:99" ht="12" customHeight="1">
      <c r="A386" s="43">
        <v>6615</v>
      </c>
      <c r="B386" s="89" t="s">
        <v>813</v>
      </c>
      <c r="C386" s="89" t="s">
        <v>1286</v>
      </c>
      <c r="D386" s="89" t="s">
        <v>1287</v>
      </c>
      <c r="F386" s="43">
        <v>528918</v>
      </c>
      <c r="G386" s="43">
        <v>174074</v>
      </c>
      <c r="H386" s="89" t="s">
        <v>138</v>
      </c>
      <c r="I386" s="125">
        <v>43190</v>
      </c>
      <c r="K386" s="140">
        <v>1</v>
      </c>
      <c r="L386" s="140">
        <v>2</v>
      </c>
      <c r="M386" s="140">
        <v>1</v>
      </c>
      <c r="N386" s="140">
        <v>2</v>
      </c>
      <c r="O386" s="140">
        <v>1</v>
      </c>
      <c r="Q386" s="89" t="s">
        <v>1288</v>
      </c>
      <c r="R386" s="43" t="s">
        <v>316</v>
      </c>
      <c r="S386" s="125">
        <v>42892</v>
      </c>
      <c r="T386" s="117">
        <v>42962</v>
      </c>
      <c r="V386" s="43" t="s">
        <v>317</v>
      </c>
      <c r="X386" s="43" t="s">
        <v>318</v>
      </c>
      <c r="Y386" s="43" t="s">
        <v>319</v>
      </c>
      <c r="Z386" s="43" t="s">
        <v>320</v>
      </c>
      <c r="AA386" s="43" t="s">
        <v>20</v>
      </c>
      <c r="AB386" s="144">
        <v>1.09999999403954E-2</v>
      </c>
      <c r="AC386" s="125">
        <v>43190</v>
      </c>
      <c r="AF386" s="43" t="s">
        <v>75</v>
      </c>
      <c r="AG386" s="43" t="s">
        <v>322</v>
      </c>
      <c r="AJ386" s="140">
        <v>0</v>
      </c>
      <c r="AK386" s="140">
        <v>0</v>
      </c>
      <c r="AL386" s="140">
        <v>0</v>
      </c>
      <c r="AM386" s="140">
        <v>0</v>
      </c>
      <c r="AN386" s="140">
        <v>0</v>
      </c>
      <c r="AO386" s="140">
        <v>0</v>
      </c>
      <c r="AP386" s="140">
        <v>0</v>
      </c>
      <c r="AQ386" s="140">
        <v>1</v>
      </c>
      <c r="AR386" s="140">
        <v>0</v>
      </c>
      <c r="AS386" s="140">
        <v>0</v>
      </c>
      <c r="AT386" s="140">
        <v>0</v>
      </c>
      <c r="AU386" s="140">
        <v>0</v>
      </c>
      <c r="AV386" s="140">
        <v>0</v>
      </c>
      <c r="AW386" s="140">
        <v>0</v>
      </c>
      <c r="AX386" s="140">
        <v>2</v>
      </c>
      <c r="AY386" s="140">
        <v>0</v>
      </c>
      <c r="AZ386" s="140">
        <v>0</v>
      </c>
      <c r="BA386" s="140">
        <v>0</v>
      </c>
      <c r="BB386" s="140">
        <v>0</v>
      </c>
      <c r="BC386" s="140">
        <v>0</v>
      </c>
      <c r="BD386" s="140">
        <v>0</v>
      </c>
      <c r="BE386" s="140">
        <v>-1</v>
      </c>
      <c r="BF386" s="140">
        <v>0</v>
      </c>
      <c r="BG386" s="140">
        <v>0</v>
      </c>
      <c r="BH386" s="140">
        <v>0</v>
      </c>
      <c r="BI386" s="140">
        <v>0</v>
      </c>
      <c r="BJ386" s="140">
        <v>0</v>
      </c>
      <c r="BK386" s="140">
        <v>0</v>
      </c>
      <c r="BL386" s="140">
        <v>0</v>
      </c>
      <c r="BM386" s="140">
        <v>0</v>
      </c>
      <c r="BN386" s="140">
        <v>0</v>
      </c>
      <c r="BO386" s="140">
        <v>0</v>
      </c>
      <c r="BX386" s="43">
        <v>13</v>
      </c>
      <c r="BZ386" s="90">
        <f>M386</f>
        <v>1</v>
      </c>
      <c r="CT386" s="90">
        <f t="shared" ref="CT386:CT449" si="31">SUM(BZ386:CD386)</f>
        <v>1</v>
      </c>
      <c r="CU386" s="90">
        <f t="shared" ref="CU386:CU449" si="32">SUM(BZ386:CI386)</f>
        <v>1</v>
      </c>
    </row>
    <row r="387" spans="1:99" ht="12" customHeight="1">
      <c r="A387" s="43">
        <v>6629</v>
      </c>
      <c r="B387" s="89" t="s">
        <v>813</v>
      </c>
      <c r="C387" s="89" t="s">
        <v>1289</v>
      </c>
      <c r="D387" s="89" t="s">
        <v>1290</v>
      </c>
      <c r="F387" s="43">
        <v>525145</v>
      </c>
      <c r="G387" s="43">
        <v>173406</v>
      </c>
      <c r="H387" s="89" t="s">
        <v>176</v>
      </c>
      <c r="I387" s="125">
        <v>43586</v>
      </c>
      <c r="K387" s="140">
        <v>1</v>
      </c>
      <c r="L387" s="140">
        <v>2</v>
      </c>
      <c r="M387" s="140">
        <v>1</v>
      </c>
      <c r="N387" s="140">
        <v>2</v>
      </c>
      <c r="O387" s="140">
        <v>1</v>
      </c>
      <c r="Q387" s="89" t="s">
        <v>1291</v>
      </c>
      <c r="R387" s="43" t="s">
        <v>316</v>
      </c>
      <c r="S387" s="125">
        <v>43168</v>
      </c>
      <c r="T387" s="117">
        <v>43245</v>
      </c>
      <c r="V387" s="43" t="s">
        <v>317</v>
      </c>
      <c r="X387" s="43" t="s">
        <v>413</v>
      </c>
      <c r="Y387" s="43" t="s">
        <v>361</v>
      </c>
      <c r="Z387" s="43" t="s">
        <v>320</v>
      </c>
      <c r="AA387" s="43" t="s">
        <v>353</v>
      </c>
      <c r="AB387" s="144">
        <v>1.4000000432133701E-2</v>
      </c>
      <c r="AC387" s="125">
        <v>43586</v>
      </c>
      <c r="AD387" s="43" t="s">
        <v>329</v>
      </c>
      <c r="AF387" s="43" t="s">
        <v>75</v>
      </c>
      <c r="AG387" s="43" t="s">
        <v>322</v>
      </c>
      <c r="AJ387" s="140">
        <v>0</v>
      </c>
      <c r="AK387" s="140">
        <v>0</v>
      </c>
      <c r="AL387" s="140">
        <v>0</v>
      </c>
      <c r="AM387" s="140">
        <v>0</v>
      </c>
      <c r="AN387" s="140">
        <v>0</v>
      </c>
      <c r="AO387" s="140">
        <v>0</v>
      </c>
      <c r="AP387" s="140">
        <v>0</v>
      </c>
      <c r="AQ387" s="140">
        <v>1</v>
      </c>
      <c r="AR387" s="140">
        <v>0</v>
      </c>
      <c r="AS387" s="140">
        <v>0</v>
      </c>
      <c r="AT387" s="140">
        <v>0</v>
      </c>
      <c r="AU387" s="140">
        <v>0</v>
      </c>
      <c r="AV387" s="140">
        <v>0</v>
      </c>
      <c r="AW387" s="140">
        <v>0</v>
      </c>
      <c r="AX387" s="140">
        <v>0</v>
      </c>
      <c r="AY387" s="140">
        <v>0</v>
      </c>
      <c r="AZ387" s="140">
        <v>0</v>
      </c>
      <c r="BA387" s="140">
        <v>0</v>
      </c>
      <c r="BB387" s="140">
        <v>0</v>
      </c>
      <c r="BC387" s="140">
        <v>0</v>
      </c>
      <c r="BD387" s="140">
        <v>0</v>
      </c>
      <c r="BE387" s="140">
        <v>1</v>
      </c>
      <c r="BF387" s="140">
        <v>0</v>
      </c>
      <c r="BG387" s="140">
        <v>0</v>
      </c>
      <c r="BH387" s="140">
        <v>0</v>
      </c>
      <c r="BI387" s="140">
        <v>0</v>
      </c>
      <c r="BJ387" s="140">
        <v>0</v>
      </c>
      <c r="BK387" s="140">
        <v>0</v>
      </c>
      <c r="BL387" s="140">
        <v>0</v>
      </c>
      <c r="BM387" s="140">
        <v>0</v>
      </c>
      <c r="BN387" s="140">
        <v>0</v>
      </c>
      <c r="BO387" s="140">
        <v>0</v>
      </c>
      <c r="BX387" s="43">
        <v>2</v>
      </c>
      <c r="BZ387" s="90">
        <f>M387</f>
        <v>1</v>
      </c>
      <c r="CT387" s="90">
        <f t="shared" si="31"/>
        <v>1</v>
      </c>
      <c r="CU387" s="90">
        <f t="shared" si="32"/>
        <v>1</v>
      </c>
    </row>
    <row r="388" spans="1:99" ht="12" customHeight="1">
      <c r="A388" s="43">
        <v>6631</v>
      </c>
      <c r="B388" s="89" t="s">
        <v>813</v>
      </c>
      <c r="C388" s="89" t="s">
        <v>1292</v>
      </c>
      <c r="D388" s="89" t="s">
        <v>1293</v>
      </c>
      <c r="F388" s="43">
        <v>529120</v>
      </c>
      <c r="G388" s="43">
        <v>172604</v>
      </c>
      <c r="H388" s="89" t="s">
        <v>167</v>
      </c>
      <c r="I388" s="125">
        <v>43724</v>
      </c>
      <c r="K388" s="140">
        <v>3</v>
      </c>
      <c r="L388" s="140">
        <v>1</v>
      </c>
      <c r="M388" s="140">
        <v>-2</v>
      </c>
      <c r="N388" s="140">
        <v>1</v>
      </c>
      <c r="O388" s="140">
        <v>-2</v>
      </c>
      <c r="Q388" s="89" t="s">
        <v>1294</v>
      </c>
      <c r="R388" s="43" t="s">
        <v>316</v>
      </c>
      <c r="S388" s="125">
        <v>42901</v>
      </c>
      <c r="T388" s="117">
        <v>42957</v>
      </c>
      <c r="V388" s="43" t="s">
        <v>317</v>
      </c>
      <c r="X388" s="43" t="s">
        <v>318</v>
      </c>
      <c r="Y388" s="43" t="s">
        <v>348</v>
      </c>
      <c r="Z388" s="43" t="s">
        <v>320</v>
      </c>
      <c r="AA388" s="43" t="s">
        <v>22</v>
      </c>
      <c r="AB388" s="144">
        <v>5.2000001072883599E-2</v>
      </c>
      <c r="AC388" s="125">
        <v>43724</v>
      </c>
      <c r="AD388" s="43" t="s">
        <v>329</v>
      </c>
      <c r="AF388" s="43" t="s">
        <v>75</v>
      </c>
      <c r="AG388" s="43" t="s">
        <v>322</v>
      </c>
      <c r="AJ388" s="140">
        <v>0</v>
      </c>
      <c r="AK388" s="140">
        <v>0</v>
      </c>
      <c r="AL388" s="140">
        <v>0</v>
      </c>
      <c r="AM388" s="140">
        <v>0</v>
      </c>
      <c r="AN388" s="140">
        <v>0</v>
      </c>
      <c r="AO388" s="140">
        <v>0</v>
      </c>
      <c r="AP388" s="140">
        <v>-3</v>
      </c>
      <c r="AQ388" s="140">
        <v>0</v>
      </c>
      <c r="AR388" s="140">
        <v>0</v>
      </c>
      <c r="AS388" s="140">
        <v>1</v>
      </c>
      <c r="AT388" s="140">
        <v>0</v>
      </c>
      <c r="AU388" s="140">
        <v>0</v>
      </c>
      <c r="AV388" s="140">
        <v>0</v>
      </c>
      <c r="AW388" s="140">
        <v>-3</v>
      </c>
      <c r="AX388" s="140">
        <v>0</v>
      </c>
      <c r="AY388" s="140">
        <v>0</v>
      </c>
      <c r="AZ388" s="140">
        <v>0</v>
      </c>
      <c r="BA388" s="140">
        <v>0</v>
      </c>
      <c r="BB388" s="140">
        <v>0</v>
      </c>
      <c r="BC388" s="140">
        <v>0</v>
      </c>
      <c r="BD388" s="140">
        <v>0</v>
      </c>
      <c r="BE388" s="140">
        <v>0</v>
      </c>
      <c r="BF388" s="140">
        <v>0</v>
      </c>
      <c r="BG388" s="140">
        <v>1</v>
      </c>
      <c r="BH388" s="140">
        <v>0</v>
      </c>
      <c r="BI388" s="140">
        <v>0</v>
      </c>
      <c r="BJ388" s="140">
        <v>0</v>
      </c>
      <c r="BK388" s="140">
        <v>0</v>
      </c>
      <c r="BL388" s="140">
        <v>0</v>
      </c>
      <c r="BM388" s="140">
        <v>0</v>
      </c>
      <c r="BN388" s="140">
        <v>0</v>
      </c>
      <c r="BO388" s="140">
        <v>0</v>
      </c>
      <c r="BX388" s="43">
        <v>13</v>
      </c>
      <c r="BZ388" s="90">
        <f>M388</f>
        <v>-2</v>
      </c>
      <c r="CT388" s="90">
        <f t="shared" si="31"/>
        <v>-2</v>
      </c>
      <c r="CU388" s="90">
        <f t="shared" si="32"/>
        <v>-2</v>
      </c>
    </row>
    <row r="389" spans="1:99" ht="12" customHeight="1">
      <c r="A389" s="43">
        <v>6633</v>
      </c>
      <c r="B389" s="89" t="s">
        <v>813</v>
      </c>
      <c r="C389" s="89" t="s">
        <v>1295</v>
      </c>
      <c r="D389" s="89" t="s">
        <v>1296</v>
      </c>
      <c r="F389" s="43">
        <v>528446</v>
      </c>
      <c r="G389" s="43">
        <v>175694</v>
      </c>
      <c r="H389" s="89" t="s">
        <v>175</v>
      </c>
      <c r="I389" s="125">
        <v>43921</v>
      </c>
      <c r="K389" s="140">
        <v>1</v>
      </c>
      <c r="L389" s="140">
        <v>9</v>
      </c>
      <c r="M389" s="140">
        <v>8</v>
      </c>
      <c r="N389" s="140">
        <v>9</v>
      </c>
      <c r="O389" s="140">
        <v>8</v>
      </c>
      <c r="Q389" s="89" t="s">
        <v>1297</v>
      </c>
      <c r="R389" s="43" t="s">
        <v>316</v>
      </c>
      <c r="S389" s="125">
        <v>43129</v>
      </c>
      <c r="T389" s="117">
        <v>43285</v>
      </c>
      <c r="V389" s="43" t="s">
        <v>317</v>
      </c>
      <c r="X389" s="43" t="s">
        <v>318</v>
      </c>
      <c r="Y389" s="43" t="s">
        <v>361</v>
      </c>
      <c r="Z389" s="43" t="s">
        <v>320</v>
      </c>
      <c r="AA389" s="43" t="s">
        <v>353</v>
      </c>
      <c r="AB389" s="144">
        <v>9.4999998807907104E-2</v>
      </c>
      <c r="AC389" s="125">
        <v>43921</v>
      </c>
      <c r="AD389" s="43" t="s">
        <v>329</v>
      </c>
      <c r="AF389" s="43" t="s">
        <v>75</v>
      </c>
      <c r="AG389" s="43" t="s">
        <v>322</v>
      </c>
      <c r="AJ389" s="140">
        <v>0</v>
      </c>
      <c r="AK389" s="140">
        <v>0</v>
      </c>
      <c r="AL389" s="140">
        <v>0</v>
      </c>
      <c r="AM389" s="140">
        <v>1</v>
      </c>
      <c r="AN389" s="140">
        <v>0</v>
      </c>
      <c r="AO389" s="140">
        <v>1</v>
      </c>
      <c r="AP389" s="140">
        <v>6</v>
      </c>
      <c r="AQ389" s="140">
        <v>1</v>
      </c>
      <c r="AR389" s="140">
        <v>0</v>
      </c>
      <c r="AS389" s="140">
        <v>0</v>
      </c>
      <c r="AT389" s="140">
        <v>0</v>
      </c>
      <c r="AU389" s="140">
        <v>0</v>
      </c>
      <c r="AV389" s="140">
        <v>1</v>
      </c>
      <c r="AW389" s="140">
        <v>6</v>
      </c>
      <c r="AX389" s="140">
        <v>1</v>
      </c>
      <c r="AY389" s="140">
        <v>0</v>
      </c>
      <c r="AZ389" s="140">
        <v>0</v>
      </c>
      <c r="BA389" s="140">
        <v>0</v>
      </c>
      <c r="BB389" s="140">
        <v>0</v>
      </c>
      <c r="BC389" s="140">
        <v>0</v>
      </c>
      <c r="BD389" s="140">
        <v>0</v>
      </c>
      <c r="BE389" s="140">
        <v>0</v>
      </c>
      <c r="BF389" s="140">
        <v>0</v>
      </c>
      <c r="BG389" s="140">
        <v>0</v>
      </c>
      <c r="BH389" s="140">
        <v>0</v>
      </c>
      <c r="BI389" s="140">
        <v>0</v>
      </c>
      <c r="BJ389" s="140">
        <v>0</v>
      </c>
      <c r="BK389" s="140">
        <v>0</v>
      </c>
      <c r="BL389" s="140">
        <v>0</v>
      </c>
      <c r="BM389" s="140">
        <v>0</v>
      </c>
      <c r="BN389" s="140">
        <v>0</v>
      </c>
      <c r="BO389" s="140">
        <v>0</v>
      </c>
      <c r="BX389" s="43">
        <v>3</v>
      </c>
      <c r="BZ389" s="90">
        <f>$M389/2</f>
        <v>4</v>
      </c>
      <c r="CA389" s="90">
        <f>$M389/2</f>
        <v>4</v>
      </c>
      <c r="CT389" s="90">
        <f t="shared" si="31"/>
        <v>8</v>
      </c>
      <c r="CU389" s="90">
        <f t="shared" si="32"/>
        <v>8</v>
      </c>
    </row>
    <row r="390" spans="1:99" ht="12" customHeight="1">
      <c r="A390" s="43">
        <v>6643</v>
      </c>
      <c r="B390" s="89" t="s">
        <v>813</v>
      </c>
      <c r="C390" s="89" t="s">
        <v>1298</v>
      </c>
      <c r="D390" s="89" t="s">
        <v>1299</v>
      </c>
      <c r="F390" s="43">
        <v>527583</v>
      </c>
      <c r="G390" s="43">
        <v>175000</v>
      </c>
      <c r="H390" s="89" t="s">
        <v>174</v>
      </c>
      <c r="I390" s="125">
        <v>43290</v>
      </c>
      <c r="K390" s="140">
        <v>0</v>
      </c>
      <c r="L390" s="140">
        <v>1</v>
      </c>
      <c r="M390" s="140">
        <v>1</v>
      </c>
      <c r="N390" s="140">
        <v>1</v>
      </c>
      <c r="O390" s="140">
        <v>1</v>
      </c>
      <c r="Q390" s="89" t="s">
        <v>1300</v>
      </c>
      <c r="R390" s="43" t="s">
        <v>316</v>
      </c>
      <c r="S390" s="125">
        <v>42912</v>
      </c>
      <c r="T390" s="117">
        <v>43032</v>
      </c>
      <c r="V390" s="43" t="s">
        <v>317</v>
      </c>
      <c r="X390" s="43" t="s">
        <v>318</v>
      </c>
      <c r="Y390" s="43" t="s">
        <v>379</v>
      </c>
      <c r="Z390" s="43" t="s">
        <v>320</v>
      </c>
      <c r="AA390" s="43" t="s">
        <v>340</v>
      </c>
      <c r="AB390" s="144">
        <v>8.9999996125698107E-3</v>
      </c>
      <c r="AC390" s="125">
        <v>43290</v>
      </c>
      <c r="AF390" s="43" t="s">
        <v>75</v>
      </c>
      <c r="AG390" s="43" t="s">
        <v>322</v>
      </c>
      <c r="AJ390" s="140">
        <v>0</v>
      </c>
      <c r="AK390" s="140">
        <v>0</v>
      </c>
      <c r="AL390" s="140">
        <v>0</v>
      </c>
      <c r="AM390" s="140">
        <v>0</v>
      </c>
      <c r="AN390" s="140">
        <v>0</v>
      </c>
      <c r="AO390" s="140">
        <v>0</v>
      </c>
      <c r="AP390" s="140">
        <v>1</v>
      </c>
      <c r="AQ390" s="140">
        <v>0</v>
      </c>
      <c r="AR390" s="140">
        <v>0</v>
      </c>
      <c r="AS390" s="140">
        <v>0</v>
      </c>
      <c r="AT390" s="140">
        <v>0</v>
      </c>
      <c r="AU390" s="140">
        <v>0</v>
      </c>
      <c r="AV390" s="140">
        <v>0</v>
      </c>
      <c r="AW390" s="140">
        <v>1</v>
      </c>
      <c r="AX390" s="140">
        <v>0</v>
      </c>
      <c r="AY390" s="140">
        <v>0</v>
      </c>
      <c r="AZ390" s="140">
        <v>0</v>
      </c>
      <c r="BA390" s="140">
        <v>0</v>
      </c>
      <c r="BB390" s="140">
        <v>0</v>
      </c>
      <c r="BC390" s="140">
        <v>0</v>
      </c>
      <c r="BD390" s="140">
        <v>0</v>
      </c>
      <c r="BE390" s="140">
        <v>0</v>
      </c>
      <c r="BF390" s="140">
        <v>0</v>
      </c>
      <c r="BG390" s="140">
        <v>0</v>
      </c>
      <c r="BH390" s="140">
        <v>0</v>
      </c>
      <c r="BI390" s="140">
        <v>0</v>
      </c>
      <c r="BJ390" s="140">
        <v>0</v>
      </c>
      <c r="BK390" s="140">
        <v>0</v>
      </c>
      <c r="BL390" s="140">
        <v>0</v>
      </c>
      <c r="BM390" s="140">
        <v>0</v>
      </c>
      <c r="BN390" s="140">
        <v>0</v>
      </c>
      <c r="BO390" s="140">
        <v>0</v>
      </c>
      <c r="BX390" s="43">
        <v>13</v>
      </c>
      <c r="BZ390" s="90">
        <f>M390</f>
        <v>1</v>
      </c>
      <c r="CT390" s="90">
        <f t="shared" si="31"/>
        <v>1</v>
      </c>
      <c r="CU390" s="90">
        <f t="shared" si="32"/>
        <v>1</v>
      </c>
    </row>
    <row r="391" spans="1:99" ht="12" customHeight="1">
      <c r="A391" s="43">
        <v>6652</v>
      </c>
      <c r="B391" s="89" t="s">
        <v>813</v>
      </c>
      <c r="C391" s="89" t="s">
        <v>1301</v>
      </c>
      <c r="D391" s="89" t="s">
        <v>1302</v>
      </c>
      <c r="E391" s="89" t="s">
        <v>728</v>
      </c>
      <c r="F391" s="43">
        <v>527521</v>
      </c>
      <c r="G391" s="43">
        <v>171650</v>
      </c>
      <c r="H391" s="89" t="s">
        <v>141</v>
      </c>
      <c r="I391" s="125">
        <v>43668</v>
      </c>
      <c r="K391" s="140">
        <v>0</v>
      </c>
      <c r="L391" s="140">
        <v>1</v>
      </c>
      <c r="M391" s="140">
        <v>1</v>
      </c>
      <c r="N391" s="140">
        <v>2</v>
      </c>
      <c r="O391" s="140">
        <v>0</v>
      </c>
      <c r="Q391" s="89" t="s">
        <v>1303</v>
      </c>
      <c r="R391" s="43" t="s">
        <v>316</v>
      </c>
      <c r="S391" s="125">
        <v>43241</v>
      </c>
      <c r="T391" s="117">
        <v>43284</v>
      </c>
      <c r="V391" s="43" t="s">
        <v>317</v>
      </c>
      <c r="X391" s="43" t="s">
        <v>318</v>
      </c>
      <c r="Y391" s="43" t="s">
        <v>319</v>
      </c>
      <c r="Z391" s="43" t="s">
        <v>320</v>
      </c>
      <c r="AA391" s="43" t="s">
        <v>30</v>
      </c>
      <c r="AB391" s="144">
        <v>3.0000000260770299E-3</v>
      </c>
      <c r="AC391" s="125">
        <v>43668</v>
      </c>
      <c r="AD391" s="43" t="s">
        <v>329</v>
      </c>
      <c r="AF391" s="43" t="s">
        <v>75</v>
      </c>
      <c r="AG391" s="43" t="s">
        <v>322</v>
      </c>
      <c r="AJ391" s="140">
        <v>0</v>
      </c>
      <c r="AK391" s="140">
        <v>0</v>
      </c>
      <c r="AL391" s="140">
        <v>0</v>
      </c>
      <c r="AM391" s="140">
        <v>0</v>
      </c>
      <c r="AN391" s="140">
        <v>0</v>
      </c>
      <c r="AO391" s="140">
        <v>1</v>
      </c>
      <c r="AP391" s="140">
        <v>0</v>
      </c>
      <c r="AQ391" s="140">
        <v>0</v>
      </c>
      <c r="AR391" s="140">
        <v>0</v>
      </c>
      <c r="AS391" s="140">
        <v>0</v>
      </c>
      <c r="AT391" s="140">
        <v>0</v>
      </c>
      <c r="AU391" s="140">
        <v>0</v>
      </c>
      <c r="AV391" s="140">
        <v>1</v>
      </c>
      <c r="AW391" s="140">
        <v>0</v>
      </c>
      <c r="AX391" s="140">
        <v>0</v>
      </c>
      <c r="AY391" s="140">
        <v>0</v>
      </c>
      <c r="AZ391" s="140">
        <v>0</v>
      </c>
      <c r="BA391" s="140">
        <v>0</v>
      </c>
      <c r="BB391" s="140">
        <v>0</v>
      </c>
      <c r="BC391" s="140">
        <v>0</v>
      </c>
      <c r="BD391" s="140">
        <v>0</v>
      </c>
      <c r="BE391" s="140">
        <v>0</v>
      </c>
      <c r="BF391" s="140">
        <v>0</v>
      </c>
      <c r="BG391" s="140">
        <v>0</v>
      </c>
      <c r="BH391" s="140">
        <v>0</v>
      </c>
      <c r="BI391" s="140">
        <v>0</v>
      </c>
      <c r="BJ391" s="140">
        <v>0</v>
      </c>
      <c r="BK391" s="140">
        <v>0</v>
      </c>
      <c r="BL391" s="140">
        <v>0</v>
      </c>
      <c r="BM391" s="140">
        <v>0</v>
      </c>
      <c r="BN391" s="140">
        <v>0</v>
      </c>
      <c r="BO391" s="140">
        <v>0</v>
      </c>
      <c r="BP391" s="43" t="s">
        <v>141</v>
      </c>
      <c r="BX391" s="43">
        <v>13</v>
      </c>
      <c r="BZ391" s="90">
        <f>M391</f>
        <v>1</v>
      </c>
      <c r="CT391" s="90">
        <f t="shared" si="31"/>
        <v>1</v>
      </c>
      <c r="CU391" s="90">
        <f t="shared" si="32"/>
        <v>1</v>
      </c>
    </row>
    <row r="392" spans="1:99" ht="12" customHeight="1">
      <c r="A392" s="43">
        <v>6652</v>
      </c>
      <c r="B392" s="89" t="s">
        <v>813</v>
      </c>
      <c r="C392" s="89" t="s">
        <v>1301</v>
      </c>
      <c r="D392" s="89" t="s">
        <v>1302</v>
      </c>
      <c r="E392" s="89" t="s">
        <v>1157</v>
      </c>
      <c r="F392" s="43">
        <v>527521</v>
      </c>
      <c r="G392" s="43">
        <v>171650</v>
      </c>
      <c r="H392" s="89" t="s">
        <v>141</v>
      </c>
      <c r="I392" s="125">
        <v>43668</v>
      </c>
      <c r="K392" s="140">
        <v>2</v>
      </c>
      <c r="L392" s="140">
        <v>1</v>
      </c>
      <c r="M392" s="140">
        <v>-1</v>
      </c>
      <c r="N392" s="140">
        <v>2</v>
      </c>
      <c r="O392" s="140">
        <v>0</v>
      </c>
      <c r="Q392" s="89" t="s">
        <v>1303</v>
      </c>
      <c r="R392" s="43" t="s">
        <v>316</v>
      </c>
      <c r="S392" s="125">
        <v>43241</v>
      </c>
      <c r="T392" s="117">
        <v>43284</v>
      </c>
      <c r="V392" s="43" t="s">
        <v>317</v>
      </c>
      <c r="X392" s="43" t="s">
        <v>318</v>
      </c>
      <c r="Y392" s="43" t="s">
        <v>319</v>
      </c>
      <c r="Z392" s="43" t="s">
        <v>320</v>
      </c>
      <c r="AA392" s="43" t="s">
        <v>340</v>
      </c>
      <c r="AB392" s="144">
        <v>6.0000000521540598E-3</v>
      </c>
      <c r="AC392" s="125">
        <v>43668</v>
      </c>
      <c r="AD392" s="43" t="s">
        <v>329</v>
      </c>
      <c r="AF392" s="43" t="s">
        <v>75</v>
      </c>
      <c r="AG392" s="43" t="s">
        <v>322</v>
      </c>
      <c r="AJ392" s="140">
        <v>0</v>
      </c>
      <c r="AK392" s="140">
        <v>0</v>
      </c>
      <c r="AL392" s="140">
        <v>0</v>
      </c>
      <c r="AM392" s="140">
        <v>0</v>
      </c>
      <c r="AN392" s="140">
        <v>-1</v>
      </c>
      <c r="AO392" s="140">
        <v>-1</v>
      </c>
      <c r="AP392" s="140">
        <v>1</v>
      </c>
      <c r="AQ392" s="140">
        <v>0</v>
      </c>
      <c r="AR392" s="140">
        <v>0</v>
      </c>
      <c r="AS392" s="140">
        <v>0</v>
      </c>
      <c r="AT392" s="140">
        <v>0</v>
      </c>
      <c r="AU392" s="140">
        <v>-1</v>
      </c>
      <c r="AV392" s="140">
        <v>-1</v>
      </c>
      <c r="AW392" s="140">
        <v>1</v>
      </c>
      <c r="AX392" s="140">
        <v>0</v>
      </c>
      <c r="AY392" s="140">
        <v>0</v>
      </c>
      <c r="AZ392" s="140">
        <v>0</v>
      </c>
      <c r="BA392" s="140">
        <v>0</v>
      </c>
      <c r="BB392" s="140">
        <v>0</v>
      </c>
      <c r="BC392" s="140">
        <v>0</v>
      </c>
      <c r="BD392" s="140">
        <v>0</v>
      </c>
      <c r="BE392" s="140">
        <v>0</v>
      </c>
      <c r="BF392" s="140">
        <v>0</v>
      </c>
      <c r="BG392" s="140">
        <v>0</v>
      </c>
      <c r="BH392" s="140">
        <v>0</v>
      </c>
      <c r="BI392" s="140">
        <v>0</v>
      </c>
      <c r="BJ392" s="140">
        <v>0</v>
      </c>
      <c r="BK392" s="140">
        <v>0</v>
      </c>
      <c r="BL392" s="140">
        <v>0</v>
      </c>
      <c r="BM392" s="140">
        <v>0</v>
      </c>
      <c r="BN392" s="140">
        <v>0</v>
      </c>
      <c r="BO392" s="140">
        <v>0</v>
      </c>
      <c r="BP392" s="43" t="s">
        <v>141</v>
      </c>
      <c r="BX392" s="43">
        <v>13</v>
      </c>
      <c r="BZ392" s="90">
        <f>M392</f>
        <v>-1</v>
      </c>
      <c r="CT392" s="90">
        <f t="shared" si="31"/>
        <v>-1</v>
      </c>
      <c r="CU392" s="90">
        <f t="shared" si="32"/>
        <v>-1</v>
      </c>
    </row>
    <row r="393" spans="1:99" ht="12" customHeight="1">
      <c r="A393" s="43">
        <v>6666</v>
      </c>
      <c r="B393" s="89" t="s">
        <v>813</v>
      </c>
      <c r="C393" s="89" t="s">
        <v>1304</v>
      </c>
      <c r="D393" s="89" t="s">
        <v>1305</v>
      </c>
      <c r="F393" s="43">
        <v>527769</v>
      </c>
      <c r="G393" s="43">
        <v>174002</v>
      </c>
      <c r="H393" s="89" t="s">
        <v>138</v>
      </c>
      <c r="I393" s="125">
        <v>43921</v>
      </c>
      <c r="K393" s="140">
        <v>3</v>
      </c>
      <c r="L393" s="140">
        <v>1</v>
      </c>
      <c r="M393" s="140">
        <v>-2</v>
      </c>
      <c r="N393" s="140">
        <v>1</v>
      </c>
      <c r="O393" s="140">
        <v>-2</v>
      </c>
      <c r="Q393" s="89" t="s">
        <v>1306</v>
      </c>
      <c r="R393" s="43" t="s">
        <v>316</v>
      </c>
      <c r="S393" s="125">
        <v>42963</v>
      </c>
      <c r="T393" s="117">
        <v>43019</v>
      </c>
      <c r="V393" s="43" t="s">
        <v>317</v>
      </c>
      <c r="X393" s="43" t="s">
        <v>318</v>
      </c>
      <c r="Y393" s="43" t="s">
        <v>319</v>
      </c>
      <c r="Z393" s="43" t="s">
        <v>320</v>
      </c>
      <c r="AA393" s="43" t="s">
        <v>22</v>
      </c>
      <c r="AB393" s="144">
        <v>2.0999999716877899E-2</v>
      </c>
      <c r="AC393" s="125">
        <v>43921</v>
      </c>
      <c r="AD393" s="43" t="s">
        <v>329</v>
      </c>
      <c r="AF393" s="43" t="s">
        <v>75</v>
      </c>
      <c r="AG393" s="43" t="s">
        <v>322</v>
      </c>
      <c r="AJ393" s="140">
        <v>0</v>
      </c>
      <c r="AK393" s="140">
        <v>0</v>
      </c>
      <c r="AL393" s="140">
        <v>0</v>
      </c>
      <c r="AM393" s="140">
        <v>0</v>
      </c>
      <c r="AN393" s="140">
        <v>0</v>
      </c>
      <c r="AO393" s="140">
        <v>-2</v>
      </c>
      <c r="AP393" s="140">
        <v>-1</v>
      </c>
      <c r="AQ393" s="140">
        <v>0</v>
      </c>
      <c r="AR393" s="140">
        <v>0</v>
      </c>
      <c r="AS393" s="140">
        <v>1</v>
      </c>
      <c r="AT393" s="140">
        <v>0</v>
      </c>
      <c r="AU393" s="140">
        <v>0</v>
      </c>
      <c r="AV393" s="140">
        <v>-2</v>
      </c>
      <c r="AW393" s="140">
        <v>-1</v>
      </c>
      <c r="AX393" s="140">
        <v>0</v>
      </c>
      <c r="AY393" s="140">
        <v>0</v>
      </c>
      <c r="AZ393" s="140">
        <v>0</v>
      </c>
      <c r="BA393" s="140">
        <v>0</v>
      </c>
      <c r="BB393" s="140">
        <v>0</v>
      </c>
      <c r="BC393" s="140">
        <v>0</v>
      </c>
      <c r="BD393" s="140">
        <v>0</v>
      </c>
      <c r="BE393" s="140">
        <v>0</v>
      </c>
      <c r="BF393" s="140">
        <v>0</v>
      </c>
      <c r="BG393" s="140">
        <v>1</v>
      </c>
      <c r="BH393" s="140">
        <v>0</v>
      </c>
      <c r="BI393" s="140">
        <v>0</v>
      </c>
      <c r="BJ393" s="140">
        <v>0</v>
      </c>
      <c r="BK393" s="140">
        <v>0</v>
      </c>
      <c r="BL393" s="140">
        <v>0</v>
      </c>
      <c r="BM393" s="140">
        <v>0</v>
      </c>
      <c r="BN393" s="140">
        <v>0</v>
      </c>
      <c r="BO393" s="140">
        <v>0</v>
      </c>
      <c r="BX393" s="43">
        <v>14</v>
      </c>
      <c r="BZ393" s="90">
        <f>$M393/2</f>
        <v>-1</v>
      </c>
      <c r="CA393" s="90">
        <f>$M393/2</f>
        <v>-1</v>
      </c>
      <c r="CT393" s="90">
        <f t="shared" si="31"/>
        <v>-2</v>
      </c>
      <c r="CU393" s="90">
        <f t="shared" si="32"/>
        <v>-2</v>
      </c>
    </row>
    <row r="394" spans="1:99" ht="12" customHeight="1">
      <c r="A394" s="43">
        <v>6668</v>
      </c>
      <c r="B394" s="89" t="s">
        <v>813</v>
      </c>
      <c r="C394" s="89" t="s">
        <v>1307</v>
      </c>
      <c r="D394" s="89" t="s">
        <v>1308</v>
      </c>
      <c r="F394" s="43">
        <v>527779</v>
      </c>
      <c r="G394" s="43">
        <v>172707</v>
      </c>
      <c r="H394" s="89" t="s">
        <v>173</v>
      </c>
      <c r="I394" s="125">
        <v>43549</v>
      </c>
      <c r="K394" s="140">
        <v>1</v>
      </c>
      <c r="L394" s="140">
        <v>3</v>
      </c>
      <c r="M394" s="140">
        <v>2</v>
      </c>
      <c r="N394" s="140">
        <v>3</v>
      </c>
      <c r="O394" s="140">
        <v>2</v>
      </c>
      <c r="Q394" s="89" t="s">
        <v>1309</v>
      </c>
      <c r="R394" s="43" t="s">
        <v>316</v>
      </c>
      <c r="S394" s="125">
        <v>42955</v>
      </c>
      <c r="T394" s="117">
        <v>43067</v>
      </c>
      <c r="V394" s="43" t="s">
        <v>317</v>
      </c>
      <c r="X394" s="43" t="s">
        <v>318</v>
      </c>
      <c r="Y394" s="43" t="s">
        <v>319</v>
      </c>
      <c r="Z394" s="43" t="s">
        <v>320</v>
      </c>
      <c r="AA394" s="43" t="s">
        <v>20</v>
      </c>
      <c r="AB394" s="144">
        <v>1.7000000923872001E-2</v>
      </c>
      <c r="AC394" s="125">
        <v>43549</v>
      </c>
      <c r="AF394" s="43" t="s">
        <v>75</v>
      </c>
      <c r="AG394" s="43" t="s">
        <v>322</v>
      </c>
      <c r="AJ394" s="140">
        <v>0</v>
      </c>
      <c r="AK394" s="140">
        <v>0</v>
      </c>
      <c r="AL394" s="140">
        <v>0</v>
      </c>
      <c r="AM394" s="140">
        <v>0</v>
      </c>
      <c r="AN394" s="140">
        <v>0</v>
      </c>
      <c r="AO394" s="140">
        <v>1</v>
      </c>
      <c r="AP394" s="140">
        <v>1</v>
      </c>
      <c r="AQ394" s="140">
        <v>1</v>
      </c>
      <c r="AR394" s="140">
        <v>0</v>
      </c>
      <c r="AS394" s="140">
        <v>-1</v>
      </c>
      <c r="AT394" s="140">
        <v>0</v>
      </c>
      <c r="AU394" s="140">
        <v>0</v>
      </c>
      <c r="AV394" s="140">
        <v>1</v>
      </c>
      <c r="AW394" s="140">
        <v>1</v>
      </c>
      <c r="AX394" s="140">
        <v>1</v>
      </c>
      <c r="AY394" s="140">
        <v>0</v>
      </c>
      <c r="AZ394" s="140">
        <v>0</v>
      </c>
      <c r="BA394" s="140">
        <v>0</v>
      </c>
      <c r="BB394" s="140">
        <v>0</v>
      </c>
      <c r="BC394" s="140">
        <v>0</v>
      </c>
      <c r="BD394" s="140">
        <v>0</v>
      </c>
      <c r="BE394" s="140">
        <v>0</v>
      </c>
      <c r="BF394" s="140">
        <v>0</v>
      </c>
      <c r="BG394" s="140">
        <v>-1</v>
      </c>
      <c r="BH394" s="140">
        <v>0</v>
      </c>
      <c r="BI394" s="140">
        <v>0</v>
      </c>
      <c r="BJ394" s="140">
        <v>0</v>
      </c>
      <c r="BK394" s="140">
        <v>0</v>
      </c>
      <c r="BL394" s="140">
        <v>0</v>
      </c>
      <c r="BM394" s="140">
        <v>0</v>
      </c>
      <c r="BN394" s="140">
        <v>0</v>
      </c>
      <c r="BO394" s="140">
        <v>0</v>
      </c>
      <c r="BX394" s="43">
        <v>13</v>
      </c>
      <c r="BZ394" s="90">
        <f>M394</f>
        <v>2</v>
      </c>
      <c r="CT394" s="90">
        <f t="shared" si="31"/>
        <v>2</v>
      </c>
      <c r="CU394" s="90">
        <f t="shared" si="32"/>
        <v>2</v>
      </c>
    </row>
    <row r="395" spans="1:99" ht="12" customHeight="1">
      <c r="A395" s="43">
        <v>6681</v>
      </c>
      <c r="B395" s="89" t="s">
        <v>813</v>
      </c>
      <c r="C395" s="89" t="s">
        <v>1310</v>
      </c>
      <c r="D395" s="89" t="s">
        <v>1311</v>
      </c>
      <c r="F395" s="43">
        <v>527270</v>
      </c>
      <c r="G395" s="43">
        <v>171198</v>
      </c>
      <c r="H395" s="89" t="s">
        <v>141</v>
      </c>
      <c r="I395" s="125">
        <v>43686</v>
      </c>
      <c r="K395" s="140">
        <v>0</v>
      </c>
      <c r="L395" s="140">
        <v>4</v>
      </c>
      <c r="M395" s="140">
        <v>4</v>
      </c>
      <c r="N395" s="140">
        <v>4</v>
      </c>
      <c r="O395" s="140">
        <v>4</v>
      </c>
      <c r="Q395" s="89" t="s">
        <v>1312</v>
      </c>
      <c r="R395" s="43" t="s">
        <v>316</v>
      </c>
      <c r="S395" s="125">
        <v>42954</v>
      </c>
      <c r="T395" s="117">
        <v>43032</v>
      </c>
      <c r="V395" s="43" t="s">
        <v>317</v>
      </c>
      <c r="X395" s="43" t="s">
        <v>318</v>
      </c>
      <c r="Y395" s="43" t="s">
        <v>379</v>
      </c>
      <c r="Z395" s="43" t="s">
        <v>320</v>
      </c>
      <c r="AA395" s="43" t="s">
        <v>340</v>
      </c>
      <c r="AB395" s="144">
        <v>1.30000002682209E-2</v>
      </c>
      <c r="AC395" s="125">
        <v>43686</v>
      </c>
      <c r="AD395" s="43" t="s">
        <v>329</v>
      </c>
      <c r="AF395" s="43" t="s">
        <v>75</v>
      </c>
      <c r="AG395" s="43" t="s">
        <v>322</v>
      </c>
      <c r="AJ395" s="140">
        <v>0</v>
      </c>
      <c r="AK395" s="140">
        <v>0</v>
      </c>
      <c r="AL395" s="140">
        <v>0</v>
      </c>
      <c r="AM395" s="140">
        <v>0</v>
      </c>
      <c r="AN395" s="140">
        <v>0</v>
      </c>
      <c r="AO395" s="140">
        <v>0</v>
      </c>
      <c r="AP395" s="140">
        <v>4</v>
      </c>
      <c r="AQ395" s="140">
        <v>0</v>
      </c>
      <c r="AR395" s="140">
        <v>0</v>
      </c>
      <c r="AS395" s="140">
        <v>0</v>
      </c>
      <c r="AT395" s="140">
        <v>0</v>
      </c>
      <c r="AU395" s="140">
        <v>0</v>
      </c>
      <c r="AV395" s="140">
        <v>0</v>
      </c>
      <c r="AW395" s="140">
        <v>4</v>
      </c>
      <c r="AX395" s="140">
        <v>0</v>
      </c>
      <c r="AY395" s="140">
        <v>0</v>
      </c>
      <c r="AZ395" s="140">
        <v>0</v>
      </c>
      <c r="BA395" s="140">
        <v>0</v>
      </c>
      <c r="BB395" s="140">
        <v>0</v>
      </c>
      <c r="BC395" s="140">
        <v>0</v>
      </c>
      <c r="BD395" s="140">
        <v>0</v>
      </c>
      <c r="BE395" s="140">
        <v>0</v>
      </c>
      <c r="BF395" s="140">
        <v>0</v>
      </c>
      <c r="BG395" s="140">
        <v>0</v>
      </c>
      <c r="BH395" s="140">
        <v>0</v>
      </c>
      <c r="BI395" s="140">
        <v>0</v>
      </c>
      <c r="BJ395" s="140">
        <v>0</v>
      </c>
      <c r="BK395" s="140">
        <v>0</v>
      </c>
      <c r="BL395" s="140">
        <v>0</v>
      </c>
      <c r="BM395" s="140">
        <v>0</v>
      </c>
      <c r="BN395" s="140">
        <v>0</v>
      </c>
      <c r="BO395" s="140">
        <v>0</v>
      </c>
      <c r="BX395" s="43">
        <v>13</v>
      </c>
      <c r="BZ395" s="90">
        <f>M395</f>
        <v>4</v>
      </c>
      <c r="CT395" s="90">
        <f t="shared" si="31"/>
        <v>4</v>
      </c>
      <c r="CU395" s="90">
        <f t="shared" si="32"/>
        <v>4</v>
      </c>
    </row>
    <row r="396" spans="1:99" ht="12" customHeight="1">
      <c r="A396" s="43">
        <v>6703</v>
      </c>
      <c r="B396" s="89" t="s">
        <v>813</v>
      </c>
      <c r="C396" s="89" t="s">
        <v>1313</v>
      </c>
      <c r="D396" s="89" t="s">
        <v>1314</v>
      </c>
      <c r="F396" s="43">
        <v>527632</v>
      </c>
      <c r="G396" s="43">
        <v>170817</v>
      </c>
      <c r="H396" s="89" t="s">
        <v>172</v>
      </c>
      <c r="I396" s="125">
        <v>43066</v>
      </c>
      <c r="K396" s="140">
        <v>2</v>
      </c>
      <c r="L396" s="140">
        <v>1</v>
      </c>
      <c r="M396" s="140">
        <v>-1</v>
      </c>
      <c r="N396" s="140">
        <v>1</v>
      </c>
      <c r="O396" s="140">
        <v>-1</v>
      </c>
      <c r="Q396" s="89" t="s">
        <v>1315</v>
      </c>
      <c r="R396" s="43" t="s">
        <v>316</v>
      </c>
      <c r="S396" s="125">
        <v>42951</v>
      </c>
      <c r="T396" s="117">
        <v>43006</v>
      </c>
      <c r="V396" s="43" t="s">
        <v>317</v>
      </c>
      <c r="X396" s="43" t="s">
        <v>318</v>
      </c>
      <c r="Y396" s="43" t="s">
        <v>348</v>
      </c>
      <c r="Z396" s="43" t="s">
        <v>320</v>
      </c>
      <c r="AA396" s="43" t="s">
        <v>22</v>
      </c>
      <c r="AB396" s="144">
        <v>1.7000000923872001E-2</v>
      </c>
      <c r="AC396" s="125">
        <v>43066</v>
      </c>
      <c r="AF396" s="43" t="s">
        <v>75</v>
      </c>
      <c r="AG396" s="43" t="s">
        <v>322</v>
      </c>
      <c r="AJ396" s="140">
        <v>0</v>
      </c>
      <c r="AK396" s="140">
        <v>0</v>
      </c>
      <c r="AL396" s="140">
        <v>0</v>
      </c>
      <c r="AM396" s="140">
        <v>0</v>
      </c>
      <c r="AN396" s="140">
        <v>0</v>
      </c>
      <c r="AO396" s="140">
        <v>-2</v>
      </c>
      <c r="AP396" s="140">
        <v>0</v>
      </c>
      <c r="AQ396" s="140">
        <v>0</v>
      </c>
      <c r="AR396" s="140">
        <v>0</v>
      </c>
      <c r="AS396" s="140">
        <v>1</v>
      </c>
      <c r="AT396" s="140">
        <v>0</v>
      </c>
      <c r="AU396" s="140">
        <v>0</v>
      </c>
      <c r="AV396" s="140">
        <v>-2</v>
      </c>
      <c r="AW396" s="140">
        <v>0</v>
      </c>
      <c r="AX396" s="140">
        <v>0</v>
      </c>
      <c r="AY396" s="140">
        <v>0</v>
      </c>
      <c r="AZ396" s="140">
        <v>0</v>
      </c>
      <c r="BA396" s="140">
        <v>0</v>
      </c>
      <c r="BB396" s="140">
        <v>0</v>
      </c>
      <c r="BC396" s="140">
        <v>0</v>
      </c>
      <c r="BD396" s="140">
        <v>0</v>
      </c>
      <c r="BE396" s="140">
        <v>0</v>
      </c>
      <c r="BF396" s="140">
        <v>0</v>
      </c>
      <c r="BG396" s="140">
        <v>1</v>
      </c>
      <c r="BH396" s="140">
        <v>0</v>
      </c>
      <c r="BI396" s="140">
        <v>0</v>
      </c>
      <c r="BJ396" s="140">
        <v>0</v>
      </c>
      <c r="BK396" s="140">
        <v>0</v>
      </c>
      <c r="BL396" s="140">
        <v>0</v>
      </c>
      <c r="BM396" s="140">
        <v>0</v>
      </c>
      <c r="BN396" s="140">
        <v>0</v>
      </c>
      <c r="BO396" s="140">
        <v>0</v>
      </c>
      <c r="BX396" s="43">
        <v>13</v>
      </c>
      <c r="BZ396" s="90">
        <f>M396</f>
        <v>-1</v>
      </c>
      <c r="CT396" s="90">
        <f t="shared" si="31"/>
        <v>-1</v>
      </c>
      <c r="CU396" s="90">
        <f t="shared" si="32"/>
        <v>-1</v>
      </c>
    </row>
    <row r="397" spans="1:99" ht="12" customHeight="1">
      <c r="A397" s="43">
        <v>6715</v>
      </c>
      <c r="B397" s="89" t="s">
        <v>813</v>
      </c>
      <c r="C397" s="89" t="s">
        <v>1316</v>
      </c>
      <c r="D397" s="89" t="s">
        <v>1317</v>
      </c>
      <c r="F397" s="43">
        <v>527859</v>
      </c>
      <c r="G397" s="43">
        <v>174269</v>
      </c>
      <c r="H397" s="89" t="s">
        <v>174</v>
      </c>
      <c r="I397" s="125">
        <v>43555</v>
      </c>
      <c r="K397" s="140">
        <v>2</v>
      </c>
      <c r="L397" s="140">
        <v>2</v>
      </c>
      <c r="M397" s="140">
        <v>0</v>
      </c>
      <c r="N397" s="140">
        <v>2</v>
      </c>
      <c r="O397" s="140">
        <v>0</v>
      </c>
      <c r="Q397" s="89" t="s">
        <v>1318</v>
      </c>
      <c r="R397" s="43" t="s">
        <v>316</v>
      </c>
      <c r="S397" s="125">
        <v>43432</v>
      </c>
      <c r="T397" s="117">
        <v>43528</v>
      </c>
      <c r="V397" s="43" t="s">
        <v>317</v>
      </c>
      <c r="X397" s="43" t="s">
        <v>318</v>
      </c>
      <c r="Y397" s="43" t="s">
        <v>348</v>
      </c>
      <c r="Z397" s="43" t="s">
        <v>320</v>
      </c>
      <c r="AA397" s="43" t="s">
        <v>340</v>
      </c>
      <c r="AB397" s="144">
        <v>1.09999999403954E-2</v>
      </c>
      <c r="AC397" s="125">
        <v>43555</v>
      </c>
      <c r="AF397" s="43" t="s">
        <v>75</v>
      </c>
      <c r="AG397" s="43" t="s">
        <v>322</v>
      </c>
      <c r="AJ397" s="140">
        <v>0</v>
      </c>
      <c r="AK397" s="140">
        <v>0</v>
      </c>
      <c r="AL397" s="140">
        <v>0</v>
      </c>
      <c r="AM397" s="140">
        <v>0</v>
      </c>
      <c r="AN397" s="140">
        <v>0</v>
      </c>
      <c r="AO397" s="140">
        <v>-2</v>
      </c>
      <c r="AP397" s="140">
        <v>2</v>
      </c>
      <c r="AQ397" s="140">
        <v>0</v>
      </c>
      <c r="AR397" s="140">
        <v>0</v>
      </c>
      <c r="AS397" s="140">
        <v>0</v>
      </c>
      <c r="AT397" s="140">
        <v>0</v>
      </c>
      <c r="AU397" s="140">
        <v>0</v>
      </c>
      <c r="AV397" s="140">
        <v>-2</v>
      </c>
      <c r="AW397" s="140">
        <v>2</v>
      </c>
      <c r="AX397" s="140">
        <v>0</v>
      </c>
      <c r="AY397" s="140">
        <v>0</v>
      </c>
      <c r="AZ397" s="140">
        <v>0</v>
      </c>
      <c r="BA397" s="140">
        <v>0</v>
      </c>
      <c r="BB397" s="140">
        <v>0</v>
      </c>
      <c r="BC397" s="140">
        <v>0</v>
      </c>
      <c r="BD397" s="140">
        <v>0</v>
      </c>
      <c r="BE397" s="140">
        <v>0</v>
      </c>
      <c r="BF397" s="140">
        <v>0</v>
      </c>
      <c r="BG397" s="140">
        <v>0</v>
      </c>
      <c r="BH397" s="140">
        <v>0</v>
      </c>
      <c r="BI397" s="140">
        <v>0</v>
      </c>
      <c r="BJ397" s="140">
        <v>0</v>
      </c>
      <c r="BK397" s="140">
        <v>0</v>
      </c>
      <c r="BL397" s="140">
        <v>0</v>
      </c>
      <c r="BM397" s="140">
        <v>0</v>
      </c>
      <c r="BN397" s="140">
        <v>0</v>
      </c>
      <c r="BO397" s="140">
        <v>0</v>
      </c>
      <c r="BX397" s="43">
        <v>13</v>
      </c>
      <c r="BZ397" s="90">
        <f>M397</f>
        <v>0</v>
      </c>
      <c r="CT397" s="90">
        <f t="shared" si="31"/>
        <v>0</v>
      </c>
      <c r="CU397" s="90">
        <f t="shared" si="32"/>
        <v>0</v>
      </c>
    </row>
    <row r="398" spans="1:99" ht="12" customHeight="1">
      <c r="A398" s="43">
        <v>6726</v>
      </c>
      <c r="B398" s="89" t="s">
        <v>813</v>
      </c>
      <c r="C398" s="89" t="s">
        <v>1319</v>
      </c>
      <c r="D398" s="89" t="s">
        <v>1320</v>
      </c>
      <c r="F398" s="43">
        <v>528680</v>
      </c>
      <c r="G398" s="43">
        <v>173507</v>
      </c>
      <c r="H398" s="89" t="s">
        <v>138</v>
      </c>
      <c r="I398" s="125">
        <v>43654</v>
      </c>
      <c r="K398" s="140">
        <v>0</v>
      </c>
      <c r="L398" s="140">
        <v>1</v>
      </c>
      <c r="M398" s="140">
        <v>1</v>
      </c>
      <c r="N398" s="140">
        <v>1</v>
      </c>
      <c r="O398" s="140">
        <v>1</v>
      </c>
      <c r="Q398" s="89" t="s">
        <v>1321</v>
      </c>
      <c r="R398" s="43" t="s">
        <v>316</v>
      </c>
      <c r="S398" s="125">
        <v>43087</v>
      </c>
      <c r="T398" s="117">
        <v>43199</v>
      </c>
      <c r="V398" s="43" t="s">
        <v>317</v>
      </c>
      <c r="X398" s="43" t="s">
        <v>318</v>
      </c>
      <c r="Y398" s="43" t="s">
        <v>319</v>
      </c>
      <c r="Z398" s="43" t="s">
        <v>320</v>
      </c>
      <c r="AA398" s="43" t="s">
        <v>30</v>
      </c>
      <c r="AB398" s="144">
        <v>8.0000003799796104E-3</v>
      </c>
      <c r="AC398" s="125">
        <v>43654</v>
      </c>
      <c r="AD398" s="43" t="s">
        <v>329</v>
      </c>
      <c r="AF398" s="43" t="s">
        <v>75</v>
      </c>
      <c r="AG398" s="43" t="s">
        <v>322</v>
      </c>
      <c r="AJ398" s="140">
        <v>0</v>
      </c>
      <c r="AK398" s="140">
        <v>0</v>
      </c>
      <c r="AL398" s="140">
        <v>0</v>
      </c>
      <c r="AM398" s="140">
        <v>0</v>
      </c>
      <c r="AN398" s="140">
        <v>0</v>
      </c>
      <c r="AO398" s="140">
        <v>0</v>
      </c>
      <c r="AP398" s="140">
        <v>0</v>
      </c>
      <c r="AQ398" s="140">
        <v>1</v>
      </c>
      <c r="AR398" s="140">
        <v>0</v>
      </c>
      <c r="AS398" s="140">
        <v>0</v>
      </c>
      <c r="AT398" s="140">
        <v>0</v>
      </c>
      <c r="AU398" s="140">
        <v>0</v>
      </c>
      <c r="AV398" s="140">
        <v>0</v>
      </c>
      <c r="AW398" s="140">
        <v>0</v>
      </c>
      <c r="AX398" s="140">
        <v>1</v>
      </c>
      <c r="AY398" s="140">
        <v>0</v>
      </c>
      <c r="AZ398" s="140">
        <v>0</v>
      </c>
      <c r="BA398" s="140">
        <v>0</v>
      </c>
      <c r="BB398" s="140">
        <v>0</v>
      </c>
      <c r="BC398" s="140">
        <v>0</v>
      </c>
      <c r="BD398" s="140">
        <v>0</v>
      </c>
      <c r="BE398" s="140">
        <v>0</v>
      </c>
      <c r="BF398" s="140">
        <v>0</v>
      </c>
      <c r="BG398" s="140">
        <v>0</v>
      </c>
      <c r="BH398" s="140">
        <v>0</v>
      </c>
      <c r="BI398" s="140">
        <v>0</v>
      </c>
      <c r="BJ398" s="140">
        <v>0</v>
      </c>
      <c r="BK398" s="140">
        <v>0</v>
      </c>
      <c r="BL398" s="140">
        <v>0</v>
      </c>
      <c r="BM398" s="140">
        <v>0</v>
      </c>
      <c r="BN398" s="140">
        <v>0</v>
      </c>
      <c r="BO398" s="140">
        <v>0</v>
      </c>
      <c r="BP398" s="43" t="s">
        <v>138</v>
      </c>
      <c r="BX398" s="43">
        <v>13</v>
      </c>
      <c r="BZ398" s="90">
        <f>M398</f>
        <v>1</v>
      </c>
      <c r="CT398" s="90">
        <f t="shared" si="31"/>
        <v>1</v>
      </c>
      <c r="CU398" s="90">
        <f t="shared" si="32"/>
        <v>1</v>
      </c>
    </row>
    <row r="399" spans="1:99" ht="12" customHeight="1">
      <c r="A399" s="43">
        <v>6729</v>
      </c>
      <c r="B399" s="89" t="s">
        <v>813</v>
      </c>
      <c r="C399" s="89" t="s">
        <v>1322</v>
      </c>
      <c r="D399" s="89" t="s">
        <v>1323</v>
      </c>
      <c r="F399" s="43">
        <v>527455</v>
      </c>
      <c r="G399" s="43">
        <v>175008</v>
      </c>
      <c r="H399" s="89" t="s">
        <v>174</v>
      </c>
      <c r="I399" s="125">
        <v>43921</v>
      </c>
      <c r="K399" s="140">
        <v>1</v>
      </c>
      <c r="L399" s="140">
        <v>2</v>
      </c>
      <c r="M399" s="140">
        <v>1</v>
      </c>
      <c r="N399" s="140">
        <v>3</v>
      </c>
      <c r="O399" s="140">
        <v>1</v>
      </c>
      <c r="Q399" s="89" t="s">
        <v>1324</v>
      </c>
      <c r="R399" s="43" t="s">
        <v>316</v>
      </c>
      <c r="S399" s="125">
        <v>43165</v>
      </c>
      <c r="T399" s="117">
        <v>43257</v>
      </c>
      <c r="V399" s="43" t="s">
        <v>317</v>
      </c>
      <c r="X399" s="43" t="s">
        <v>318</v>
      </c>
      <c r="Y399" s="43" t="s">
        <v>319</v>
      </c>
      <c r="Z399" s="43" t="s">
        <v>320</v>
      </c>
      <c r="AA399" s="43" t="s">
        <v>321</v>
      </c>
      <c r="AB399" s="144">
        <v>7.0000002160668399E-3</v>
      </c>
      <c r="AC399" s="125">
        <v>43921</v>
      </c>
      <c r="AD399" s="43" t="s">
        <v>329</v>
      </c>
      <c r="AF399" s="43" t="s">
        <v>75</v>
      </c>
      <c r="AG399" s="43" t="s">
        <v>322</v>
      </c>
      <c r="AJ399" s="140">
        <v>0</v>
      </c>
      <c r="AK399" s="140">
        <v>0</v>
      </c>
      <c r="AL399" s="140">
        <v>0</v>
      </c>
      <c r="AM399" s="140">
        <v>0</v>
      </c>
      <c r="AN399" s="140">
        <v>0</v>
      </c>
      <c r="AO399" s="140">
        <v>1</v>
      </c>
      <c r="AP399" s="140">
        <v>1</v>
      </c>
      <c r="AQ399" s="140">
        <v>-1</v>
      </c>
      <c r="AR399" s="140">
        <v>0</v>
      </c>
      <c r="AS399" s="140">
        <v>0</v>
      </c>
      <c r="AT399" s="140">
        <v>0</v>
      </c>
      <c r="AU399" s="140">
        <v>0</v>
      </c>
      <c r="AV399" s="140">
        <v>1</v>
      </c>
      <c r="AW399" s="140">
        <v>1</v>
      </c>
      <c r="AX399" s="140">
        <v>-1</v>
      </c>
      <c r="AY399" s="140">
        <v>0</v>
      </c>
      <c r="AZ399" s="140">
        <v>0</v>
      </c>
      <c r="BA399" s="140">
        <v>0</v>
      </c>
      <c r="BB399" s="140">
        <v>0</v>
      </c>
      <c r="BC399" s="140">
        <v>0</v>
      </c>
      <c r="BD399" s="140">
        <v>0</v>
      </c>
      <c r="BE399" s="140">
        <v>0</v>
      </c>
      <c r="BF399" s="140">
        <v>0</v>
      </c>
      <c r="BG399" s="140">
        <v>0</v>
      </c>
      <c r="BH399" s="140">
        <v>0</v>
      </c>
      <c r="BI399" s="140">
        <v>0</v>
      </c>
      <c r="BJ399" s="140">
        <v>0</v>
      </c>
      <c r="BK399" s="140">
        <v>0</v>
      </c>
      <c r="BL399" s="140">
        <v>0</v>
      </c>
      <c r="BM399" s="140">
        <v>0</v>
      </c>
      <c r="BN399" s="140">
        <v>0</v>
      </c>
      <c r="BO399" s="140">
        <v>0</v>
      </c>
      <c r="BP399" s="43" t="s">
        <v>139</v>
      </c>
      <c r="BX399" s="43">
        <v>14</v>
      </c>
      <c r="BZ399" s="90">
        <f>$M399/2</f>
        <v>0.5</v>
      </c>
      <c r="CA399" s="90">
        <f>$M399/2</f>
        <v>0.5</v>
      </c>
      <c r="CT399" s="90">
        <f t="shared" si="31"/>
        <v>1</v>
      </c>
      <c r="CU399" s="90">
        <f t="shared" si="32"/>
        <v>1</v>
      </c>
    </row>
    <row r="400" spans="1:99" ht="12" customHeight="1">
      <c r="A400" s="43">
        <v>6729</v>
      </c>
      <c r="B400" s="89" t="s">
        <v>813</v>
      </c>
      <c r="C400" s="89" t="s">
        <v>1322</v>
      </c>
      <c r="D400" s="89" t="s">
        <v>1323</v>
      </c>
      <c r="F400" s="43">
        <v>527455</v>
      </c>
      <c r="G400" s="43">
        <v>175008</v>
      </c>
      <c r="H400" s="89" t="s">
        <v>174</v>
      </c>
      <c r="I400" s="125">
        <v>43921</v>
      </c>
      <c r="K400" s="140">
        <v>1</v>
      </c>
      <c r="L400" s="140">
        <v>1</v>
      </c>
      <c r="M400" s="140">
        <v>0</v>
      </c>
      <c r="N400" s="140">
        <v>3</v>
      </c>
      <c r="O400" s="140">
        <v>1</v>
      </c>
      <c r="Q400" s="89" t="s">
        <v>1324</v>
      </c>
      <c r="R400" s="43" t="s">
        <v>316</v>
      </c>
      <c r="S400" s="125">
        <v>43165</v>
      </c>
      <c r="T400" s="117">
        <v>43257</v>
      </c>
      <c r="V400" s="43" t="s">
        <v>317</v>
      </c>
      <c r="X400" s="43" t="s">
        <v>318</v>
      </c>
      <c r="Y400" s="43" t="s">
        <v>319</v>
      </c>
      <c r="Z400" s="43" t="s">
        <v>320</v>
      </c>
      <c r="AA400" s="43" t="s">
        <v>321</v>
      </c>
      <c r="AB400" s="144">
        <v>3.0000000260770299E-3</v>
      </c>
      <c r="AC400" s="125">
        <v>43921</v>
      </c>
      <c r="AD400" s="43" t="s">
        <v>329</v>
      </c>
      <c r="AF400" s="43" t="s">
        <v>75</v>
      </c>
      <c r="AG400" s="43" t="s">
        <v>322</v>
      </c>
      <c r="AJ400" s="140">
        <v>0</v>
      </c>
      <c r="AK400" s="140">
        <v>0</v>
      </c>
      <c r="AL400" s="140">
        <v>0</v>
      </c>
      <c r="AM400" s="140">
        <v>0</v>
      </c>
      <c r="AN400" s="140">
        <v>0</v>
      </c>
      <c r="AO400" s="140">
        <v>0</v>
      </c>
      <c r="AP400" s="140">
        <v>1</v>
      </c>
      <c r="AQ400" s="140">
        <v>-1</v>
      </c>
      <c r="AR400" s="140">
        <v>0</v>
      </c>
      <c r="AS400" s="140">
        <v>0</v>
      </c>
      <c r="AT400" s="140">
        <v>0</v>
      </c>
      <c r="AU400" s="140">
        <v>0</v>
      </c>
      <c r="AV400" s="140">
        <v>0</v>
      </c>
      <c r="AW400" s="140">
        <v>1</v>
      </c>
      <c r="AX400" s="140">
        <v>-1</v>
      </c>
      <c r="AY400" s="140">
        <v>0</v>
      </c>
      <c r="AZ400" s="140">
        <v>0</v>
      </c>
      <c r="BA400" s="140">
        <v>0</v>
      </c>
      <c r="BB400" s="140">
        <v>0</v>
      </c>
      <c r="BC400" s="140">
        <v>0</v>
      </c>
      <c r="BD400" s="140">
        <v>0</v>
      </c>
      <c r="BE400" s="140">
        <v>0</v>
      </c>
      <c r="BF400" s="140">
        <v>0</v>
      </c>
      <c r="BG400" s="140">
        <v>0</v>
      </c>
      <c r="BH400" s="140">
        <v>0</v>
      </c>
      <c r="BI400" s="140">
        <v>0</v>
      </c>
      <c r="BJ400" s="140">
        <v>0</v>
      </c>
      <c r="BK400" s="140">
        <v>0</v>
      </c>
      <c r="BL400" s="140">
        <v>0</v>
      </c>
      <c r="BM400" s="140">
        <v>0</v>
      </c>
      <c r="BN400" s="140">
        <v>0</v>
      </c>
      <c r="BO400" s="140">
        <v>0</v>
      </c>
      <c r="BP400" s="43" t="s">
        <v>139</v>
      </c>
      <c r="BX400" s="43">
        <v>14</v>
      </c>
      <c r="BZ400" s="90">
        <f>$M400/2</f>
        <v>0</v>
      </c>
      <c r="CA400" s="90">
        <f>$M400/2</f>
        <v>0</v>
      </c>
      <c r="CT400" s="90">
        <f t="shared" si="31"/>
        <v>0</v>
      </c>
      <c r="CU400" s="90">
        <f t="shared" si="32"/>
        <v>0</v>
      </c>
    </row>
    <row r="401" spans="1:99" ht="12" customHeight="1">
      <c r="A401" s="43">
        <v>6730</v>
      </c>
      <c r="B401" s="89" t="s">
        <v>813</v>
      </c>
      <c r="C401" s="89" t="s">
        <v>1325</v>
      </c>
      <c r="D401" s="89" t="s">
        <v>1326</v>
      </c>
      <c r="F401" s="43">
        <v>524317</v>
      </c>
      <c r="G401" s="43">
        <v>174958</v>
      </c>
      <c r="H401" s="89" t="s">
        <v>178</v>
      </c>
      <c r="I401" s="125">
        <v>43598</v>
      </c>
      <c r="K401" s="140">
        <v>2</v>
      </c>
      <c r="L401" s="140">
        <v>2</v>
      </c>
      <c r="M401" s="140">
        <v>0</v>
      </c>
      <c r="N401" s="140">
        <v>4</v>
      </c>
      <c r="O401" s="140">
        <v>2</v>
      </c>
      <c r="Q401" s="89" t="s">
        <v>1327</v>
      </c>
      <c r="R401" s="43" t="s">
        <v>316</v>
      </c>
      <c r="S401" s="125">
        <v>43027</v>
      </c>
      <c r="T401" s="117">
        <v>43188</v>
      </c>
      <c r="V401" s="43" t="s">
        <v>317</v>
      </c>
      <c r="X401" s="43" t="s">
        <v>318</v>
      </c>
      <c r="Y401" s="43" t="s">
        <v>319</v>
      </c>
      <c r="Z401" s="43" t="s">
        <v>320</v>
      </c>
      <c r="AA401" s="43" t="s">
        <v>353</v>
      </c>
      <c r="AB401" s="144">
        <v>8.9999996125698107E-3</v>
      </c>
      <c r="AC401" s="125">
        <v>43598</v>
      </c>
      <c r="AD401" s="43" t="s">
        <v>329</v>
      </c>
      <c r="AF401" s="43" t="s">
        <v>75</v>
      </c>
      <c r="AG401" s="43" t="s">
        <v>322</v>
      </c>
      <c r="AJ401" s="140">
        <v>0</v>
      </c>
      <c r="AK401" s="140">
        <v>0</v>
      </c>
      <c r="AL401" s="140">
        <v>0</v>
      </c>
      <c r="AM401" s="140">
        <v>0</v>
      </c>
      <c r="AN401" s="140">
        <v>0</v>
      </c>
      <c r="AO401" s="140">
        <v>1</v>
      </c>
      <c r="AP401" s="140">
        <v>-2</v>
      </c>
      <c r="AQ401" s="140">
        <v>1</v>
      </c>
      <c r="AR401" s="140">
        <v>0</v>
      </c>
      <c r="AS401" s="140">
        <v>0</v>
      </c>
      <c r="AT401" s="140">
        <v>0</v>
      </c>
      <c r="AU401" s="140">
        <v>0</v>
      </c>
      <c r="AV401" s="140">
        <v>1</v>
      </c>
      <c r="AW401" s="140">
        <v>-2</v>
      </c>
      <c r="AX401" s="140">
        <v>1</v>
      </c>
      <c r="AY401" s="140">
        <v>0</v>
      </c>
      <c r="AZ401" s="140">
        <v>0</v>
      </c>
      <c r="BA401" s="140">
        <v>0</v>
      </c>
      <c r="BB401" s="140">
        <v>0</v>
      </c>
      <c r="BC401" s="140">
        <v>0</v>
      </c>
      <c r="BD401" s="140">
        <v>0</v>
      </c>
      <c r="BE401" s="140">
        <v>0</v>
      </c>
      <c r="BF401" s="140">
        <v>0</v>
      </c>
      <c r="BG401" s="140">
        <v>0</v>
      </c>
      <c r="BH401" s="140">
        <v>0</v>
      </c>
      <c r="BI401" s="140">
        <v>0</v>
      </c>
      <c r="BJ401" s="140">
        <v>0</v>
      </c>
      <c r="BK401" s="140">
        <v>0</v>
      </c>
      <c r="BL401" s="140">
        <v>0</v>
      </c>
      <c r="BM401" s="140">
        <v>0</v>
      </c>
      <c r="BN401" s="140">
        <v>0</v>
      </c>
      <c r="BO401" s="140">
        <v>0</v>
      </c>
      <c r="BP401" s="43" t="s">
        <v>140</v>
      </c>
      <c r="BT401" s="43" t="s">
        <v>329</v>
      </c>
      <c r="BX401" s="43">
        <v>13</v>
      </c>
      <c r="BZ401" s="90">
        <f>M401</f>
        <v>0</v>
      </c>
      <c r="CT401" s="90">
        <f t="shared" si="31"/>
        <v>0</v>
      </c>
      <c r="CU401" s="90">
        <f t="shared" si="32"/>
        <v>0</v>
      </c>
    </row>
    <row r="402" spans="1:99" ht="12" customHeight="1">
      <c r="A402" s="43">
        <v>6730</v>
      </c>
      <c r="B402" s="89" t="s">
        <v>813</v>
      </c>
      <c r="C402" s="89" t="s">
        <v>1325</v>
      </c>
      <c r="D402" s="89" t="s">
        <v>1326</v>
      </c>
      <c r="F402" s="43">
        <v>524317</v>
      </c>
      <c r="G402" s="43">
        <v>174958</v>
      </c>
      <c r="H402" s="89" t="s">
        <v>178</v>
      </c>
      <c r="I402" s="125">
        <v>43598</v>
      </c>
      <c r="K402" s="140">
        <v>0</v>
      </c>
      <c r="L402" s="140">
        <v>2</v>
      </c>
      <c r="M402" s="140">
        <v>2</v>
      </c>
      <c r="N402" s="140">
        <v>4</v>
      </c>
      <c r="O402" s="140">
        <v>2</v>
      </c>
      <c r="Q402" s="89" t="s">
        <v>1327</v>
      </c>
      <c r="R402" s="43" t="s">
        <v>316</v>
      </c>
      <c r="S402" s="125">
        <v>43027</v>
      </c>
      <c r="T402" s="117">
        <v>43188</v>
      </c>
      <c r="V402" s="43" t="s">
        <v>317</v>
      </c>
      <c r="X402" s="43" t="s">
        <v>318</v>
      </c>
      <c r="Y402" s="43" t="s">
        <v>319</v>
      </c>
      <c r="Z402" s="43" t="s">
        <v>320</v>
      </c>
      <c r="AA402" s="43" t="s">
        <v>321</v>
      </c>
      <c r="AB402" s="144">
        <v>9.9999997764825804E-3</v>
      </c>
      <c r="AC402" s="125">
        <v>43598</v>
      </c>
      <c r="AD402" s="43" t="s">
        <v>329</v>
      </c>
      <c r="AF402" s="43" t="s">
        <v>75</v>
      </c>
      <c r="AG402" s="43" t="s">
        <v>322</v>
      </c>
      <c r="AJ402" s="140">
        <v>0</v>
      </c>
      <c r="AK402" s="140">
        <v>0</v>
      </c>
      <c r="AL402" s="140">
        <v>0</v>
      </c>
      <c r="AM402" s="140">
        <v>0</v>
      </c>
      <c r="AN402" s="140">
        <v>0</v>
      </c>
      <c r="AO402" s="140">
        <v>0</v>
      </c>
      <c r="AP402" s="140">
        <v>2</v>
      </c>
      <c r="AQ402" s="140">
        <v>0</v>
      </c>
      <c r="AR402" s="140">
        <v>0</v>
      </c>
      <c r="AS402" s="140">
        <v>0</v>
      </c>
      <c r="AT402" s="140">
        <v>0</v>
      </c>
      <c r="AU402" s="140">
        <v>0</v>
      </c>
      <c r="AV402" s="140">
        <v>0</v>
      </c>
      <c r="AW402" s="140">
        <v>2</v>
      </c>
      <c r="AX402" s="140">
        <v>0</v>
      </c>
      <c r="AY402" s="140">
        <v>0</v>
      </c>
      <c r="AZ402" s="140">
        <v>0</v>
      </c>
      <c r="BA402" s="140">
        <v>0</v>
      </c>
      <c r="BB402" s="140">
        <v>0</v>
      </c>
      <c r="BC402" s="140">
        <v>0</v>
      </c>
      <c r="BD402" s="140">
        <v>0</v>
      </c>
      <c r="BE402" s="140">
        <v>0</v>
      </c>
      <c r="BF402" s="140">
        <v>0</v>
      </c>
      <c r="BG402" s="140">
        <v>0</v>
      </c>
      <c r="BH402" s="140">
        <v>0</v>
      </c>
      <c r="BI402" s="140">
        <v>0</v>
      </c>
      <c r="BJ402" s="140">
        <v>0</v>
      </c>
      <c r="BK402" s="140">
        <v>0</v>
      </c>
      <c r="BL402" s="140">
        <v>0</v>
      </c>
      <c r="BM402" s="140">
        <v>0</v>
      </c>
      <c r="BN402" s="140">
        <v>0</v>
      </c>
      <c r="BO402" s="140">
        <v>0</v>
      </c>
      <c r="BP402" s="43" t="s">
        <v>140</v>
      </c>
      <c r="BT402" s="43" t="s">
        <v>329</v>
      </c>
      <c r="BX402" s="43">
        <v>13</v>
      </c>
      <c r="BZ402" s="90">
        <f>M402</f>
        <v>2</v>
      </c>
      <c r="CT402" s="90">
        <f t="shared" si="31"/>
        <v>2</v>
      </c>
      <c r="CU402" s="90">
        <f t="shared" si="32"/>
        <v>2</v>
      </c>
    </row>
    <row r="403" spans="1:99" ht="12" customHeight="1">
      <c r="A403" s="43">
        <v>6757</v>
      </c>
      <c r="B403" s="89" t="s">
        <v>813</v>
      </c>
      <c r="C403" s="89" t="s">
        <v>1328</v>
      </c>
      <c r="D403" s="89" t="s">
        <v>1329</v>
      </c>
      <c r="F403" s="43">
        <v>525222</v>
      </c>
      <c r="G403" s="43">
        <v>174998</v>
      </c>
      <c r="H403" s="89" t="s">
        <v>170</v>
      </c>
      <c r="I403" s="125">
        <v>43794</v>
      </c>
      <c r="K403" s="140">
        <v>0</v>
      </c>
      <c r="L403" s="140">
        <v>14</v>
      </c>
      <c r="M403" s="140">
        <v>14</v>
      </c>
      <c r="N403" s="140">
        <v>19</v>
      </c>
      <c r="O403" s="140">
        <v>19</v>
      </c>
      <c r="P403" s="43" t="s">
        <v>329</v>
      </c>
      <c r="Q403" s="89" t="s">
        <v>1330</v>
      </c>
      <c r="R403" s="43" t="s">
        <v>392</v>
      </c>
      <c r="S403" s="125">
        <v>43374</v>
      </c>
      <c r="T403" s="117">
        <v>43602</v>
      </c>
      <c r="U403" s="43" t="s">
        <v>329</v>
      </c>
      <c r="V403" s="43" t="s">
        <v>317</v>
      </c>
      <c r="X403" s="43" t="s">
        <v>318</v>
      </c>
      <c r="Y403" s="43" t="s">
        <v>361</v>
      </c>
      <c r="Z403" s="43" t="s">
        <v>361</v>
      </c>
      <c r="AA403" s="43" t="s">
        <v>320</v>
      </c>
      <c r="AB403" s="144">
        <v>4.80000004172325E-2</v>
      </c>
      <c r="AC403" s="125">
        <v>43794</v>
      </c>
      <c r="AD403" s="43" t="s">
        <v>329</v>
      </c>
      <c r="AF403" s="43" t="s">
        <v>75</v>
      </c>
      <c r="AG403" s="43" t="s">
        <v>322</v>
      </c>
      <c r="AJ403" s="140">
        <v>0</v>
      </c>
      <c r="AK403" s="140">
        <v>0</v>
      </c>
      <c r="AL403" s="140">
        <v>0</v>
      </c>
      <c r="AM403" s="140">
        <v>1</v>
      </c>
      <c r="AN403" s="140">
        <v>0</v>
      </c>
      <c r="AO403" s="140">
        <v>7</v>
      </c>
      <c r="AP403" s="140">
        <v>7</v>
      </c>
      <c r="AQ403" s="140">
        <v>0</v>
      </c>
      <c r="AR403" s="140">
        <v>0</v>
      </c>
      <c r="AS403" s="140">
        <v>0</v>
      </c>
      <c r="AT403" s="140">
        <v>0</v>
      </c>
      <c r="AU403" s="140">
        <v>0</v>
      </c>
      <c r="AV403" s="140">
        <v>7</v>
      </c>
      <c r="AW403" s="140">
        <v>7</v>
      </c>
      <c r="AX403" s="140">
        <v>0</v>
      </c>
      <c r="AY403" s="140">
        <v>0</v>
      </c>
      <c r="AZ403" s="140">
        <v>0</v>
      </c>
      <c r="BA403" s="140">
        <v>0</v>
      </c>
      <c r="BB403" s="140">
        <v>0</v>
      </c>
      <c r="BC403" s="140">
        <v>0</v>
      </c>
      <c r="BD403" s="140">
        <v>0</v>
      </c>
      <c r="BE403" s="140">
        <v>0</v>
      </c>
      <c r="BF403" s="140">
        <v>0</v>
      </c>
      <c r="BG403" s="140">
        <v>0</v>
      </c>
      <c r="BH403" s="140">
        <v>0</v>
      </c>
      <c r="BI403" s="140">
        <v>0</v>
      </c>
      <c r="BJ403" s="140">
        <v>0</v>
      </c>
      <c r="BK403" s="140">
        <v>0</v>
      </c>
      <c r="BL403" s="140">
        <v>0</v>
      </c>
      <c r="BM403" s="140">
        <v>0</v>
      </c>
      <c r="BN403" s="140">
        <v>0</v>
      </c>
      <c r="BO403" s="140">
        <v>0</v>
      </c>
      <c r="BR403" s="43" t="s">
        <v>329</v>
      </c>
      <c r="BX403" s="43">
        <v>3</v>
      </c>
      <c r="BZ403" s="90">
        <f t="shared" ref="BZ403:CA405" si="33">$M403/2</f>
        <v>7</v>
      </c>
      <c r="CA403" s="90">
        <f t="shared" si="33"/>
        <v>7</v>
      </c>
      <c r="CT403" s="90">
        <f t="shared" si="31"/>
        <v>14</v>
      </c>
      <c r="CU403" s="90">
        <f t="shared" si="32"/>
        <v>14</v>
      </c>
    </row>
    <row r="404" spans="1:99" ht="12" customHeight="1">
      <c r="A404" s="43">
        <v>6757</v>
      </c>
      <c r="B404" s="89" t="s">
        <v>813</v>
      </c>
      <c r="C404" s="89" t="s">
        <v>1328</v>
      </c>
      <c r="D404" s="89" t="s">
        <v>1329</v>
      </c>
      <c r="F404" s="43">
        <v>525222</v>
      </c>
      <c r="G404" s="43">
        <v>174998</v>
      </c>
      <c r="H404" s="89" t="s">
        <v>170</v>
      </c>
      <c r="I404" s="125">
        <v>43794</v>
      </c>
      <c r="K404" s="140">
        <v>0</v>
      </c>
      <c r="L404" s="140">
        <v>5</v>
      </c>
      <c r="M404" s="140">
        <v>5</v>
      </c>
      <c r="N404" s="140">
        <v>19</v>
      </c>
      <c r="O404" s="140">
        <v>19</v>
      </c>
      <c r="P404" s="43" t="s">
        <v>329</v>
      </c>
      <c r="Q404" s="89" t="s">
        <v>1330</v>
      </c>
      <c r="R404" s="43" t="s">
        <v>392</v>
      </c>
      <c r="S404" s="125">
        <v>43374</v>
      </c>
      <c r="T404" s="117">
        <v>43602</v>
      </c>
      <c r="U404" s="43" t="s">
        <v>329</v>
      </c>
      <c r="V404" s="43" t="s">
        <v>317</v>
      </c>
      <c r="X404" s="43" t="s">
        <v>318</v>
      </c>
      <c r="Y404" s="43" t="s">
        <v>361</v>
      </c>
      <c r="Z404" s="43" t="s">
        <v>361</v>
      </c>
      <c r="AA404" s="43" t="s">
        <v>320</v>
      </c>
      <c r="AB404" s="144">
        <v>1.4999999664723899E-2</v>
      </c>
      <c r="AC404" s="125">
        <v>43794</v>
      </c>
      <c r="AD404" s="43" t="s">
        <v>329</v>
      </c>
      <c r="AF404" s="43" t="s">
        <v>54</v>
      </c>
      <c r="AG404" s="43" t="s">
        <v>399</v>
      </c>
      <c r="AJ404" s="140">
        <v>0</v>
      </c>
      <c r="AK404" s="140">
        <v>0</v>
      </c>
      <c r="AL404" s="140">
        <v>0</v>
      </c>
      <c r="AM404" s="140">
        <v>1</v>
      </c>
      <c r="AN404" s="140">
        <v>0</v>
      </c>
      <c r="AO404" s="140">
        <v>3</v>
      </c>
      <c r="AP404" s="140">
        <v>2</v>
      </c>
      <c r="AQ404" s="140">
        <v>0</v>
      </c>
      <c r="AR404" s="140">
        <v>0</v>
      </c>
      <c r="AS404" s="140">
        <v>0</v>
      </c>
      <c r="AT404" s="140">
        <v>0</v>
      </c>
      <c r="AU404" s="140">
        <v>0</v>
      </c>
      <c r="AV404" s="140">
        <v>3</v>
      </c>
      <c r="AW404" s="140">
        <v>2</v>
      </c>
      <c r="AX404" s="140">
        <v>0</v>
      </c>
      <c r="AY404" s="140">
        <v>0</v>
      </c>
      <c r="AZ404" s="140">
        <v>0</v>
      </c>
      <c r="BA404" s="140">
        <v>0</v>
      </c>
      <c r="BB404" s="140">
        <v>0</v>
      </c>
      <c r="BC404" s="140">
        <v>0</v>
      </c>
      <c r="BD404" s="140">
        <v>0</v>
      </c>
      <c r="BE404" s="140">
        <v>0</v>
      </c>
      <c r="BF404" s="140">
        <v>0</v>
      </c>
      <c r="BG404" s="140">
        <v>0</v>
      </c>
      <c r="BH404" s="140">
        <v>0</v>
      </c>
      <c r="BI404" s="140">
        <v>0</v>
      </c>
      <c r="BJ404" s="140">
        <v>0</v>
      </c>
      <c r="BK404" s="140">
        <v>0</v>
      </c>
      <c r="BL404" s="140">
        <v>0</v>
      </c>
      <c r="BM404" s="140">
        <v>0</v>
      </c>
      <c r="BN404" s="140">
        <v>0</v>
      </c>
      <c r="BO404" s="140">
        <v>0</v>
      </c>
      <c r="BR404" s="43" t="s">
        <v>329</v>
      </c>
      <c r="BX404" s="43">
        <v>3</v>
      </c>
      <c r="BZ404" s="90">
        <f t="shared" si="33"/>
        <v>2.5</v>
      </c>
      <c r="CA404" s="90">
        <f t="shared" si="33"/>
        <v>2.5</v>
      </c>
      <c r="CT404" s="90">
        <f t="shared" si="31"/>
        <v>5</v>
      </c>
      <c r="CU404" s="90">
        <f t="shared" si="32"/>
        <v>5</v>
      </c>
    </row>
    <row r="405" spans="1:99" ht="12" customHeight="1">
      <c r="A405" s="43">
        <v>6764</v>
      </c>
      <c r="B405" s="89" t="s">
        <v>813</v>
      </c>
      <c r="C405" s="89" t="s">
        <v>1331</v>
      </c>
      <c r="D405" s="89" t="s">
        <v>1332</v>
      </c>
      <c r="F405" s="43">
        <v>524365</v>
      </c>
      <c r="G405" s="43">
        <v>173954</v>
      </c>
      <c r="H405" s="89" t="s">
        <v>180</v>
      </c>
      <c r="I405" s="125">
        <v>43759</v>
      </c>
      <c r="K405" s="140">
        <v>0</v>
      </c>
      <c r="L405" s="140">
        <v>4</v>
      </c>
      <c r="M405" s="140">
        <v>4</v>
      </c>
      <c r="N405" s="140">
        <v>4</v>
      </c>
      <c r="O405" s="140">
        <v>4</v>
      </c>
      <c r="Q405" s="89" t="s">
        <v>1333</v>
      </c>
      <c r="R405" s="43" t="s">
        <v>316</v>
      </c>
      <c r="S405" s="125">
        <v>43097</v>
      </c>
      <c r="T405" s="117">
        <v>43245</v>
      </c>
      <c r="V405" s="43" t="s">
        <v>317</v>
      </c>
      <c r="X405" s="43" t="s">
        <v>318</v>
      </c>
      <c r="Y405" s="43" t="s">
        <v>361</v>
      </c>
      <c r="Z405" s="43" t="s">
        <v>320</v>
      </c>
      <c r="AA405" s="43" t="s">
        <v>353</v>
      </c>
      <c r="AB405" s="144">
        <v>2.9999999329447701E-2</v>
      </c>
      <c r="AC405" s="125">
        <v>43759</v>
      </c>
      <c r="AD405" s="43" t="s">
        <v>329</v>
      </c>
      <c r="AF405" s="43" t="s">
        <v>55</v>
      </c>
      <c r="AG405" s="43" t="s">
        <v>438</v>
      </c>
      <c r="AJ405" s="140">
        <v>0</v>
      </c>
      <c r="AK405" s="140">
        <v>0</v>
      </c>
      <c r="AL405" s="140">
        <v>0</v>
      </c>
      <c r="AM405" s="140">
        <v>0</v>
      </c>
      <c r="AN405" s="140">
        <v>0</v>
      </c>
      <c r="AO405" s="140">
        <v>1</v>
      </c>
      <c r="AP405" s="140">
        <v>3</v>
      </c>
      <c r="AQ405" s="140">
        <v>0</v>
      </c>
      <c r="AR405" s="140">
        <v>0</v>
      </c>
      <c r="AS405" s="140">
        <v>0</v>
      </c>
      <c r="AT405" s="140">
        <v>0</v>
      </c>
      <c r="AU405" s="140">
        <v>0</v>
      </c>
      <c r="AV405" s="140">
        <v>1</v>
      </c>
      <c r="AW405" s="140">
        <v>3</v>
      </c>
      <c r="AX405" s="140">
        <v>0</v>
      </c>
      <c r="AY405" s="140">
        <v>0</v>
      </c>
      <c r="AZ405" s="140">
        <v>0</v>
      </c>
      <c r="BA405" s="140">
        <v>0</v>
      </c>
      <c r="BB405" s="140">
        <v>0</v>
      </c>
      <c r="BC405" s="140">
        <v>0</v>
      </c>
      <c r="BD405" s="140">
        <v>0</v>
      </c>
      <c r="BE405" s="140">
        <v>0</v>
      </c>
      <c r="BF405" s="140">
        <v>0</v>
      </c>
      <c r="BG405" s="140">
        <v>0</v>
      </c>
      <c r="BH405" s="140">
        <v>0</v>
      </c>
      <c r="BI405" s="140">
        <v>0</v>
      </c>
      <c r="BJ405" s="140">
        <v>0</v>
      </c>
      <c r="BK405" s="140">
        <v>0</v>
      </c>
      <c r="BL405" s="140">
        <v>0</v>
      </c>
      <c r="BM405" s="140">
        <v>0</v>
      </c>
      <c r="BN405" s="140">
        <v>0</v>
      </c>
      <c r="BO405" s="140">
        <v>0</v>
      </c>
      <c r="BX405" s="43">
        <v>3</v>
      </c>
      <c r="BZ405" s="90">
        <f t="shared" si="33"/>
        <v>2</v>
      </c>
      <c r="CA405" s="90">
        <f t="shared" si="33"/>
        <v>2</v>
      </c>
      <c r="CT405" s="90">
        <f t="shared" si="31"/>
        <v>4</v>
      </c>
      <c r="CU405" s="90">
        <f t="shared" si="32"/>
        <v>4</v>
      </c>
    </row>
    <row r="406" spans="1:99" ht="12" customHeight="1">
      <c r="A406" s="43">
        <v>6766</v>
      </c>
      <c r="B406" s="89" t="s">
        <v>813</v>
      </c>
      <c r="C406" s="89" t="s">
        <v>1334</v>
      </c>
      <c r="D406" s="89" t="s">
        <v>1335</v>
      </c>
      <c r="E406" s="89" t="s">
        <v>367</v>
      </c>
      <c r="F406" s="43">
        <v>526808</v>
      </c>
      <c r="G406" s="43">
        <v>175510</v>
      </c>
      <c r="H406" s="89" t="s">
        <v>147</v>
      </c>
      <c r="I406" s="125">
        <v>43444</v>
      </c>
      <c r="K406" s="140">
        <v>0</v>
      </c>
      <c r="L406" s="140">
        <v>46</v>
      </c>
      <c r="M406" s="140">
        <v>46</v>
      </c>
      <c r="N406" s="140">
        <v>139</v>
      </c>
      <c r="O406" s="140">
        <v>139</v>
      </c>
      <c r="P406" s="43" t="s">
        <v>329</v>
      </c>
      <c r="Q406" s="89" t="s">
        <v>1336</v>
      </c>
      <c r="R406" s="43" t="s">
        <v>392</v>
      </c>
      <c r="S406" s="125">
        <v>43087</v>
      </c>
      <c r="T406" s="117">
        <v>43313</v>
      </c>
      <c r="V406" s="43" t="s">
        <v>317</v>
      </c>
      <c r="X406" s="43" t="s">
        <v>318</v>
      </c>
      <c r="Y406" s="43" t="s">
        <v>361</v>
      </c>
      <c r="Z406" s="43" t="s">
        <v>361</v>
      </c>
      <c r="AA406" s="43" t="s">
        <v>320</v>
      </c>
      <c r="AB406" s="144">
        <v>7.9999998211860698E-2</v>
      </c>
      <c r="AC406" s="125">
        <v>43444</v>
      </c>
      <c r="AF406" s="43" t="s">
        <v>55</v>
      </c>
      <c r="AG406" s="43" t="s">
        <v>438</v>
      </c>
      <c r="AH406" s="43" t="s">
        <v>1337</v>
      </c>
      <c r="AJ406" s="140">
        <v>0</v>
      </c>
      <c r="AK406" s="140">
        <v>41</v>
      </c>
      <c r="AL406" s="140">
        <v>0</v>
      </c>
      <c r="AM406" s="140">
        <v>5</v>
      </c>
      <c r="AN406" s="140">
        <v>0</v>
      </c>
      <c r="AO406" s="140">
        <v>25</v>
      </c>
      <c r="AP406" s="140">
        <v>21</v>
      </c>
      <c r="AQ406" s="140">
        <v>0</v>
      </c>
      <c r="AR406" s="140">
        <v>0</v>
      </c>
      <c r="AS406" s="140">
        <v>0</v>
      </c>
      <c r="AT406" s="140">
        <v>0</v>
      </c>
      <c r="AU406" s="140">
        <v>0</v>
      </c>
      <c r="AV406" s="140">
        <v>25</v>
      </c>
      <c r="AW406" s="140">
        <v>21</v>
      </c>
      <c r="AX406" s="140">
        <v>0</v>
      </c>
      <c r="AY406" s="140">
        <v>0</v>
      </c>
      <c r="AZ406" s="140">
        <v>0</v>
      </c>
      <c r="BA406" s="140">
        <v>0</v>
      </c>
      <c r="BB406" s="140">
        <v>0</v>
      </c>
      <c r="BC406" s="140">
        <v>0</v>
      </c>
      <c r="BD406" s="140">
        <v>0</v>
      </c>
      <c r="BE406" s="140">
        <v>0</v>
      </c>
      <c r="BF406" s="140">
        <v>0</v>
      </c>
      <c r="BG406" s="140">
        <v>0</v>
      </c>
      <c r="BH406" s="140">
        <v>0</v>
      </c>
      <c r="BI406" s="140">
        <v>0</v>
      </c>
      <c r="BJ406" s="140">
        <v>0</v>
      </c>
      <c r="BK406" s="140">
        <v>0</v>
      </c>
      <c r="BL406" s="140">
        <v>0</v>
      </c>
      <c r="BM406" s="140">
        <v>0</v>
      </c>
      <c r="BN406" s="140">
        <v>0</v>
      </c>
      <c r="BO406" s="140">
        <v>0</v>
      </c>
      <c r="BS406" s="43" t="s">
        <v>329</v>
      </c>
      <c r="BX406" s="43">
        <v>7</v>
      </c>
      <c r="BZ406" s="90">
        <f>M406</f>
        <v>46</v>
      </c>
      <c r="CT406" s="90">
        <f t="shared" si="31"/>
        <v>46</v>
      </c>
      <c r="CU406" s="90">
        <f t="shared" si="32"/>
        <v>46</v>
      </c>
    </row>
    <row r="407" spans="1:99" ht="12" customHeight="1">
      <c r="A407" s="43">
        <v>6766</v>
      </c>
      <c r="B407" s="89" t="s">
        <v>813</v>
      </c>
      <c r="C407" s="89" t="s">
        <v>1334</v>
      </c>
      <c r="D407" s="89" t="s">
        <v>1335</v>
      </c>
      <c r="E407" s="89" t="s">
        <v>454</v>
      </c>
      <c r="F407" s="43">
        <v>526808</v>
      </c>
      <c r="G407" s="43">
        <v>175510</v>
      </c>
      <c r="H407" s="89" t="s">
        <v>147</v>
      </c>
      <c r="I407" s="125">
        <v>43444</v>
      </c>
      <c r="K407" s="140">
        <v>0</v>
      </c>
      <c r="L407" s="140">
        <v>93</v>
      </c>
      <c r="M407" s="140">
        <v>93</v>
      </c>
      <c r="N407" s="140">
        <v>139</v>
      </c>
      <c r="O407" s="140">
        <v>139</v>
      </c>
      <c r="P407" s="43" t="s">
        <v>329</v>
      </c>
      <c r="Q407" s="89" t="s">
        <v>1336</v>
      </c>
      <c r="R407" s="43" t="s">
        <v>392</v>
      </c>
      <c r="S407" s="125">
        <v>43087</v>
      </c>
      <c r="T407" s="117">
        <v>43313</v>
      </c>
      <c r="V407" s="43" t="s">
        <v>317</v>
      </c>
      <c r="X407" s="43" t="s">
        <v>318</v>
      </c>
      <c r="Y407" s="43" t="s">
        <v>361</v>
      </c>
      <c r="Z407" s="43" t="s">
        <v>361</v>
      </c>
      <c r="AA407" s="43" t="s">
        <v>320</v>
      </c>
      <c r="AB407" s="144">
        <v>0.16200000047683699</v>
      </c>
      <c r="AC407" s="125">
        <v>43444</v>
      </c>
      <c r="AF407" s="43" t="s">
        <v>75</v>
      </c>
      <c r="AG407" s="43" t="s">
        <v>322</v>
      </c>
      <c r="AH407" s="43" t="s">
        <v>1337</v>
      </c>
      <c r="AJ407" s="140">
        <v>0</v>
      </c>
      <c r="AK407" s="140">
        <v>84</v>
      </c>
      <c r="AL407" s="140">
        <v>0</v>
      </c>
      <c r="AM407" s="140">
        <v>9</v>
      </c>
      <c r="AN407" s="140">
        <v>3</v>
      </c>
      <c r="AO407" s="140">
        <v>30</v>
      </c>
      <c r="AP407" s="140">
        <v>52</v>
      </c>
      <c r="AQ407" s="140">
        <v>8</v>
      </c>
      <c r="AR407" s="140">
        <v>0</v>
      </c>
      <c r="AS407" s="140">
        <v>0</v>
      </c>
      <c r="AT407" s="140">
        <v>0</v>
      </c>
      <c r="AU407" s="140">
        <v>3</v>
      </c>
      <c r="AV407" s="140">
        <v>30</v>
      </c>
      <c r="AW407" s="140">
        <v>52</v>
      </c>
      <c r="AX407" s="140">
        <v>8</v>
      </c>
      <c r="AY407" s="140">
        <v>0</v>
      </c>
      <c r="AZ407" s="140">
        <v>0</v>
      </c>
      <c r="BA407" s="140">
        <v>0</v>
      </c>
      <c r="BB407" s="140">
        <v>0</v>
      </c>
      <c r="BC407" s="140">
        <v>0</v>
      </c>
      <c r="BD407" s="140">
        <v>0</v>
      </c>
      <c r="BE407" s="140">
        <v>0</v>
      </c>
      <c r="BF407" s="140">
        <v>0</v>
      </c>
      <c r="BG407" s="140">
        <v>0</v>
      </c>
      <c r="BH407" s="140">
        <v>0</v>
      </c>
      <c r="BI407" s="140">
        <v>0</v>
      </c>
      <c r="BJ407" s="140">
        <v>0</v>
      </c>
      <c r="BK407" s="140">
        <v>0</v>
      </c>
      <c r="BL407" s="140">
        <v>0</v>
      </c>
      <c r="BM407" s="140">
        <v>0</v>
      </c>
      <c r="BN407" s="140">
        <v>0</v>
      </c>
      <c r="BO407" s="140">
        <v>0</v>
      </c>
      <c r="BS407" s="43" t="s">
        <v>329</v>
      </c>
      <c r="BX407" s="43">
        <v>7</v>
      </c>
      <c r="BZ407" s="90">
        <f>M407</f>
        <v>93</v>
      </c>
      <c r="CT407" s="90">
        <f t="shared" si="31"/>
        <v>93</v>
      </c>
      <c r="CU407" s="90">
        <f t="shared" si="32"/>
        <v>93</v>
      </c>
    </row>
    <row r="408" spans="1:99" ht="12" customHeight="1">
      <c r="A408" s="43">
        <v>6774</v>
      </c>
      <c r="B408" s="89" t="s">
        <v>813</v>
      </c>
      <c r="C408" s="89" t="s">
        <v>1338</v>
      </c>
      <c r="D408" s="89" t="s">
        <v>1339</v>
      </c>
      <c r="F408" s="43">
        <v>522514</v>
      </c>
      <c r="G408" s="43">
        <v>173526</v>
      </c>
      <c r="H408" s="89" t="s">
        <v>149</v>
      </c>
      <c r="I408" s="125">
        <v>43768</v>
      </c>
      <c r="K408" s="140">
        <v>4</v>
      </c>
      <c r="L408" s="140">
        <v>10</v>
      </c>
      <c r="M408" s="140">
        <v>6</v>
      </c>
      <c r="N408" s="140">
        <v>10</v>
      </c>
      <c r="O408" s="140">
        <v>6</v>
      </c>
      <c r="P408" s="43" t="s">
        <v>329</v>
      </c>
      <c r="Q408" s="89" t="s">
        <v>1340</v>
      </c>
      <c r="R408" s="43" t="s">
        <v>392</v>
      </c>
      <c r="S408" s="125">
        <v>43105</v>
      </c>
      <c r="T408" s="117">
        <v>43403</v>
      </c>
      <c r="V408" s="43" t="s">
        <v>317</v>
      </c>
      <c r="X408" s="43" t="s">
        <v>318</v>
      </c>
      <c r="Y408" s="43" t="s">
        <v>361</v>
      </c>
      <c r="Z408" s="43" t="s">
        <v>361</v>
      </c>
      <c r="AA408" s="43" t="s">
        <v>320</v>
      </c>
      <c r="AB408" s="144">
        <v>0.112999998033047</v>
      </c>
      <c r="AC408" s="125">
        <v>43768</v>
      </c>
      <c r="AD408" s="43" t="s">
        <v>329</v>
      </c>
      <c r="AF408" s="43" t="s">
        <v>55</v>
      </c>
      <c r="AG408" s="43" t="s">
        <v>526</v>
      </c>
      <c r="AJ408" s="140">
        <v>0</v>
      </c>
      <c r="AK408" s="140">
        <v>9</v>
      </c>
      <c r="AL408" s="140">
        <v>0</v>
      </c>
      <c r="AM408" s="140">
        <v>1</v>
      </c>
      <c r="AN408" s="140">
        <v>0</v>
      </c>
      <c r="AO408" s="140">
        <v>-1</v>
      </c>
      <c r="AP408" s="140">
        <v>7</v>
      </c>
      <c r="AQ408" s="140">
        <v>0</v>
      </c>
      <c r="AR408" s="140">
        <v>0</v>
      </c>
      <c r="AS408" s="140">
        <v>0</v>
      </c>
      <c r="AT408" s="140">
        <v>0</v>
      </c>
      <c r="AU408" s="140">
        <v>0</v>
      </c>
      <c r="AV408" s="140">
        <v>-1</v>
      </c>
      <c r="AW408" s="140">
        <v>7</v>
      </c>
      <c r="AX408" s="140">
        <v>0</v>
      </c>
      <c r="AY408" s="140">
        <v>0</v>
      </c>
      <c r="AZ408" s="140">
        <v>0</v>
      </c>
      <c r="BA408" s="140">
        <v>0</v>
      </c>
      <c r="BB408" s="140">
        <v>0</v>
      </c>
      <c r="BC408" s="140">
        <v>0</v>
      </c>
      <c r="BD408" s="140">
        <v>0</v>
      </c>
      <c r="BE408" s="140">
        <v>0</v>
      </c>
      <c r="BF408" s="140">
        <v>0</v>
      </c>
      <c r="BG408" s="140">
        <v>0</v>
      </c>
      <c r="BH408" s="140">
        <v>0</v>
      </c>
      <c r="BI408" s="140">
        <v>0</v>
      </c>
      <c r="BJ408" s="140">
        <v>0</v>
      </c>
      <c r="BK408" s="140">
        <v>0</v>
      </c>
      <c r="BL408" s="140">
        <v>0</v>
      </c>
      <c r="BM408" s="140">
        <v>0</v>
      </c>
      <c r="BN408" s="140">
        <v>0</v>
      </c>
      <c r="BO408" s="140">
        <v>0</v>
      </c>
      <c r="BX408" s="43">
        <v>3</v>
      </c>
      <c r="BZ408" s="90">
        <f>$M408/2</f>
        <v>3</v>
      </c>
      <c r="CA408" s="90">
        <f>$M408/2</f>
        <v>3</v>
      </c>
      <c r="CT408" s="90">
        <f t="shared" si="31"/>
        <v>6</v>
      </c>
      <c r="CU408" s="90">
        <f t="shared" si="32"/>
        <v>6</v>
      </c>
    </row>
    <row r="409" spans="1:99" ht="12" customHeight="1">
      <c r="A409" s="43">
        <v>6775</v>
      </c>
      <c r="B409" s="89" t="s">
        <v>813</v>
      </c>
      <c r="C409" s="89" t="s">
        <v>1341</v>
      </c>
      <c r="D409" s="89" t="s">
        <v>1342</v>
      </c>
      <c r="F409" s="43">
        <v>528543</v>
      </c>
      <c r="G409" s="43">
        <v>175748</v>
      </c>
      <c r="H409" s="89" t="s">
        <v>175</v>
      </c>
      <c r="I409" s="125">
        <v>43416</v>
      </c>
      <c r="K409" s="140">
        <v>3</v>
      </c>
      <c r="L409" s="140">
        <v>2</v>
      </c>
      <c r="M409" s="140">
        <v>-1</v>
      </c>
      <c r="N409" s="140">
        <v>3</v>
      </c>
      <c r="O409" s="140">
        <v>0</v>
      </c>
      <c r="Q409" s="89" t="s">
        <v>1343</v>
      </c>
      <c r="R409" s="43" t="s">
        <v>316</v>
      </c>
      <c r="S409" s="125">
        <v>43089</v>
      </c>
      <c r="T409" s="117">
        <v>43145</v>
      </c>
      <c r="V409" s="43" t="s">
        <v>317</v>
      </c>
      <c r="X409" s="43" t="s">
        <v>318</v>
      </c>
      <c r="Y409" s="43" t="s">
        <v>319</v>
      </c>
      <c r="Z409" s="43" t="s">
        <v>320</v>
      </c>
      <c r="AA409" s="43" t="s">
        <v>27</v>
      </c>
      <c r="AB409" s="144">
        <v>1.09999999403954E-2</v>
      </c>
      <c r="AC409" s="125">
        <v>43416</v>
      </c>
      <c r="AF409" s="43" t="s">
        <v>75</v>
      </c>
      <c r="AG409" s="43" t="s">
        <v>322</v>
      </c>
      <c r="AJ409" s="140">
        <v>0</v>
      </c>
      <c r="AK409" s="140">
        <v>0</v>
      </c>
      <c r="AL409" s="140">
        <v>0</v>
      </c>
      <c r="AM409" s="140">
        <v>0</v>
      </c>
      <c r="AN409" s="140">
        <v>0</v>
      </c>
      <c r="AO409" s="140">
        <v>-2</v>
      </c>
      <c r="AP409" s="140">
        <v>2</v>
      </c>
      <c r="AQ409" s="140">
        <v>-1</v>
      </c>
      <c r="AR409" s="140">
        <v>0</v>
      </c>
      <c r="AS409" s="140">
        <v>0</v>
      </c>
      <c r="AT409" s="140">
        <v>0</v>
      </c>
      <c r="AU409" s="140">
        <v>0</v>
      </c>
      <c r="AV409" s="140">
        <v>-2</v>
      </c>
      <c r="AW409" s="140">
        <v>2</v>
      </c>
      <c r="AX409" s="140">
        <v>-1</v>
      </c>
      <c r="AY409" s="140">
        <v>0</v>
      </c>
      <c r="AZ409" s="140">
        <v>0</v>
      </c>
      <c r="BA409" s="140">
        <v>0</v>
      </c>
      <c r="BB409" s="140">
        <v>0</v>
      </c>
      <c r="BC409" s="140">
        <v>0</v>
      </c>
      <c r="BD409" s="140">
        <v>0</v>
      </c>
      <c r="BE409" s="140">
        <v>0</v>
      </c>
      <c r="BF409" s="140">
        <v>0</v>
      </c>
      <c r="BG409" s="140">
        <v>0</v>
      </c>
      <c r="BH409" s="140">
        <v>0</v>
      </c>
      <c r="BI409" s="140">
        <v>0</v>
      </c>
      <c r="BJ409" s="140">
        <v>0</v>
      </c>
      <c r="BK409" s="140">
        <v>0</v>
      </c>
      <c r="BL409" s="140">
        <v>0</v>
      </c>
      <c r="BM409" s="140">
        <v>0</v>
      </c>
      <c r="BN409" s="140">
        <v>0</v>
      </c>
      <c r="BO409" s="140">
        <v>0</v>
      </c>
      <c r="BX409" s="43">
        <v>13</v>
      </c>
      <c r="BZ409" s="90">
        <f>M409</f>
        <v>-1</v>
      </c>
      <c r="CT409" s="90">
        <f t="shared" si="31"/>
        <v>-1</v>
      </c>
      <c r="CU409" s="90">
        <f t="shared" si="32"/>
        <v>-1</v>
      </c>
    </row>
    <row r="410" spans="1:99" ht="12" customHeight="1">
      <c r="A410" s="43">
        <v>6775</v>
      </c>
      <c r="B410" s="89" t="s">
        <v>813</v>
      </c>
      <c r="C410" s="89" t="s">
        <v>1341</v>
      </c>
      <c r="D410" s="89" t="s">
        <v>1342</v>
      </c>
      <c r="F410" s="43">
        <v>528543</v>
      </c>
      <c r="G410" s="43">
        <v>175748</v>
      </c>
      <c r="H410" s="89" t="s">
        <v>175</v>
      </c>
      <c r="I410" s="125">
        <v>43416</v>
      </c>
      <c r="K410" s="140">
        <v>0</v>
      </c>
      <c r="L410" s="140">
        <v>1</v>
      </c>
      <c r="M410" s="140">
        <v>1</v>
      </c>
      <c r="N410" s="140">
        <v>3</v>
      </c>
      <c r="O410" s="140">
        <v>0</v>
      </c>
      <c r="Q410" s="89" t="s">
        <v>1343</v>
      </c>
      <c r="R410" s="43" t="s">
        <v>316</v>
      </c>
      <c r="S410" s="125">
        <v>43089</v>
      </c>
      <c r="T410" s="117">
        <v>43145</v>
      </c>
      <c r="V410" s="43" t="s">
        <v>317</v>
      </c>
      <c r="X410" s="43" t="s">
        <v>318</v>
      </c>
      <c r="Y410" s="43" t="s">
        <v>319</v>
      </c>
      <c r="Z410" s="43" t="s">
        <v>320</v>
      </c>
      <c r="AA410" s="43" t="s">
        <v>340</v>
      </c>
      <c r="AB410" s="144">
        <v>3.0000000260770299E-3</v>
      </c>
      <c r="AC410" s="125">
        <v>43416</v>
      </c>
      <c r="AF410" s="43" t="s">
        <v>75</v>
      </c>
      <c r="AG410" s="43" t="s">
        <v>322</v>
      </c>
      <c r="AJ410" s="140">
        <v>0</v>
      </c>
      <c r="AK410" s="140">
        <v>0</v>
      </c>
      <c r="AL410" s="140">
        <v>0</v>
      </c>
      <c r="AM410" s="140">
        <v>0</v>
      </c>
      <c r="AN410" s="140">
        <v>0</v>
      </c>
      <c r="AO410" s="140">
        <v>1</v>
      </c>
      <c r="AP410" s="140">
        <v>0</v>
      </c>
      <c r="AQ410" s="140">
        <v>0</v>
      </c>
      <c r="AR410" s="140">
        <v>0</v>
      </c>
      <c r="AS410" s="140">
        <v>0</v>
      </c>
      <c r="AT410" s="140">
        <v>0</v>
      </c>
      <c r="AU410" s="140">
        <v>0</v>
      </c>
      <c r="AV410" s="140">
        <v>1</v>
      </c>
      <c r="AW410" s="140">
        <v>0</v>
      </c>
      <c r="AX410" s="140">
        <v>0</v>
      </c>
      <c r="AY410" s="140">
        <v>0</v>
      </c>
      <c r="AZ410" s="140">
        <v>0</v>
      </c>
      <c r="BA410" s="140">
        <v>0</v>
      </c>
      <c r="BB410" s="140">
        <v>0</v>
      </c>
      <c r="BC410" s="140">
        <v>0</v>
      </c>
      <c r="BD410" s="140">
        <v>0</v>
      </c>
      <c r="BE410" s="140">
        <v>0</v>
      </c>
      <c r="BF410" s="140">
        <v>0</v>
      </c>
      <c r="BG410" s="140">
        <v>0</v>
      </c>
      <c r="BH410" s="140">
        <v>0</v>
      </c>
      <c r="BI410" s="140">
        <v>0</v>
      </c>
      <c r="BJ410" s="140">
        <v>0</v>
      </c>
      <c r="BK410" s="140">
        <v>0</v>
      </c>
      <c r="BL410" s="140">
        <v>0</v>
      </c>
      <c r="BM410" s="140">
        <v>0</v>
      </c>
      <c r="BN410" s="140">
        <v>0</v>
      </c>
      <c r="BO410" s="140">
        <v>0</v>
      </c>
      <c r="BX410" s="43">
        <v>13</v>
      </c>
      <c r="BZ410" s="90">
        <f>M410</f>
        <v>1</v>
      </c>
      <c r="CT410" s="90">
        <f t="shared" si="31"/>
        <v>1</v>
      </c>
      <c r="CU410" s="90">
        <f t="shared" si="32"/>
        <v>1</v>
      </c>
    </row>
    <row r="411" spans="1:99" ht="12" customHeight="1">
      <c r="A411" s="43">
        <v>6776</v>
      </c>
      <c r="B411" s="89" t="s">
        <v>813</v>
      </c>
      <c r="C411" s="89" t="s">
        <v>1344</v>
      </c>
      <c r="D411" s="89" t="s">
        <v>1345</v>
      </c>
      <c r="F411" s="43">
        <v>523825</v>
      </c>
      <c r="G411" s="43">
        <v>175777</v>
      </c>
      <c r="H411" s="89" t="s">
        <v>178</v>
      </c>
      <c r="I411" s="125">
        <v>43851</v>
      </c>
      <c r="K411" s="140">
        <v>0</v>
      </c>
      <c r="L411" s="140">
        <v>2</v>
      </c>
      <c r="M411" s="140">
        <v>2</v>
      </c>
      <c r="N411" s="140">
        <v>2</v>
      </c>
      <c r="O411" s="140">
        <v>2</v>
      </c>
      <c r="Q411" s="89" t="s">
        <v>1346</v>
      </c>
      <c r="R411" s="43" t="s">
        <v>316</v>
      </c>
      <c r="S411" s="125">
        <v>43662</v>
      </c>
      <c r="T411" s="117">
        <v>43882</v>
      </c>
      <c r="U411" s="43" t="s">
        <v>329</v>
      </c>
      <c r="V411" s="43" t="s">
        <v>317</v>
      </c>
      <c r="X411" s="43" t="s">
        <v>318</v>
      </c>
      <c r="Y411" s="43" t="s">
        <v>361</v>
      </c>
      <c r="Z411" s="43" t="s">
        <v>320</v>
      </c>
      <c r="AA411" s="43" t="s">
        <v>33</v>
      </c>
      <c r="AB411" s="144">
        <v>9.9999997764825804E-3</v>
      </c>
      <c r="AC411" s="125">
        <v>43851</v>
      </c>
      <c r="AD411" s="43" t="s">
        <v>329</v>
      </c>
      <c r="AF411" s="43" t="s">
        <v>75</v>
      </c>
      <c r="AG411" s="43" t="s">
        <v>322</v>
      </c>
      <c r="AJ411" s="140">
        <v>0</v>
      </c>
      <c r="AK411" s="140">
        <v>0</v>
      </c>
      <c r="AL411" s="140">
        <v>0</v>
      </c>
      <c r="AM411" s="140">
        <v>0</v>
      </c>
      <c r="AN411" s="140">
        <v>0</v>
      </c>
      <c r="AO411" s="140">
        <v>0</v>
      </c>
      <c r="AP411" s="140">
        <v>0</v>
      </c>
      <c r="AQ411" s="140">
        <v>2</v>
      </c>
      <c r="AR411" s="140">
        <v>0</v>
      </c>
      <c r="AS411" s="140">
        <v>0</v>
      </c>
      <c r="AT411" s="140">
        <v>0</v>
      </c>
      <c r="AU411" s="140">
        <v>0</v>
      </c>
      <c r="AV411" s="140">
        <v>0</v>
      </c>
      <c r="AW411" s="140">
        <v>0</v>
      </c>
      <c r="AX411" s="140">
        <v>2</v>
      </c>
      <c r="AY411" s="140">
        <v>0</v>
      </c>
      <c r="AZ411" s="140">
        <v>0</v>
      </c>
      <c r="BA411" s="140">
        <v>0</v>
      </c>
      <c r="BB411" s="140">
        <v>0</v>
      </c>
      <c r="BC411" s="140">
        <v>0</v>
      </c>
      <c r="BD411" s="140">
        <v>0</v>
      </c>
      <c r="BE411" s="140">
        <v>0</v>
      </c>
      <c r="BF411" s="140">
        <v>0</v>
      </c>
      <c r="BG411" s="140">
        <v>0</v>
      </c>
      <c r="BH411" s="140">
        <v>0</v>
      </c>
      <c r="BI411" s="140">
        <v>0</v>
      </c>
      <c r="BJ411" s="140">
        <v>0</v>
      </c>
      <c r="BK411" s="140">
        <v>0</v>
      </c>
      <c r="BL411" s="140">
        <v>0</v>
      </c>
      <c r="BM411" s="140">
        <v>0</v>
      </c>
      <c r="BN411" s="140">
        <v>0</v>
      </c>
      <c r="BO411" s="140">
        <v>0</v>
      </c>
      <c r="BX411" s="43">
        <v>3</v>
      </c>
      <c r="BZ411" s="90">
        <f>$M411/2</f>
        <v>1</v>
      </c>
      <c r="CA411" s="90">
        <f>$M411/2</f>
        <v>1</v>
      </c>
      <c r="CT411" s="90">
        <f t="shared" si="31"/>
        <v>2</v>
      </c>
      <c r="CU411" s="90">
        <f t="shared" si="32"/>
        <v>2</v>
      </c>
    </row>
    <row r="412" spans="1:99" ht="12" customHeight="1">
      <c r="A412" s="43">
        <v>6795</v>
      </c>
      <c r="B412" s="89" t="s">
        <v>813</v>
      </c>
      <c r="C412" s="89" t="s">
        <v>1347</v>
      </c>
      <c r="D412" s="89" t="s">
        <v>1348</v>
      </c>
      <c r="F412" s="43">
        <v>527657</v>
      </c>
      <c r="G412" s="43">
        <v>171269</v>
      </c>
      <c r="H412" s="89" t="s">
        <v>172</v>
      </c>
      <c r="I412" s="125">
        <v>43555</v>
      </c>
      <c r="K412" s="140">
        <v>1</v>
      </c>
      <c r="L412" s="140">
        <v>2</v>
      </c>
      <c r="M412" s="140">
        <v>1</v>
      </c>
      <c r="N412" s="140">
        <v>2</v>
      </c>
      <c r="O412" s="140">
        <v>1</v>
      </c>
      <c r="Q412" s="89" t="s">
        <v>1349</v>
      </c>
      <c r="R412" s="43" t="s">
        <v>316</v>
      </c>
      <c r="S412" s="125">
        <v>43402</v>
      </c>
      <c r="T412" s="117">
        <v>43521</v>
      </c>
      <c r="V412" s="43" t="s">
        <v>317</v>
      </c>
      <c r="X412" s="43" t="s">
        <v>318</v>
      </c>
      <c r="Y412" s="43" t="s">
        <v>319</v>
      </c>
      <c r="Z412" s="43" t="s">
        <v>320</v>
      </c>
      <c r="AA412" s="43" t="s">
        <v>321</v>
      </c>
      <c r="AB412" s="144">
        <v>4.0000001899898104E-3</v>
      </c>
      <c r="AC412" s="125">
        <v>43555</v>
      </c>
      <c r="AF412" s="43" t="s">
        <v>75</v>
      </c>
      <c r="AG412" s="43" t="s">
        <v>322</v>
      </c>
      <c r="AJ412" s="140">
        <v>0</v>
      </c>
      <c r="AK412" s="140">
        <v>0</v>
      </c>
      <c r="AL412" s="140">
        <v>0</v>
      </c>
      <c r="AM412" s="140">
        <v>0</v>
      </c>
      <c r="AN412" s="140">
        <v>1</v>
      </c>
      <c r="AO412" s="140">
        <v>1</v>
      </c>
      <c r="AP412" s="140">
        <v>-1</v>
      </c>
      <c r="AQ412" s="140">
        <v>0</v>
      </c>
      <c r="AR412" s="140">
        <v>0</v>
      </c>
      <c r="AS412" s="140">
        <v>0</v>
      </c>
      <c r="AT412" s="140">
        <v>0</v>
      </c>
      <c r="AU412" s="140">
        <v>1</v>
      </c>
      <c r="AV412" s="140">
        <v>1</v>
      </c>
      <c r="AW412" s="140">
        <v>-1</v>
      </c>
      <c r="AX412" s="140">
        <v>0</v>
      </c>
      <c r="AY412" s="140">
        <v>0</v>
      </c>
      <c r="AZ412" s="140">
        <v>0</v>
      </c>
      <c r="BA412" s="140">
        <v>0</v>
      </c>
      <c r="BB412" s="140">
        <v>0</v>
      </c>
      <c r="BC412" s="140">
        <v>0</v>
      </c>
      <c r="BD412" s="140">
        <v>0</v>
      </c>
      <c r="BE412" s="140">
        <v>0</v>
      </c>
      <c r="BF412" s="140">
        <v>0</v>
      </c>
      <c r="BG412" s="140">
        <v>0</v>
      </c>
      <c r="BH412" s="140">
        <v>0</v>
      </c>
      <c r="BI412" s="140">
        <v>0</v>
      </c>
      <c r="BJ412" s="140">
        <v>0</v>
      </c>
      <c r="BK412" s="140">
        <v>0</v>
      </c>
      <c r="BL412" s="140">
        <v>0</v>
      </c>
      <c r="BM412" s="140">
        <v>0</v>
      </c>
      <c r="BN412" s="140">
        <v>0</v>
      </c>
      <c r="BO412" s="140">
        <v>0</v>
      </c>
      <c r="BP412" s="43" t="s">
        <v>141</v>
      </c>
      <c r="BX412" s="43">
        <v>13</v>
      </c>
      <c r="BZ412" s="90">
        <f>M412</f>
        <v>1</v>
      </c>
      <c r="CT412" s="90">
        <f t="shared" si="31"/>
        <v>1</v>
      </c>
      <c r="CU412" s="90">
        <f t="shared" si="32"/>
        <v>1</v>
      </c>
    </row>
    <row r="413" spans="1:99" ht="12" customHeight="1">
      <c r="A413" s="43">
        <v>6808</v>
      </c>
      <c r="B413" s="89" t="s">
        <v>813</v>
      </c>
      <c r="C413" s="89" t="s">
        <v>1350</v>
      </c>
      <c r="D413" s="89" t="s">
        <v>1351</v>
      </c>
      <c r="E413" s="89" t="s">
        <v>758</v>
      </c>
      <c r="F413" s="43">
        <v>526942</v>
      </c>
      <c r="G413" s="43">
        <v>175151</v>
      </c>
      <c r="H413" s="89" t="s">
        <v>170</v>
      </c>
      <c r="I413" s="125">
        <v>43423</v>
      </c>
      <c r="K413" s="140">
        <v>1</v>
      </c>
      <c r="L413" s="140">
        <v>2</v>
      </c>
      <c r="M413" s="140">
        <v>1</v>
      </c>
      <c r="N413" s="140">
        <v>4</v>
      </c>
      <c r="O413" s="140">
        <v>3</v>
      </c>
      <c r="Q413" s="89" t="s">
        <v>1352</v>
      </c>
      <c r="R413" s="43" t="s">
        <v>316</v>
      </c>
      <c r="S413" s="125">
        <v>43129</v>
      </c>
      <c r="T413" s="117">
        <v>43179</v>
      </c>
      <c r="V413" s="43" t="s">
        <v>317</v>
      </c>
      <c r="X413" s="43" t="s">
        <v>318</v>
      </c>
      <c r="Y413" s="43" t="s">
        <v>319</v>
      </c>
      <c r="Z413" s="43" t="s">
        <v>320</v>
      </c>
      <c r="AA413" s="43" t="s">
        <v>321</v>
      </c>
      <c r="AB413" s="144">
        <v>3.0000000260770299E-3</v>
      </c>
      <c r="AC413" s="125">
        <v>43423</v>
      </c>
      <c r="AF413" s="43" t="s">
        <v>75</v>
      </c>
      <c r="AG413" s="43" t="s">
        <v>322</v>
      </c>
      <c r="AJ413" s="140">
        <v>0</v>
      </c>
      <c r="AK413" s="140">
        <v>0</v>
      </c>
      <c r="AL413" s="140">
        <v>0</v>
      </c>
      <c r="AM413" s="140">
        <v>0</v>
      </c>
      <c r="AN413" s="140">
        <v>0</v>
      </c>
      <c r="AO413" s="140">
        <v>2</v>
      </c>
      <c r="AP413" s="140">
        <v>0</v>
      </c>
      <c r="AQ413" s="140">
        <v>-1</v>
      </c>
      <c r="AR413" s="140">
        <v>0</v>
      </c>
      <c r="AS413" s="140">
        <v>0</v>
      </c>
      <c r="AT413" s="140">
        <v>0</v>
      </c>
      <c r="AU413" s="140">
        <v>0</v>
      </c>
      <c r="AV413" s="140">
        <v>2</v>
      </c>
      <c r="AW413" s="140">
        <v>0</v>
      </c>
      <c r="AX413" s="140">
        <v>-1</v>
      </c>
      <c r="AY413" s="140">
        <v>0</v>
      </c>
      <c r="AZ413" s="140">
        <v>0</v>
      </c>
      <c r="BA413" s="140">
        <v>0</v>
      </c>
      <c r="BB413" s="140">
        <v>0</v>
      </c>
      <c r="BC413" s="140">
        <v>0</v>
      </c>
      <c r="BD413" s="140">
        <v>0</v>
      </c>
      <c r="BE413" s="140">
        <v>0</v>
      </c>
      <c r="BF413" s="140">
        <v>0</v>
      </c>
      <c r="BG413" s="140">
        <v>0</v>
      </c>
      <c r="BH413" s="140">
        <v>0</v>
      </c>
      <c r="BI413" s="140">
        <v>0</v>
      </c>
      <c r="BJ413" s="140">
        <v>0</v>
      </c>
      <c r="BK413" s="140">
        <v>0</v>
      </c>
      <c r="BL413" s="140">
        <v>0</v>
      </c>
      <c r="BM413" s="140">
        <v>0</v>
      </c>
      <c r="BN413" s="140">
        <v>0</v>
      </c>
      <c r="BO413" s="140">
        <v>0</v>
      </c>
      <c r="BX413" s="43">
        <v>13</v>
      </c>
      <c r="BZ413" s="90">
        <f>M413</f>
        <v>1</v>
      </c>
      <c r="CT413" s="90">
        <f t="shared" si="31"/>
        <v>1</v>
      </c>
      <c r="CU413" s="90">
        <f t="shared" si="32"/>
        <v>1</v>
      </c>
    </row>
    <row r="414" spans="1:99" ht="12" customHeight="1">
      <c r="A414" s="43">
        <v>6808</v>
      </c>
      <c r="B414" s="89" t="s">
        <v>813</v>
      </c>
      <c r="C414" s="89" t="s">
        <v>1350</v>
      </c>
      <c r="D414" s="89" t="s">
        <v>1351</v>
      </c>
      <c r="E414" s="89" t="s">
        <v>1157</v>
      </c>
      <c r="F414" s="43">
        <v>526942</v>
      </c>
      <c r="G414" s="43">
        <v>175151</v>
      </c>
      <c r="H414" s="89" t="s">
        <v>170</v>
      </c>
      <c r="I414" s="125">
        <v>43423</v>
      </c>
      <c r="K414" s="140">
        <v>0</v>
      </c>
      <c r="L414" s="140">
        <v>2</v>
      </c>
      <c r="M414" s="140">
        <v>2</v>
      </c>
      <c r="N414" s="140">
        <v>4</v>
      </c>
      <c r="O414" s="140">
        <v>3</v>
      </c>
      <c r="Q414" s="89" t="s">
        <v>1352</v>
      </c>
      <c r="R414" s="43" t="s">
        <v>316</v>
      </c>
      <c r="S414" s="125">
        <v>43129</v>
      </c>
      <c r="T414" s="117">
        <v>43179</v>
      </c>
      <c r="V414" s="43" t="s">
        <v>317</v>
      </c>
      <c r="X414" s="43" t="s">
        <v>318</v>
      </c>
      <c r="Y414" s="43" t="s">
        <v>319</v>
      </c>
      <c r="Z414" s="43" t="s">
        <v>320</v>
      </c>
      <c r="AA414" s="43" t="s">
        <v>353</v>
      </c>
      <c r="AB414" s="144">
        <v>4.0000001899898104E-3</v>
      </c>
      <c r="AC414" s="125">
        <v>43423</v>
      </c>
      <c r="AF414" s="43" t="s">
        <v>75</v>
      </c>
      <c r="AG414" s="43" t="s">
        <v>322</v>
      </c>
      <c r="AJ414" s="140">
        <v>0</v>
      </c>
      <c r="AK414" s="140">
        <v>0</v>
      </c>
      <c r="AL414" s="140">
        <v>0</v>
      </c>
      <c r="AM414" s="140">
        <v>0</v>
      </c>
      <c r="AN414" s="140">
        <v>0</v>
      </c>
      <c r="AO414" s="140">
        <v>1</v>
      </c>
      <c r="AP414" s="140">
        <v>1</v>
      </c>
      <c r="AQ414" s="140">
        <v>0</v>
      </c>
      <c r="AR414" s="140">
        <v>0</v>
      </c>
      <c r="AS414" s="140">
        <v>0</v>
      </c>
      <c r="AT414" s="140">
        <v>0</v>
      </c>
      <c r="AU414" s="140">
        <v>0</v>
      </c>
      <c r="AV414" s="140">
        <v>1</v>
      </c>
      <c r="AW414" s="140">
        <v>1</v>
      </c>
      <c r="AX414" s="140">
        <v>0</v>
      </c>
      <c r="AY414" s="140">
        <v>0</v>
      </c>
      <c r="AZ414" s="140">
        <v>0</v>
      </c>
      <c r="BA414" s="140">
        <v>0</v>
      </c>
      <c r="BB414" s="140">
        <v>0</v>
      </c>
      <c r="BC414" s="140">
        <v>0</v>
      </c>
      <c r="BD414" s="140">
        <v>0</v>
      </c>
      <c r="BE414" s="140">
        <v>0</v>
      </c>
      <c r="BF414" s="140">
        <v>0</v>
      </c>
      <c r="BG414" s="140">
        <v>0</v>
      </c>
      <c r="BH414" s="140">
        <v>0</v>
      </c>
      <c r="BI414" s="140">
        <v>0</v>
      </c>
      <c r="BJ414" s="140">
        <v>0</v>
      </c>
      <c r="BK414" s="140">
        <v>0</v>
      </c>
      <c r="BL414" s="140">
        <v>0</v>
      </c>
      <c r="BM414" s="140">
        <v>0</v>
      </c>
      <c r="BN414" s="140">
        <v>0</v>
      </c>
      <c r="BO414" s="140">
        <v>0</v>
      </c>
      <c r="BX414" s="43">
        <v>13</v>
      </c>
      <c r="BZ414" s="90">
        <f>M414</f>
        <v>2</v>
      </c>
      <c r="CT414" s="90">
        <f t="shared" si="31"/>
        <v>2</v>
      </c>
      <c r="CU414" s="90">
        <f t="shared" si="32"/>
        <v>2</v>
      </c>
    </row>
    <row r="415" spans="1:99" ht="12" customHeight="1">
      <c r="A415" s="43">
        <v>6815</v>
      </c>
      <c r="B415" s="89" t="s">
        <v>813</v>
      </c>
      <c r="C415" s="89" t="s">
        <v>1353</v>
      </c>
      <c r="D415" s="89" t="s">
        <v>1354</v>
      </c>
      <c r="F415" s="43">
        <v>524144</v>
      </c>
      <c r="G415" s="43">
        <v>173132</v>
      </c>
      <c r="H415" s="89" t="s">
        <v>180</v>
      </c>
      <c r="I415" s="125">
        <v>43915</v>
      </c>
      <c r="K415" s="140">
        <v>0</v>
      </c>
      <c r="L415" s="140">
        <v>1</v>
      </c>
      <c r="M415" s="140">
        <v>1</v>
      </c>
      <c r="N415" s="140">
        <v>1</v>
      </c>
      <c r="O415" s="140">
        <v>1</v>
      </c>
      <c r="Q415" s="89" t="s">
        <v>1355</v>
      </c>
      <c r="R415" s="43" t="s">
        <v>316</v>
      </c>
      <c r="S415" s="125">
        <v>43146</v>
      </c>
      <c r="T415" s="117">
        <v>43304</v>
      </c>
      <c r="V415" s="43" t="s">
        <v>317</v>
      </c>
      <c r="X415" s="43" t="s">
        <v>318</v>
      </c>
      <c r="Y415" s="43" t="s">
        <v>361</v>
      </c>
      <c r="Z415" s="43" t="s">
        <v>320</v>
      </c>
      <c r="AA415" s="43" t="s">
        <v>353</v>
      </c>
      <c r="AB415" s="144">
        <v>7.0000002160668399E-3</v>
      </c>
      <c r="AC415" s="125">
        <v>43915</v>
      </c>
      <c r="AD415" s="43" t="s">
        <v>329</v>
      </c>
      <c r="AF415" s="43" t="s">
        <v>75</v>
      </c>
      <c r="AG415" s="43" t="s">
        <v>322</v>
      </c>
      <c r="AJ415" s="140">
        <v>0</v>
      </c>
      <c r="AK415" s="140">
        <v>0</v>
      </c>
      <c r="AL415" s="140">
        <v>0</v>
      </c>
      <c r="AM415" s="140">
        <v>0</v>
      </c>
      <c r="AN415" s="140">
        <v>0</v>
      </c>
      <c r="AO415" s="140">
        <v>0</v>
      </c>
      <c r="AP415" s="140">
        <v>0</v>
      </c>
      <c r="AQ415" s="140">
        <v>1</v>
      </c>
      <c r="AR415" s="140">
        <v>0</v>
      </c>
      <c r="AS415" s="140">
        <v>0</v>
      </c>
      <c r="AT415" s="140">
        <v>0</v>
      </c>
      <c r="AU415" s="140">
        <v>0</v>
      </c>
      <c r="AV415" s="140">
        <v>0</v>
      </c>
      <c r="AW415" s="140">
        <v>0</v>
      </c>
      <c r="AX415" s="140">
        <v>0</v>
      </c>
      <c r="AY415" s="140">
        <v>0</v>
      </c>
      <c r="AZ415" s="140">
        <v>0</v>
      </c>
      <c r="BA415" s="140">
        <v>0</v>
      </c>
      <c r="BB415" s="140">
        <v>0</v>
      </c>
      <c r="BC415" s="140">
        <v>0</v>
      </c>
      <c r="BD415" s="140">
        <v>0</v>
      </c>
      <c r="BE415" s="140">
        <v>1</v>
      </c>
      <c r="BF415" s="140">
        <v>0</v>
      </c>
      <c r="BG415" s="140">
        <v>0</v>
      </c>
      <c r="BH415" s="140">
        <v>0</v>
      </c>
      <c r="BI415" s="140">
        <v>0</v>
      </c>
      <c r="BJ415" s="140">
        <v>0</v>
      </c>
      <c r="BK415" s="140">
        <v>0</v>
      </c>
      <c r="BL415" s="140">
        <v>0</v>
      </c>
      <c r="BM415" s="140">
        <v>0</v>
      </c>
      <c r="BN415" s="140">
        <v>0</v>
      </c>
      <c r="BO415" s="140">
        <v>0</v>
      </c>
      <c r="BX415" s="43">
        <v>3</v>
      </c>
      <c r="BZ415" s="90">
        <f>$M415/2</f>
        <v>0.5</v>
      </c>
      <c r="CA415" s="90">
        <f>$M415/2</f>
        <v>0.5</v>
      </c>
      <c r="CT415" s="90">
        <f t="shared" si="31"/>
        <v>1</v>
      </c>
      <c r="CU415" s="90">
        <f t="shared" si="32"/>
        <v>1</v>
      </c>
    </row>
    <row r="416" spans="1:99" ht="12" customHeight="1">
      <c r="A416" s="43">
        <v>6828</v>
      </c>
      <c r="B416" s="89" t="s">
        <v>813</v>
      </c>
      <c r="C416" s="89" t="s">
        <v>1356</v>
      </c>
      <c r="D416" s="89" t="s">
        <v>1357</v>
      </c>
      <c r="F416" s="43">
        <v>527983</v>
      </c>
      <c r="G416" s="43">
        <v>171216</v>
      </c>
      <c r="H416" s="89" t="s">
        <v>172</v>
      </c>
      <c r="I416" s="125">
        <v>43647</v>
      </c>
      <c r="K416" s="140">
        <v>1</v>
      </c>
      <c r="L416" s="140">
        <v>4</v>
      </c>
      <c r="M416" s="140">
        <v>3</v>
      </c>
      <c r="N416" s="140">
        <v>4</v>
      </c>
      <c r="O416" s="140">
        <v>3</v>
      </c>
      <c r="Q416" s="89" t="s">
        <v>1358</v>
      </c>
      <c r="R416" s="43" t="s">
        <v>316</v>
      </c>
      <c r="S416" s="125">
        <v>43728</v>
      </c>
      <c r="T416" s="117">
        <v>43864</v>
      </c>
      <c r="U416" s="43" t="s">
        <v>329</v>
      </c>
      <c r="V416" s="43" t="s">
        <v>317</v>
      </c>
      <c r="X416" s="43" t="s">
        <v>318</v>
      </c>
      <c r="Y416" s="43" t="s">
        <v>348</v>
      </c>
      <c r="Z416" s="43" t="s">
        <v>320</v>
      </c>
      <c r="AA416" s="43" t="s">
        <v>20</v>
      </c>
      <c r="AB416" s="144">
        <v>3.29999998211861E-2</v>
      </c>
      <c r="AC416" s="125">
        <v>43647</v>
      </c>
      <c r="AD416" s="43" t="s">
        <v>329</v>
      </c>
      <c r="AF416" s="43" t="s">
        <v>75</v>
      </c>
      <c r="AG416" s="43" t="s">
        <v>322</v>
      </c>
      <c r="AJ416" s="140">
        <v>0</v>
      </c>
      <c r="AK416" s="140">
        <v>0</v>
      </c>
      <c r="AL416" s="140">
        <v>0</v>
      </c>
      <c r="AM416" s="140">
        <v>0</v>
      </c>
      <c r="AN416" s="140">
        <v>0</v>
      </c>
      <c r="AO416" s="140">
        <v>1</v>
      </c>
      <c r="AP416" s="140">
        <v>1</v>
      </c>
      <c r="AQ416" s="140">
        <v>2</v>
      </c>
      <c r="AR416" s="140">
        <v>0</v>
      </c>
      <c r="AS416" s="140">
        <v>-1</v>
      </c>
      <c r="AT416" s="140">
        <v>0</v>
      </c>
      <c r="AU416" s="140">
        <v>0</v>
      </c>
      <c r="AV416" s="140">
        <v>1</v>
      </c>
      <c r="AW416" s="140">
        <v>1</v>
      </c>
      <c r="AX416" s="140">
        <v>2</v>
      </c>
      <c r="AY416" s="140">
        <v>0</v>
      </c>
      <c r="AZ416" s="140">
        <v>0</v>
      </c>
      <c r="BA416" s="140">
        <v>0</v>
      </c>
      <c r="BB416" s="140">
        <v>0</v>
      </c>
      <c r="BC416" s="140">
        <v>0</v>
      </c>
      <c r="BD416" s="140">
        <v>0</v>
      </c>
      <c r="BE416" s="140">
        <v>0</v>
      </c>
      <c r="BF416" s="140">
        <v>0</v>
      </c>
      <c r="BG416" s="140">
        <v>-1</v>
      </c>
      <c r="BH416" s="140">
        <v>0</v>
      </c>
      <c r="BI416" s="140">
        <v>0</v>
      </c>
      <c r="BJ416" s="140">
        <v>0</v>
      </c>
      <c r="BK416" s="140">
        <v>0</v>
      </c>
      <c r="BL416" s="140">
        <v>0</v>
      </c>
      <c r="BM416" s="140">
        <v>0</v>
      </c>
      <c r="BN416" s="140">
        <v>0</v>
      </c>
      <c r="BO416" s="140">
        <v>0</v>
      </c>
      <c r="BX416" s="43">
        <v>13</v>
      </c>
      <c r="BZ416" s="90">
        <f>M416</f>
        <v>3</v>
      </c>
      <c r="CT416" s="90">
        <f t="shared" si="31"/>
        <v>3</v>
      </c>
      <c r="CU416" s="90">
        <f t="shared" si="32"/>
        <v>3</v>
      </c>
    </row>
    <row r="417" spans="1:99" ht="12" customHeight="1">
      <c r="A417" s="43">
        <v>6830</v>
      </c>
      <c r="B417" s="89" t="s">
        <v>813</v>
      </c>
      <c r="C417" s="89" t="s">
        <v>1359</v>
      </c>
      <c r="D417" s="89" t="s">
        <v>1360</v>
      </c>
      <c r="F417" s="43">
        <v>527581</v>
      </c>
      <c r="G417" s="43">
        <v>174645</v>
      </c>
      <c r="H417" s="89" t="s">
        <v>174</v>
      </c>
      <c r="I417" s="125">
        <v>43678</v>
      </c>
      <c r="K417" s="140">
        <v>0</v>
      </c>
      <c r="L417" s="140">
        <v>2</v>
      </c>
      <c r="M417" s="140">
        <v>2</v>
      </c>
      <c r="N417" s="140">
        <v>2</v>
      </c>
      <c r="O417" s="140">
        <v>2</v>
      </c>
      <c r="Q417" s="89" t="s">
        <v>1361</v>
      </c>
      <c r="R417" s="43" t="s">
        <v>316</v>
      </c>
      <c r="S417" s="125">
        <v>43160</v>
      </c>
      <c r="T417" s="117">
        <v>43203</v>
      </c>
      <c r="V417" s="43" t="s">
        <v>317</v>
      </c>
      <c r="X417" s="43" t="s">
        <v>318</v>
      </c>
      <c r="Y417" s="43" t="s">
        <v>379</v>
      </c>
      <c r="Z417" s="43" t="s">
        <v>320</v>
      </c>
      <c r="AA417" s="43" t="s">
        <v>340</v>
      </c>
      <c r="AB417" s="144">
        <v>7.0000002160668399E-3</v>
      </c>
      <c r="AC417" s="125">
        <v>43678</v>
      </c>
      <c r="AD417" s="43" t="s">
        <v>329</v>
      </c>
      <c r="AF417" s="43" t="s">
        <v>75</v>
      </c>
      <c r="AG417" s="43" t="s">
        <v>322</v>
      </c>
      <c r="AJ417" s="140">
        <v>0</v>
      </c>
      <c r="AK417" s="140">
        <v>0</v>
      </c>
      <c r="AL417" s="140">
        <v>0</v>
      </c>
      <c r="AM417" s="140">
        <v>0</v>
      </c>
      <c r="AN417" s="140">
        <v>0</v>
      </c>
      <c r="AO417" s="140">
        <v>2</v>
      </c>
      <c r="AP417" s="140">
        <v>0</v>
      </c>
      <c r="AQ417" s="140">
        <v>0</v>
      </c>
      <c r="AR417" s="140">
        <v>0</v>
      </c>
      <c r="AS417" s="140">
        <v>0</v>
      </c>
      <c r="AT417" s="140">
        <v>0</v>
      </c>
      <c r="AU417" s="140">
        <v>0</v>
      </c>
      <c r="AV417" s="140">
        <v>2</v>
      </c>
      <c r="AW417" s="140">
        <v>0</v>
      </c>
      <c r="AX417" s="140">
        <v>0</v>
      </c>
      <c r="AY417" s="140">
        <v>0</v>
      </c>
      <c r="AZ417" s="140">
        <v>0</v>
      </c>
      <c r="BA417" s="140">
        <v>0</v>
      </c>
      <c r="BB417" s="140">
        <v>0</v>
      </c>
      <c r="BC417" s="140">
        <v>0</v>
      </c>
      <c r="BD417" s="140">
        <v>0</v>
      </c>
      <c r="BE417" s="140">
        <v>0</v>
      </c>
      <c r="BF417" s="140">
        <v>0</v>
      </c>
      <c r="BG417" s="140">
        <v>0</v>
      </c>
      <c r="BH417" s="140">
        <v>0</v>
      </c>
      <c r="BI417" s="140">
        <v>0</v>
      </c>
      <c r="BJ417" s="140">
        <v>0</v>
      </c>
      <c r="BK417" s="140">
        <v>0</v>
      </c>
      <c r="BL417" s="140">
        <v>0</v>
      </c>
      <c r="BM417" s="140">
        <v>0</v>
      </c>
      <c r="BN417" s="140">
        <v>0</v>
      </c>
      <c r="BO417" s="140">
        <v>0</v>
      </c>
      <c r="BX417" s="43">
        <v>13</v>
      </c>
      <c r="BZ417" s="90">
        <f>M417</f>
        <v>2</v>
      </c>
      <c r="CT417" s="90">
        <f t="shared" si="31"/>
        <v>2</v>
      </c>
      <c r="CU417" s="90">
        <f t="shared" si="32"/>
        <v>2</v>
      </c>
    </row>
    <row r="418" spans="1:99" ht="12" customHeight="1">
      <c r="A418" s="43">
        <v>6842</v>
      </c>
      <c r="B418" s="89" t="s">
        <v>813</v>
      </c>
      <c r="C418" s="89" t="s">
        <v>1362</v>
      </c>
      <c r="D418" s="89" t="s">
        <v>1363</v>
      </c>
      <c r="F418" s="43">
        <v>528521</v>
      </c>
      <c r="G418" s="43">
        <v>172221</v>
      </c>
      <c r="H418" s="89" t="s">
        <v>167</v>
      </c>
      <c r="I418" s="125">
        <v>43555</v>
      </c>
      <c r="K418" s="140">
        <v>3</v>
      </c>
      <c r="L418" s="140">
        <v>1</v>
      </c>
      <c r="M418" s="140">
        <v>-2</v>
      </c>
      <c r="N418" s="140">
        <v>1</v>
      </c>
      <c r="O418" s="140">
        <v>-2</v>
      </c>
      <c r="Q418" s="89" t="s">
        <v>1364</v>
      </c>
      <c r="R418" s="43" t="s">
        <v>316</v>
      </c>
      <c r="S418" s="125">
        <v>43278</v>
      </c>
      <c r="T418" s="117">
        <v>43378</v>
      </c>
      <c r="V418" s="43" t="s">
        <v>317</v>
      </c>
      <c r="X418" s="43" t="s">
        <v>318</v>
      </c>
      <c r="Y418" s="43" t="s">
        <v>348</v>
      </c>
      <c r="Z418" s="43" t="s">
        <v>320</v>
      </c>
      <c r="AA418" s="43" t="s">
        <v>22</v>
      </c>
      <c r="AB418" s="144">
        <v>2.8000000864267301E-2</v>
      </c>
      <c r="AC418" s="125">
        <v>43555</v>
      </c>
      <c r="AF418" s="43" t="s">
        <v>75</v>
      </c>
      <c r="AG418" s="43" t="s">
        <v>322</v>
      </c>
      <c r="AJ418" s="140">
        <v>0</v>
      </c>
      <c r="AK418" s="140">
        <v>0</v>
      </c>
      <c r="AL418" s="140">
        <v>0</v>
      </c>
      <c r="AM418" s="140">
        <v>0</v>
      </c>
      <c r="AN418" s="140">
        <v>0</v>
      </c>
      <c r="AO418" s="140">
        <v>0</v>
      </c>
      <c r="AP418" s="140">
        <v>-3</v>
      </c>
      <c r="AQ418" s="140">
        <v>0</v>
      </c>
      <c r="AR418" s="140">
        <v>0</v>
      </c>
      <c r="AS418" s="140">
        <v>1</v>
      </c>
      <c r="AT418" s="140">
        <v>0</v>
      </c>
      <c r="AU418" s="140">
        <v>0</v>
      </c>
      <c r="AV418" s="140">
        <v>0</v>
      </c>
      <c r="AW418" s="140">
        <v>-3</v>
      </c>
      <c r="AX418" s="140">
        <v>0</v>
      </c>
      <c r="AY418" s="140">
        <v>0</v>
      </c>
      <c r="AZ418" s="140">
        <v>0</v>
      </c>
      <c r="BA418" s="140">
        <v>0</v>
      </c>
      <c r="BB418" s="140">
        <v>0</v>
      </c>
      <c r="BC418" s="140">
        <v>0</v>
      </c>
      <c r="BD418" s="140">
        <v>0</v>
      </c>
      <c r="BE418" s="140">
        <v>0</v>
      </c>
      <c r="BF418" s="140">
        <v>0</v>
      </c>
      <c r="BG418" s="140">
        <v>1</v>
      </c>
      <c r="BH418" s="140">
        <v>0</v>
      </c>
      <c r="BI418" s="140">
        <v>0</v>
      </c>
      <c r="BJ418" s="140">
        <v>0</v>
      </c>
      <c r="BK418" s="140">
        <v>0</v>
      </c>
      <c r="BL418" s="140">
        <v>0</v>
      </c>
      <c r="BM418" s="140">
        <v>0</v>
      </c>
      <c r="BN418" s="140">
        <v>0</v>
      </c>
      <c r="BO418" s="140">
        <v>0</v>
      </c>
      <c r="BX418" s="43">
        <v>13</v>
      </c>
      <c r="BZ418" s="90">
        <f>M418</f>
        <v>-2</v>
      </c>
      <c r="CT418" s="90">
        <f t="shared" si="31"/>
        <v>-2</v>
      </c>
      <c r="CU418" s="90">
        <f t="shared" si="32"/>
        <v>-2</v>
      </c>
    </row>
    <row r="419" spans="1:99" ht="12" customHeight="1">
      <c r="A419" s="43">
        <v>6859</v>
      </c>
      <c r="B419" s="89" t="s">
        <v>813</v>
      </c>
      <c r="C419" s="89" t="s">
        <v>1365</v>
      </c>
      <c r="D419" s="89" t="s">
        <v>1366</v>
      </c>
      <c r="F419" s="43">
        <v>523223</v>
      </c>
      <c r="G419" s="43">
        <v>175846</v>
      </c>
      <c r="H419" s="89" t="s">
        <v>178</v>
      </c>
      <c r="I419" s="125">
        <v>43461</v>
      </c>
      <c r="K419" s="140">
        <v>1</v>
      </c>
      <c r="L419" s="140">
        <v>3</v>
      </c>
      <c r="M419" s="140">
        <v>2</v>
      </c>
      <c r="N419" s="140">
        <v>3</v>
      </c>
      <c r="O419" s="140">
        <v>2</v>
      </c>
      <c r="Q419" s="89" t="s">
        <v>1367</v>
      </c>
      <c r="R419" s="43" t="s">
        <v>316</v>
      </c>
      <c r="S419" s="125">
        <v>43181</v>
      </c>
      <c r="T419" s="117">
        <v>43245</v>
      </c>
      <c r="V419" s="43" t="s">
        <v>317</v>
      </c>
      <c r="X419" s="43" t="s">
        <v>318</v>
      </c>
      <c r="Y419" s="43" t="s">
        <v>348</v>
      </c>
      <c r="Z419" s="43" t="s">
        <v>320</v>
      </c>
      <c r="AA419" s="43" t="s">
        <v>20</v>
      </c>
      <c r="AB419" s="144">
        <v>1.7999999225139601E-2</v>
      </c>
      <c r="AC419" s="125">
        <v>43461</v>
      </c>
      <c r="AF419" s="43" t="s">
        <v>75</v>
      </c>
      <c r="AG419" s="43" t="s">
        <v>322</v>
      </c>
      <c r="AJ419" s="140">
        <v>0</v>
      </c>
      <c r="AK419" s="140">
        <v>0</v>
      </c>
      <c r="AL419" s="140">
        <v>0</v>
      </c>
      <c r="AM419" s="140">
        <v>0</v>
      </c>
      <c r="AN419" s="140">
        <v>1</v>
      </c>
      <c r="AO419" s="140">
        <v>1</v>
      </c>
      <c r="AP419" s="140">
        <v>0</v>
      </c>
      <c r="AQ419" s="140">
        <v>1</v>
      </c>
      <c r="AR419" s="140">
        <v>-1</v>
      </c>
      <c r="AS419" s="140">
        <v>0</v>
      </c>
      <c r="AT419" s="140">
        <v>0</v>
      </c>
      <c r="AU419" s="140">
        <v>1</v>
      </c>
      <c r="AV419" s="140">
        <v>1</v>
      </c>
      <c r="AW419" s="140">
        <v>0</v>
      </c>
      <c r="AX419" s="140">
        <v>1</v>
      </c>
      <c r="AY419" s="140">
        <v>0</v>
      </c>
      <c r="AZ419" s="140">
        <v>0</v>
      </c>
      <c r="BA419" s="140">
        <v>0</v>
      </c>
      <c r="BB419" s="140">
        <v>0</v>
      </c>
      <c r="BC419" s="140">
        <v>0</v>
      </c>
      <c r="BD419" s="140">
        <v>0</v>
      </c>
      <c r="BE419" s="140">
        <v>0</v>
      </c>
      <c r="BF419" s="140">
        <v>-1</v>
      </c>
      <c r="BG419" s="140">
        <v>0</v>
      </c>
      <c r="BH419" s="140">
        <v>0</v>
      </c>
      <c r="BI419" s="140">
        <v>0</v>
      </c>
      <c r="BJ419" s="140">
        <v>0</v>
      </c>
      <c r="BK419" s="140">
        <v>0</v>
      </c>
      <c r="BL419" s="140">
        <v>0</v>
      </c>
      <c r="BM419" s="140">
        <v>0</v>
      </c>
      <c r="BN419" s="140">
        <v>0</v>
      </c>
      <c r="BO419" s="140">
        <v>0</v>
      </c>
      <c r="BU419" s="89"/>
      <c r="BX419" s="43">
        <v>13</v>
      </c>
      <c r="BZ419" s="90">
        <f>M419</f>
        <v>2</v>
      </c>
      <c r="CT419" s="90">
        <f t="shared" si="31"/>
        <v>2</v>
      </c>
      <c r="CU419" s="90">
        <f t="shared" si="32"/>
        <v>2</v>
      </c>
    </row>
    <row r="420" spans="1:99" ht="12" customHeight="1">
      <c r="A420" s="43">
        <v>6860</v>
      </c>
      <c r="B420" s="89" t="s">
        <v>813</v>
      </c>
      <c r="C420" s="89" t="s">
        <v>1368</v>
      </c>
      <c r="D420" s="89" t="s">
        <v>1369</v>
      </c>
      <c r="F420" s="43">
        <v>527312</v>
      </c>
      <c r="G420" s="43">
        <v>171270</v>
      </c>
      <c r="H420" s="89" t="s">
        <v>141</v>
      </c>
      <c r="I420" s="125">
        <v>43921</v>
      </c>
      <c r="K420" s="140">
        <v>1</v>
      </c>
      <c r="L420" s="140">
        <v>2</v>
      </c>
      <c r="M420" s="140">
        <v>1</v>
      </c>
      <c r="N420" s="140">
        <v>2</v>
      </c>
      <c r="O420" s="140">
        <v>1</v>
      </c>
      <c r="Q420" s="89" t="s">
        <v>1370</v>
      </c>
      <c r="R420" s="43" t="s">
        <v>316</v>
      </c>
      <c r="S420" s="125">
        <v>43697</v>
      </c>
      <c r="T420" s="117">
        <v>43735</v>
      </c>
      <c r="U420" s="43" t="s">
        <v>329</v>
      </c>
      <c r="V420" s="43" t="s">
        <v>317</v>
      </c>
      <c r="X420" s="43" t="s">
        <v>318</v>
      </c>
      <c r="Y420" s="43" t="s">
        <v>348</v>
      </c>
      <c r="Z420" s="43" t="s">
        <v>320</v>
      </c>
      <c r="AA420" s="43" t="s">
        <v>321</v>
      </c>
      <c r="AB420" s="144">
        <v>8.9999996125698107E-3</v>
      </c>
      <c r="AC420" s="125">
        <v>43921</v>
      </c>
      <c r="AD420" s="43" t="s">
        <v>329</v>
      </c>
      <c r="AF420" s="43" t="s">
        <v>75</v>
      </c>
      <c r="AG420" s="43" t="s">
        <v>322</v>
      </c>
      <c r="AJ420" s="140">
        <v>0</v>
      </c>
      <c r="AK420" s="140">
        <v>0</v>
      </c>
      <c r="AL420" s="140">
        <v>0</v>
      </c>
      <c r="AM420" s="140">
        <v>0</v>
      </c>
      <c r="AN420" s="140">
        <v>0</v>
      </c>
      <c r="AO420" s="140">
        <v>1</v>
      </c>
      <c r="AP420" s="140">
        <v>1</v>
      </c>
      <c r="AQ420" s="140">
        <v>-1</v>
      </c>
      <c r="AR420" s="140">
        <v>0</v>
      </c>
      <c r="AS420" s="140">
        <v>0</v>
      </c>
      <c r="AT420" s="140">
        <v>0</v>
      </c>
      <c r="AU420" s="140">
        <v>0</v>
      </c>
      <c r="AV420" s="140">
        <v>1</v>
      </c>
      <c r="AW420" s="140">
        <v>1</v>
      </c>
      <c r="AX420" s="140">
        <v>-1</v>
      </c>
      <c r="AY420" s="140">
        <v>0</v>
      </c>
      <c r="AZ420" s="140">
        <v>0</v>
      </c>
      <c r="BA420" s="140">
        <v>0</v>
      </c>
      <c r="BB420" s="140">
        <v>0</v>
      </c>
      <c r="BC420" s="140">
        <v>0</v>
      </c>
      <c r="BD420" s="140">
        <v>0</v>
      </c>
      <c r="BE420" s="140">
        <v>0</v>
      </c>
      <c r="BF420" s="140">
        <v>0</v>
      </c>
      <c r="BG420" s="140">
        <v>0</v>
      </c>
      <c r="BH420" s="140">
        <v>0</v>
      </c>
      <c r="BI420" s="140">
        <v>0</v>
      </c>
      <c r="BJ420" s="140">
        <v>0</v>
      </c>
      <c r="BK420" s="140">
        <v>0</v>
      </c>
      <c r="BL420" s="140">
        <v>0</v>
      </c>
      <c r="BM420" s="140">
        <v>0</v>
      </c>
      <c r="BN420" s="140">
        <v>0</v>
      </c>
      <c r="BO420" s="140">
        <v>0</v>
      </c>
      <c r="BU420" s="89"/>
      <c r="BX420" s="43">
        <v>14</v>
      </c>
      <c r="BZ420" s="90">
        <f t="shared" ref="BZ420:CA422" si="34">$M420/2</f>
        <v>0.5</v>
      </c>
      <c r="CA420" s="90">
        <f t="shared" si="34"/>
        <v>0.5</v>
      </c>
      <c r="CT420" s="90">
        <f t="shared" si="31"/>
        <v>1</v>
      </c>
      <c r="CU420" s="90">
        <f t="shared" si="32"/>
        <v>1</v>
      </c>
    </row>
    <row r="421" spans="1:99" ht="12" customHeight="1">
      <c r="A421" s="43">
        <v>6912</v>
      </c>
      <c r="B421" s="89" t="s">
        <v>813</v>
      </c>
      <c r="C421" s="89" t="s">
        <v>1371</v>
      </c>
      <c r="D421" s="89" t="s">
        <v>1372</v>
      </c>
      <c r="F421" s="43">
        <v>526829</v>
      </c>
      <c r="G421" s="43">
        <v>172839</v>
      </c>
      <c r="H421" s="89" t="s">
        <v>179</v>
      </c>
      <c r="I421" s="125">
        <v>43921</v>
      </c>
      <c r="K421" s="140">
        <v>0</v>
      </c>
      <c r="L421" s="140">
        <v>1</v>
      </c>
      <c r="M421" s="140">
        <v>1</v>
      </c>
      <c r="N421" s="140">
        <v>1</v>
      </c>
      <c r="O421" s="140">
        <v>1</v>
      </c>
      <c r="Q421" s="89" t="s">
        <v>1373</v>
      </c>
      <c r="R421" s="43" t="s">
        <v>316</v>
      </c>
      <c r="S421" s="125">
        <v>42549</v>
      </c>
      <c r="T421" s="117">
        <v>42605</v>
      </c>
      <c r="V421" s="43" t="s">
        <v>317</v>
      </c>
      <c r="X421" s="43" t="s">
        <v>318</v>
      </c>
      <c r="Y421" s="43" t="s">
        <v>361</v>
      </c>
      <c r="Z421" s="43" t="s">
        <v>320</v>
      </c>
      <c r="AA421" s="43" t="s">
        <v>353</v>
      </c>
      <c r="AB421" s="144">
        <v>3.0000000260770299E-3</v>
      </c>
      <c r="AC421" s="125">
        <v>43921</v>
      </c>
      <c r="AD421" s="43" t="s">
        <v>329</v>
      </c>
      <c r="AF421" s="43" t="s">
        <v>75</v>
      </c>
      <c r="AG421" s="43" t="s">
        <v>322</v>
      </c>
      <c r="AJ421" s="140">
        <v>0</v>
      </c>
      <c r="AK421" s="140">
        <v>0</v>
      </c>
      <c r="AL421" s="140">
        <v>0</v>
      </c>
      <c r="AM421" s="140">
        <v>0</v>
      </c>
      <c r="AN421" s="140">
        <v>1</v>
      </c>
      <c r="AO421" s="140">
        <v>0</v>
      </c>
      <c r="AP421" s="140">
        <v>0</v>
      </c>
      <c r="AQ421" s="140">
        <v>0</v>
      </c>
      <c r="AR421" s="140">
        <v>0</v>
      </c>
      <c r="AS421" s="140">
        <v>0</v>
      </c>
      <c r="AT421" s="140">
        <v>0</v>
      </c>
      <c r="AU421" s="140">
        <v>1</v>
      </c>
      <c r="AV421" s="140">
        <v>0</v>
      </c>
      <c r="AW421" s="140">
        <v>0</v>
      </c>
      <c r="AX421" s="140">
        <v>0</v>
      </c>
      <c r="AY421" s="140">
        <v>0</v>
      </c>
      <c r="AZ421" s="140">
        <v>0</v>
      </c>
      <c r="BA421" s="140">
        <v>0</v>
      </c>
      <c r="BB421" s="140">
        <v>0</v>
      </c>
      <c r="BC421" s="140">
        <v>0</v>
      </c>
      <c r="BD421" s="140">
        <v>0</v>
      </c>
      <c r="BE421" s="140">
        <v>0</v>
      </c>
      <c r="BF421" s="140">
        <v>0</v>
      </c>
      <c r="BG421" s="140">
        <v>0</v>
      </c>
      <c r="BH421" s="140">
        <v>0</v>
      </c>
      <c r="BI421" s="140">
        <v>0</v>
      </c>
      <c r="BJ421" s="140">
        <v>0</v>
      </c>
      <c r="BK421" s="140">
        <v>0</v>
      </c>
      <c r="BL421" s="140">
        <v>0</v>
      </c>
      <c r="BM421" s="140">
        <v>0</v>
      </c>
      <c r="BN421" s="140">
        <v>0</v>
      </c>
      <c r="BO421" s="140">
        <v>0</v>
      </c>
      <c r="BQ421" s="89"/>
      <c r="BU421" s="89"/>
      <c r="BX421" s="43">
        <v>3</v>
      </c>
      <c r="BZ421" s="90">
        <f t="shared" si="34"/>
        <v>0.5</v>
      </c>
      <c r="CA421" s="90">
        <f t="shared" si="34"/>
        <v>0.5</v>
      </c>
      <c r="CT421" s="90">
        <f t="shared" si="31"/>
        <v>1</v>
      </c>
      <c r="CU421" s="90">
        <f t="shared" si="32"/>
        <v>1</v>
      </c>
    </row>
    <row r="422" spans="1:99" ht="12" customHeight="1">
      <c r="A422" s="43">
        <v>6921</v>
      </c>
      <c r="B422" s="89" t="s">
        <v>813</v>
      </c>
      <c r="C422" s="89" t="s">
        <v>1374</v>
      </c>
      <c r="D422" s="89" t="s">
        <v>1375</v>
      </c>
      <c r="F422" s="43">
        <v>526971</v>
      </c>
      <c r="G422" s="43">
        <v>176456</v>
      </c>
      <c r="H422" s="89" t="s">
        <v>177</v>
      </c>
      <c r="I422" s="125">
        <v>43906</v>
      </c>
      <c r="K422" s="140">
        <v>0</v>
      </c>
      <c r="L422" s="140">
        <v>2</v>
      </c>
      <c r="M422" s="140">
        <v>2</v>
      </c>
      <c r="N422" s="140">
        <v>2</v>
      </c>
      <c r="O422" s="140">
        <v>2</v>
      </c>
      <c r="Q422" s="89" t="s">
        <v>1376</v>
      </c>
      <c r="R422" s="43" t="s">
        <v>316</v>
      </c>
      <c r="S422" s="125">
        <v>43635</v>
      </c>
      <c r="T422" s="117">
        <v>43685</v>
      </c>
      <c r="U422" s="43" t="s">
        <v>329</v>
      </c>
      <c r="V422" s="43" t="s">
        <v>317</v>
      </c>
      <c r="X422" s="43" t="s">
        <v>318</v>
      </c>
      <c r="Y422" s="43" t="s">
        <v>379</v>
      </c>
      <c r="Z422" s="43" t="s">
        <v>320</v>
      </c>
      <c r="AA422" s="43" t="s">
        <v>340</v>
      </c>
      <c r="AB422" s="144">
        <v>4.0000001899898104E-3</v>
      </c>
      <c r="AC422" s="125">
        <v>43906</v>
      </c>
      <c r="AD422" s="43" t="s">
        <v>329</v>
      </c>
      <c r="AF422" s="43" t="s">
        <v>75</v>
      </c>
      <c r="AG422" s="43" t="s">
        <v>322</v>
      </c>
      <c r="AJ422" s="140">
        <v>0</v>
      </c>
      <c r="AK422" s="140">
        <v>0</v>
      </c>
      <c r="AL422" s="140">
        <v>0</v>
      </c>
      <c r="AM422" s="140">
        <v>0</v>
      </c>
      <c r="AN422" s="140">
        <v>0</v>
      </c>
      <c r="AO422" s="140">
        <v>0</v>
      </c>
      <c r="AP422" s="140">
        <v>2</v>
      </c>
      <c r="AQ422" s="140">
        <v>0</v>
      </c>
      <c r="AR422" s="140">
        <v>0</v>
      </c>
      <c r="AS422" s="140">
        <v>0</v>
      </c>
      <c r="AT422" s="140">
        <v>0</v>
      </c>
      <c r="AU422" s="140">
        <v>0</v>
      </c>
      <c r="AV422" s="140">
        <v>0</v>
      </c>
      <c r="AW422" s="140">
        <v>2</v>
      </c>
      <c r="AX422" s="140">
        <v>0</v>
      </c>
      <c r="AY422" s="140">
        <v>0</v>
      </c>
      <c r="AZ422" s="140">
        <v>0</v>
      </c>
      <c r="BA422" s="140">
        <v>0</v>
      </c>
      <c r="BB422" s="140">
        <v>0</v>
      </c>
      <c r="BC422" s="140">
        <v>0</v>
      </c>
      <c r="BD422" s="140">
        <v>0</v>
      </c>
      <c r="BE422" s="140">
        <v>0</v>
      </c>
      <c r="BF422" s="140">
        <v>0</v>
      </c>
      <c r="BG422" s="140">
        <v>0</v>
      </c>
      <c r="BH422" s="140">
        <v>0</v>
      </c>
      <c r="BI422" s="140">
        <v>0</v>
      </c>
      <c r="BJ422" s="140">
        <v>0</v>
      </c>
      <c r="BK422" s="140">
        <v>0</v>
      </c>
      <c r="BL422" s="140">
        <v>0</v>
      </c>
      <c r="BM422" s="140">
        <v>0</v>
      </c>
      <c r="BN422" s="140">
        <v>0</v>
      </c>
      <c r="BO422" s="140">
        <v>0</v>
      </c>
      <c r="BU422" s="89"/>
      <c r="BX422" s="43">
        <v>14</v>
      </c>
      <c r="BZ422" s="90">
        <f t="shared" si="34"/>
        <v>1</v>
      </c>
      <c r="CA422" s="90">
        <f t="shared" si="34"/>
        <v>1</v>
      </c>
      <c r="CT422" s="90">
        <f t="shared" si="31"/>
        <v>2</v>
      </c>
      <c r="CU422" s="90">
        <f t="shared" si="32"/>
        <v>2</v>
      </c>
    </row>
    <row r="423" spans="1:99" ht="12" customHeight="1">
      <c r="A423" s="43">
        <v>6922</v>
      </c>
      <c r="B423" s="89" t="s">
        <v>813</v>
      </c>
      <c r="C423" s="89" t="s">
        <v>1377</v>
      </c>
      <c r="D423" s="89" t="s">
        <v>1378</v>
      </c>
      <c r="F423" s="43">
        <v>529004</v>
      </c>
      <c r="G423" s="43">
        <v>171330</v>
      </c>
      <c r="H423" s="89" t="s">
        <v>171</v>
      </c>
      <c r="I423" s="125">
        <v>43411</v>
      </c>
      <c r="K423" s="140">
        <v>0</v>
      </c>
      <c r="L423" s="140">
        <v>1</v>
      </c>
      <c r="M423" s="140">
        <v>1</v>
      </c>
      <c r="N423" s="140">
        <v>1</v>
      </c>
      <c r="O423" s="140">
        <v>1</v>
      </c>
      <c r="Q423" s="89" t="s">
        <v>1379</v>
      </c>
      <c r="R423" s="43" t="s">
        <v>316</v>
      </c>
      <c r="S423" s="125">
        <v>42615</v>
      </c>
      <c r="T423" s="117">
        <v>42656</v>
      </c>
      <c r="V423" s="43" t="s">
        <v>317</v>
      </c>
      <c r="X423" s="43" t="s">
        <v>318</v>
      </c>
      <c r="Y423" s="43" t="s">
        <v>361</v>
      </c>
      <c r="Z423" s="43" t="s">
        <v>320</v>
      </c>
      <c r="AA423" s="43" t="s">
        <v>353</v>
      </c>
      <c r="AB423" s="144">
        <v>8.0000003799796104E-3</v>
      </c>
      <c r="AC423" s="125">
        <v>43411</v>
      </c>
      <c r="AF423" s="43" t="s">
        <v>75</v>
      </c>
      <c r="AG423" s="43" t="s">
        <v>322</v>
      </c>
      <c r="AJ423" s="140">
        <v>0</v>
      </c>
      <c r="AK423" s="140">
        <v>0</v>
      </c>
      <c r="AL423" s="140">
        <v>0</v>
      </c>
      <c r="AM423" s="140">
        <v>0</v>
      </c>
      <c r="AN423" s="140">
        <v>0</v>
      </c>
      <c r="AO423" s="140">
        <v>1</v>
      </c>
      <c r="AP423" s="140">
        <v>0</v>
      </c>
      <c r="AQ423" s="140">
        <v>0</v>
      </c>
      <c r="AR423" s="140">
        <v>0</v>
      </c>
      <c r="AS423" s="140">
        <v>0</v>
      </c>
      <c r="AT423" s="140">
        <v>0</v>
      </c>
      <c r="AU423" s="140">
        <v>0</v>
      </c>
      <c r="AV423" s="140">
        <v>1</v>
      </c>
      <c r="AW423" s="140">
        <v>0</v>
      </c>
      <c r="AX423" s="140">
        <v>0</v>
      </c>
      <c r="AY423" s="140">
        <v>0</v>
      </c>
      <c r="AZ423" s="140">
        <v>0</v>
      </c>
      <c r="BA423" s="140">
        <v>0</v>
      </c>
      <c r="BB423" s="140">
        <v>0</v>
      </c>
      <c r="BC423" s="140">
        <v>0</v>
      </c>
      <c r="BD423" s="140">
        <v>0</v>
      </c>
      <c r="BE423" s="140">
        <v>0</v>
      </c>
      <c r="BF423" s="140">
        <v>0</v>
      </c>
      <c r="BG423" s="140">
        <v>0</v>
      </c>
      <c r="BH423" s="140">
        <v>0</v>
      </c>
      <c r="BI423" s="140">
        <v>0</v>
      </c>
      <c r="BJ423" s="140">
        <v>0</v>
      </c>
      <c r="BK423" s="140">
        <v>0</v>
      </c>
      <c r="BL423" s="140">
        <v>0</v>
      </c>
      <c r="BM423" s="140">
        <v>0</v>
      </c>
      <c r="BN423" s="140">
        <v>0</v>
      </c>
      <c r="BO423" s="140">
        <v>0</v>
      </c>
      <c r="BU423" s="89"/>
      <c r="BX423" s="43">
        <v>2</v>
      </c>
      <c r="BZ423" s="90">
        <f t="shared" ref="BZ423:BZ429" si="35">M423</f>
        <v>1</v>
      </c>
      <c r="CT423" s="90">
        <f t="shared" si="31"/>
        <v>1</v>
      </c>
      <c r="CU423" s="90">
        <f t="shared" si="32"/>
        <v>1</v>
      </c>
    </row>
    <row r="424" spans="1:99" ht="12" customHeight="1">
      <c r="A424" s="43">
        <v>6930</v>
      </c>
      <c r="B424" s="89" t="s">
        <v>813</v>
      </c>
      <c r="C424" s="89" t="s">
        <v>1380</v>
      </c>
      <c r="D424" s="89" t="s">
        <v>1381</v>
      </c>
      <c r="F424" s="43">
        <v>526666</v>
      </c>
      <c r="G424" s="43">
        <v>174232</v>
      </c>
      <c r="H424" s="89" t="s">
        <v>179</v>
      </c>
      <c r="I424" s="125">
        <v>43555</v>
      </c>
      <c r="K424" s="140">
        <v>1</v>
      </c>
      <c r="L424" s="140">
        <v>3</v>
      </c>
      <c r="M424" s="140">
        <v>2</v>
      </c>
      <c r="N424" s="140">
        <v>3</v>
      </c>
      <c r="O424" s="140">
        <v>2</v>
      </c>
      <c r="Q424" s="89" t="s">
        <v>1382</v>
      </c>
      <c r="R424" s="43" t="s">
        <v>316</v>
      </c>
      <c r="S424" s="125">
        <v>43196</v>
      </c>
      <c r="T424" s="117">
        <v>43265</v>
      </c>
      <c r="V424" s="43" t="s">
        <v>317</v>
      </c>
      <c r="X424" s="43" t="s">
        <v>318</v>
      </c>
      <c r="Y424" s="43" t="s">
        <v>319</v>
      </c>
      <c r="Z424" s="43" t="s">
        <v>320</v>
      </c>
      <c r="AA424" s="43" t="s">
        <v>20</v>
      </c>
      <c r="AB424" s="144">
        <v>2.8999999165535001E-2</v>
      </c>
      <c r="AC424" s="125">
        <v>43555</v>
      </c>
      <c r="AF424" s="43" t="s">
        <v>75</v>
      </c>
      <c r="AG424" s="43" t="s">
        <v>322</v>
      </c>
      <c r="AJ424" s="140">
        <v>0</v>
      </c>
      <c r="AK424" s="140">
        <v>0</v>
      </c>
      <c r="AL424" s="140">
        <v>0</v>
      </c>
      <c r="AM424" s="140">
        <v>0</v>
      </c>
      <c r="AN424" s="140">
        <v>0</v>
      </c>
      <c r="AO424" s="140">
        <v>1</v>
      </c>
      <c r="AP424" s="140">
        <v>1</v>
      </c>
      <c r="AQ424" s="140">
        <v>1</v>
      </c>
      <c r="AR424" s="140">
        <v>-1</v>
      </c>
      <c r="AS424" s="140">
        <v>0</v>
      </c>
      <c r="AT424" s="140">
        <v>0</v>
      </c>
      <c r="AU424" s="140">
        <v>0</v>
      </c>
      <c r="AV424" s="140">
        <v>1</v>
      </c>
      <c r="AW424" s="140">
        <v>1</v>
      </c>
      <c r="AX424" s="140">
        <v>1</v>
      </c>
      <c r="AY424" s="140">
        <v>0</v>
      </c>
      <c r="AZ424" s="140">
        <v>0</v>
      </c>
      <c r="BA424" s="140">
        <v>0</v>
      </c>
      <c r="BB424" s="140">
        <v>0</v>
      </c>
      <c r="BC424" s="140">
        <v>0</v>
      </c>
      <c r="BD424" s="140">
        <v>0</v>
      </c>
      <c r="BE424" s="140">
        <v>0</v>
      </c>
      <c r="BF424" s="140">
        <v>-1</v>
      </c>
      <c r="BG424" s="140">
        <v>0</v>
      </c>
      <c r="BH424" s="140">
        <v>0</v>
      </c>
      <c r="BI424" s="140">
        <v>0</v>
      </c>
      <c r="BJ424" s="140">
        <v>0</v>
      </c>
      <c r="BK424" s="140">
        <v>0</v>
      </c>
      <c r="BL424" s="140">
        <v>0</v>
      </c>
      <c r="BM424" s="140">
        <v>0</v>
      </c>
      <c r="BN424" s="140">
        <v>0</v>
      </c>
      <c r="BO424" s="140">
        <v>0</v>
      </c>
      <c r="BU424" s="89"/>
      <c r="BX424" s="43">
        <v>13</v>
      </c>
      <c r="BZ424" s="90">
        <f t="shared" si="35"/>
        <v>2</v>
      </c>
      <c r="CT424" s="90">
        <f t="shared" si="31"/>
        <v>2</v>
      </c>
      <c r="CU424" s="90">
        <f t="shared" si="32"/>
        <v>2</v>
      </c>
    </row>
    <row r="425" spans="1:99" ht="12" customHeight="1">
      <c r="A425" s="43">
        <v>6931</v>
      </c>
      <c r="B425" s="89" t="s">
        <v>813</v>
      </c>
      <c r="C425" s="89" t="s">
        <v>1383</v>
      </c>
      <c r="D425" s="89" t="s">
        <v>1384</v>
      </c>
      <c r="E425" s="89" t="s">
        <v>1385</v>
      </c>
      <c r="F425" s="43">
        <v>527321</v>
      </c>
      <c r="G425" s="43">
        <v>171487</v>
      </c>
      <c r="H425" s="89" t="s">
        <v>141</v>
      </c>
      <c r="I425" s="125">
        <v>43318</v>
      </c>
      <c r="K425" s="140">
        <v>0</v>
      </c>
      <c r="L425" s="140">
        <v>2</v>
      </c>
      <c r="M425" s="140">
        <v>2</v>
      </c>
      <c r="N425" s="140">
        <v>3</v>
      </c>
      <c r="O425" s="140">
        <v>2</v>
      </c>
      <c r="Q425" s="89" t="s">
        <v>1386</v>
      </c>
      <c r="R425" s="43" t="s">
        <v>316</v>
      </c>
      <c r="S425" s="125">
        <v>43235</v>
      </c>
      <c r="T425" s="117">
        <v>43278</v>
      </c>
      <c r="V425" s="43" t="s">
        <v>317</v>
      </c>
      <c r="X425" s="43" t="s">
        <v>318</v>
      </c>
      <c r="Y425" s="43" t="s">
        <v>319</v>
      </c>
      <c r="Z425" s="43" t="s">
        <v>320</v>
      </c>
      <c r="AA425" s="43" t="s">
        <v>20</v>
      </c>
      <c r="AB425" s="144">
        <v>7.0000002160668399E-3</v>
      </c>
      <c r="AC425" s="125">
        <v>43318</v>
      </c>
      <c r="AF425" s="43" t="s">
        <v>75</v>
      </c>
      <c r="AG425" s="43" t="s">
        <v>322</v>
      </c>
      <c r="AJ425" s="140">
        <v>0</v>
      </c>
      <c r="AK425" s="140">
        <v>0</v>
      </c>
      <c r="AL425" s="140">
        <v>0</v>
      </c>
      <c r="AM425" s="140">
        <v>0</v>
      </c>
      <c r="AN425" s="140">
        <v>0</v>
      </c>
      <c r="AO425" s="140">
        <v>1</v>
      </c>
      <c r="AP425" s="140">
        <v>1</v>
      </c>
      <c r="AQ425" s="140">
        <v>0</v>
      </c>
      <c r="AR425" s="140">
        <v>0</v>
      </c>
      <c r="AS425" s="140">
        <v>0</v>
      </c>
      <c r="AT425" s="140">
        <v>0</v>
      </c>
      <c r="AU425" s="140">
        <v>0</v>
      </c>
      <c r="AV425" s="140">
        <v>1</v>
      </c>
      <c r="AW425" s="140">
        <v>1</v>
      </c>
      <c r="AX425" s="140">
        <v>0</v>
      </c>
      <c r="AY425" s="140">
        <v>0</v>
      </c>
      <c r="AZ425" s="140">
        <v>0</v>
      </c>
      <c r="BA425" s="140">
        <v>0</v>
      </c>
      <c r="BB425" s="140">
        <v>0</v>
      </c>
      <c r="BC425" s="140">
        <v>0</v>
      </c>
      <c r="BD425" s="140">
        <v>0</v>
      </c>
      <c r="BE425" s="140">
        <v>0</v>
      </c>
      <c r="BF425" s="140">
        <v>0</v>
      </c>
      <c r="BG425" s="140">
        <v>0</v>
      </c>
      <c r="BH425" s="140">
        <v>0</v>
      </c>
      <c r="BI425" s="140">
        <v>0</v>
      </c>
      <c r="BJ425" s="140">
        <v>0</v>
      </c>
      <c r="BK425" s="140">
        <v>0</v>
      </c>
      <c r="BL425" s="140">
        <v>0</v>
      </c>
      <c r="BM425" s="140">
        <v>0</v>
      </c>
      <c r="BN425" s="140">
        <v>0</v>
      </c>
      <c r="BO425" s="140">
        <v>0</v>
      </c>
      <c r="BU425" s="89"/>
      <c r="BX425" s="43">
        <v>13</v>
      </c>
      <c r="BZ425" s="90">
        <f t="shared" si="35"/>
        <v>2</v>
      </c>
      <c r="CT425" s="90">
        <f t="shared" si="31"/>
        <v>2</v>
      </c>
      <c r="CU425" s="90">
        <f t="shared" si="32"/>
        <v>2</v>
      </c>
    </row>
    <row r="426" spans="1:99" ht="12" customHeight="1">
      <c r="A426" s="43">
        <v>6931</v>
      </c>
      <c r="B426" s="89" t="s">
        <v>813</v>
      </c>
      <c r="C426" s="89" t="s">
        <v>1383</v>
      </c>
      <c r="D426" s="89" t="s">
        <v>1384</v>
      </c>
      <c r="E426" s="89" t="s">
        <v>1387</v>
      </c>
      <c r="F426" s="43">
        <v>527321</v>
      </c>
      <c r="G426" s="43">
        <v>171487</v>
      </c>
      <c r="H426" s="89" t="s">
        <v>141</v>
      </c>
      <c r="I426" s="125">
        <v>43318</v>
      </c>
      <c r="K426" s="140">
        <v>1</v>
      </c>
      <c r="L426" s="140">
        <v>1</v>
      </c>
      <c r="M426" s="140">
        <v>0</v>
      </c>
      <c r="N426" s="140">
        <v>3</v>
      </c>
      <c r="O426" s="140">
        <v>2</v>
      </c>
      <c r="Q426" s="89" t="s">
        <v>1386</v>
      </c>
      <c r="R426" s="43" t="s">
        <v>316</v>
      </c>
      <c r="S426" s="125">
        <v>43235</v>
      </c>
      <c r="T426" s="117">
        <v>43278</v>
      </c>
      <c r="V426" s="43" t="s">
        <v>317</v>
      </c>
      <c r="X426" s="43" t="s">
        <v>318</v>
      </c>
      <c r="Y426" s="43" t="s">
        <v>319</v>
      </c>
      <c r="Z426" s="43" t="s">
        <v>320</v>
      </c>
      <c r="AA426" s="43" t="s">
        <v>353</v>
      </c>
      <c r="AB426" s="144">
        <v>4.9999998882412902E-3</v>
      </c>
      <c r="AC426" s="125">
        <v>43318</v>
      </c>
      <c r="AF426" s="43" t="s">
        <v>75</v>
      </c>
      <c r="AG426" s="43" t="s">
        <v>322</v>
      </c>
      <c r="AJ426" s="140">
        <v>0</v>
      </c>
      <c r="AK426" s="140">
        <v>0</v>
      </c>
      <c r="AL426" s="140">
        <v>0</v>
      </c>
      <c r="AM426" s="140">
        <v>0</v>
      </c>
      <c r="AN426" s="140">
        <v>0</v>
      </c>
      <c r="AO426" s="140">
        <v>0</v>
      </c>
      <c r="AP426" s="140">
        <v>0</v>
      </c>
      <c r="AQ426" s="140">
        <v>1</v>
      </c>
      <c r="AR426" s="140">
        <v>0</v>
      </c>
      <c r="AS426" s="140">
        <v>-1</v>
      </c>
      <c r="AT426" s="140">
        <v>0</v>
      </c>
      <c r="AU426" s="140">
        <v>0</v>
      </c>
      <c r="AV426" s="140">
        <v>0</v>
      </c>
      <c r="AW426" s="140">
        <v>0</v>
      </c>
      <c r="AX426" s="140">
        <v>1</v>
      </c>
      <c r="AY426" s="140">
        <v>0</v>
      </c>
      <c r="AZ426" s="140">
        <v>0</v>
      </c>
      <c r="BA426" s="140">
        <v>0</v>
      </c>
      <c r="BB426" s="140">
        <v>0</v>
      </c>
      <c r="BC426" s="140">
        <v>0</v>
      </c>
      <c r="BD426" s="140">
        <v>0</v>
      </c>
      <c r="BE426" s="140">
        <v>0</v>
      </c>
      <c r="BF426" s="140">
        <v>0</v>
      </c>
      <c r="BG426" s="140">
        <v>-1</v>
      </c>
      <c r="BH426" s="140">
        <v>0</v>
      </c>
      <c r="BI426" s="140">
        <v>0</v>
      </c>
      <c r="BJ426" s="140">
        <v>0</v>
      </c>
      <c r="BK426" s="140">
        <v>0</v>
      </c>
      <c r="BL426" s="140">
        <v>0</v>
      </c>
      <c r="BM426" s="140">
        <v>0</v>
      </c>
      <c r="BN426" s="140">
        <v>0</v>
      </c>
      <c r="BO426" s="140">
        <v>0</v>
      </c>
      <c r="BU426" s="89"/>
      <c r="BX426" s="43">
        <v>13</v>
      </c>
      <c r="BZ426" s="90">
        <f t="shared" si="35"/>
        <v>0</v>
      </c>
      <c r="CT426" s="90">
        <f t="shared" si="31"/>
        <v>0</v>
      </c>
      <c r="CU426" s="90">
        <f t="shared" si="32"/>
        <v>0</v>
      </c>
    </row>
    <row r="427" spans="1:99" ht="12" customHeight="1">
      <c r="A427" s="43">
        <v>6934</v>
      </c>
      <c r="B427" s="89" t="s">
        <v>813</v>
      </c>
      <c r="C427" s="89" t="s">
        <v>1388</v>
      </c>
      <c r="D427" s="89" t="s">
        <v>1389</v>
      </c>
      <c r="F427" s="43">
        <v>527712</v>
      </c>
      <c r="G427" s="43">
        <v>171956</v>
      </c>
      <c r="H427" s="89" t="s">
        <v>141</v>
      </c>
      <c r="I427" s="125">
        <v>43555</v>
      </c>
      <c r="K427" s="140">
        <v>0</v>
      </c>
      <c r="L427" s="140">
        <v>2</v>
      </c>
      <c r="M427" s="140">
        <v>2</v>
      </c>
      <c r="N427" s="140">
        <v>2</v>
      </c>
      <c r="O427" s="140">
        <v>2</v>
      </c>
      <c r="Q427" s="89" t="s">
        <v>1390</v>
      </c>
      <c r="R427" s="43" t="s">
        <v>316</v>
      </c>
      <c r="S427" s="125">
        <v>43280</v>
      </c>
      <c r="T427" s="117">
        <v>43284</v>
      </c>
      <c r="V427" s="43" t="s">
        <v>317</v>
      </c>
      <c r="X427" s="43" t="s">
        <v>318</v>
      </c>
      <c r="Y427" s="43" t="s">
        <v>379</v>
      </c>
      <c r="Z427" s="43" t="s">
        <v>320</v>
      </c>
      <c r="AA427" s="43" t="s">
        <v>340</v>
      </c>
      <c r="AB427" s="144">
        <v>7.0000002160668399E-3</v>
      </c>
      <c r="AC427" s="125">
        <v>43555</v>
      </c>
      <c r="AF427" s="43" t="s">
        <v>75</v>
      </c>
      <c r="AG427" s="43" t="s">
        <v>322</v>
      </c>
      <c r="AJ427" s="140">
        <v>0</v>
      </c>
      <c r="AK427" s="140">
        <v>0</v>
      </c>
      <c r="AL427" s="140">
        <v>0</v>
      </c>
      <c r="AM427" s="140">
        <v>0</v>
      </c>
      <c r="AN427" s="140">
        <v>0</v>
      </c>
      <c r="AO427" s="140">
        <v>0</v>
      </c>
      <c r="AP427" s="140">
        <v>2</v>
      </c>
      <c r="AQ427" s="140">
        <v>0</v>
      </c>
      <c r="AR427" s="140">
        <v>0</v>
      </c>
      <c r="AS427" s="140">
        <v>0</v>
      </c>
      <c r="AT427" s="140">
        <v>0</v>
      </c>
      <c r="AU427" s="140">
        <v>0</v>
      </c>
      <c r="AV427" s="140">
        <v>0</v>
      </c>
      <c r="AW427" s="140">
        <v>2</v>
      </c>
      <c r="AX427" s="140">
        <v>0</v>
      </c>
      <c r="AY427" s="140">
        <v>0</v>
      </c>
      <c r="AZ427" s="140">
        <v>0</v>
      </c>
      <c r="BA427" s="140">
        <v>0</v>
      </c>
      <c r="BB427" s="140">
        <v>0</v>
      </c>
      <c r="BC427" s="140">
        <v>0</v>
      </c>
      <c r="BD427" s="140">
        <v>0</v>
      </c>
      <c r="BE427" s="140">
        <v>0</v>
      </c>
      <c r="BF427" s="140">
        <v>0</v>
      </c>
      <c r="BG427" s="140">
        <v>0</v>
      </c>
      <c r="BH427" s="140">
        <v>0</v>
      </c>
      <c r="BI427" s="140">
        <v>0</v>
      </c>
      <c r="BJ427" s="140">
        <v>0</v>
      </c>
      <c r="BK427" s="140">
        <v>0</v>
      </c>
      <c r="BL427" s="140">
        <v>0</v>
      </c>
      <c r="BM427" s="140">
        <v>0</v>
      </c>
      <c r="BN427" s="140">
        <v>0</v>
      </c>
      <c r="BO427" s="140">
        <v>0</v>
      </c>
      <c r="BP427" s="43" t="s">
        <v>141</v>
      </c>
      <c r="BQ427" s="89"/>
      <c r="BU427" s="89"/>
      <c r="BX427" s="43">
        <v>13</v>
      </c>
      <c r="BZ427" s="90">
        <f t="shared" si="35"/>
        <v>2</v>
      </c>
      <c r="CT427" s="90">
        <f t="shared" si="31"/>
        <v>2</v>
      </c>
      <c r="CU427" s="90">
        <f t="shared" si="32"/>
        <v>2</v>
      </c>
    </row>
    <row r="428" spans="1:99" ht="12" customHeight="1">
      <c r="A428" s="43">
        <v>6953</v>
      </c>
      <c r="B428" s="89" t="s">
        <v>813</v>
      </c>
      <c r="C428" s="89" t="s">
        <v>1391</v>
      </c>
      <c r="D428" s="89" t="s">
        <v>1392</v>
      </c>
      <c r="E428" s="89" t="s">
        <v>758</v>
      </c>
      <c r="F428" s="43">
        <v>527131</v>
      </c>
      <c r="G428" s="43">
        <v>171625</v>
      </c>
      <c r="H428" s="89" t="s">
        <v>141</v>
      </c>
      <c r="I428" s="125">
        <v>43555</v>
      </c>
      <c r="K428" s="140">
        <v>1</v>
      </c>
      <c r="L428" s="140">
        <v>2</v>
      </c>
      <c r="M428" s="140">
        <v>1</v>
      </c>
      <c r="N428" s="140">
        <v>3</v>
      </c>
      <c r="O428" s="140">
        <v>2</v>
      </c>
      <c r="Q428" s="89" t="s">
        <v>1393</v>
      </c>
      <c r="R428" s="43" t="s">
        <v>316</v>
      </c>
      <c r="S428" s="125">
        <v>43803</v>
      </c>
      <c r="T428" s="117">
        <v>43905</v>
      </c>
      <c r="U428" s="43" t="s">
        <v>329</v>
      </c>
      <c r="V428" s="43" t="s">
        <v>317</v>
      </c>
      <c r="X428" s="43" t="s">
        <v>318</v>
      </c>
      <c r="Y428" s="43" t="s">
        <v>319</v>
      </c>
      <c r="Z428" s="43" t="s">
        <v>320</v>
      </c>
      <c r="AA428" s="43" t="s">
        <v>321</v>
      </c>
      <c r="AB428" s="144">
        <v>8.9999996125698107E-3</v>
      </c>
      <c r="AC428" s="125">
        <v>43555</v>
      </c>
      <c r="AF428" s="43" t="s">
        <v>75</v>
      </c>
      <c r="AG428" s="43" t="s">
        <v>322</v>
      </c>
      <c r="AJ428" s="140">
        <v>0</v>
      </c>
      <c r="AK428" s="140">
        <v>0</v>
      </c>
      <c r="AL428" s="140">
        <v>0</v>
      </c>
      <c r="AM428" s="140">
        <v>0</v>
      </c>
      <c r="AN428" s="140">
        <v>1</v>
      </c>
      <c r="AO428" s="140">
        <v>1</v>
      </c>
      <c r="AP428" s="140">
        <v>0</v>
      </c>
      <c r="AQ428" s="140">
        <v>-1</v>
      </c>
      <c r="AR428" s="140">
        <v>0</v>
      </c>
      <c r="AS428" s="140">
        <v>0</v>
      </c>
      <c r="AT428" s="140">
        <v>0</v>
      </c>
      <c r="AU428" s="140">
        <v>1</v>
      </c>
      <c r="AV428" s="140">
        <v>1</v>
      </c>
      <c r="AW428" s="140">
        <v>0</v>
      </c>
      <c r="AX428" s="140">
        <v>-1</v>
      </c>
      <c r="AY428" s="140">
        <v>0</v>
      </c>
      <c r="AZ428" s="140">
        <v>0</v>
      </c>
      <c r="BA428" s="140">
        <v>0</v>
      </c>
      <c r="BB428" s="140">
        <v>0</v>
      </c>
      <c r="BC428" s="140">
        <v>0</v>
      </c>
      <c r="BD428" s="140">
        <v>0</v>
      </c>
      <c r="BE428" s="140">
        <v>0</v>
      </c>
      <c r="BF428" s="140">
        <v>0</v>
      </c>
      <c r="BG428" s="140">
        <v>0</v>
      </c>
      <c r="BH428" s="140">
        <v>0</v>
      </c>
      <c r="BI428" s="140">
        <v>0</v>
      </c>
      <c r="BJ428" s="140">
        <v>0</v>
      </c>
      <c r="BK428" s="140">
        <v>0</v>
      </c>
      <c r="BL428" s="140">
        <v>0</v>
      </c>
      <c r="BM428" s="140">
        <v>0</v>
      </c>
      <c r="BN428" s="140">
        <v>0</v>
      </c>
      <c r="BO428" s="140">
        <v>0</v>
      </c>
      <c r="BQ428" s="89"/>
      <c r="BU428" s="89"/>
      <c r="BX428" s="43">
        <v>13</v>
      </c>
      <c r="BZ428" s="90">
        <f t="shared" si="35"/>
        <v>1</v>
      </c>
      <c r="CT428" s="90">
        <f t="shared" si="31"/>
        <v>1</v>
      </c>
      <c r="CU428" s="90">
        <f t="shared" si="32"/>
        <v>1</v>
      </c>
    </row>
    <row r="429" spans="1:99" ht="12" customHeight="1">
      <c r="A429" s="43">
        <v>6953</v>
      </c>
      <c r="B429" s="89" t="s">
        <v>813</v>
      </c>
      <c r="C429" s="89" t="s">
        <v>1391</v>
      </c>
      <c r="D429" s="89" t="s">
        <v>1392</v>
      </c>
      <c r="E429" s="89" t="s">
        <v>728</v>
      </c>
      <c r="F429" s="43">
        <v>527131</v>
      </c>
      <c r="G429" s="43">
        <v>171625</v>
      </c>
      <c r="H429" s="89" t="s">
        <v>141</v>
      </c>
      <c r="I429" s="125">
        <v>43555</v>
      </c>
      <c r="K429" s="140">
        <v>0</v>
      </c>
      <c r="L429" s="140">
        <v>1</v>
      </c>
      <c r="M429" s="140">
        <v>1</v>
      </c>
      <c r="N429" s="140">
        <v>3</v>
      </c>
      <c r="O429" s="140">
        <v>2</v>
      </c>
      <c r="Q429" s="89" t="s">
        <v>1393</v>
      </c>
      <c r="R429" s="43" t="s">
        <v>316</v>
      </c>
      <c r="S429" s="125">
        <v>43803</v>
      </c>
      <c r="T429" s="117">
        <v>43905</v>
      </c>
      <c r="U429" s="43" t="s">
        <v>329</v>
      </c>
      <c r="V429" s="43" t="s">
        <v>317</v>
      </c>
      <c r="X429" s="43" t="s">
        <v>318</v>
      </c>
      <c r="Y429" s="43" t="s">
        <v>319</v>
      </c>
      <c r="Z429" s="43" t="s">
        <v>320</v>
      </c>
      <c r="AA429" s="43" t="s">
        <v>33</v>
      </c>
      <c r="AB429" s="144">
        <v>4.9999998882412902E-3</v>
      </c>
      <c r="AC429" s="125">
        <v>43555</v>
      </c>
      <c r="AF429" s="43" t="s">
        <v>75</v>
      </c>
      <c r="AG429" s="43" t="s">
        <v>322</v>
      </c>
      <c r="AJ429" s="140">
        <v>0</v>
      </c>
      <c r="AK429" s="140">
        <v>0</v>
      </c>
      <c r="AL429" s="140">
        <v>0</v>
      </c>
      <c r="AM429" s="140">
        <v>0</v>
      </c>
      <c r="AN429" s="140">
        <v>0</v>
      </c>
      <c r="AO429" s="140">
        <v>1</v>
      </c>
      <c r="AP429" s="140">
        <v>0</v>
      </c>
      <c r="AQ429" s="140">
        <v>0</v>
      </c>
      <c r="AR429" s="140">
        <v>0</v>
      </c>
      <c r="AS429" s="140">
        <v>0</v>
      </c>
      <c r="AT429" s="140">
        <v>0</v>
      </c>
      <c r="AU429" s="140">
        <v>0</v>
      </c>
      <c r="AV429" s="140">
        <v>1</v>
      </c>
      <c r="AW429" s="140">
        <v>0</v>
      </c>
      <c r="AX429" s="140">
        <v>0</v>
      </c>
      <c r="AY429" s="140">
        <v>0</v>
      </c>
      <c r="AZ429" s="140">
        <v>0</v>
      </c>
      <c r="BA429" s="140">
        <v>0</v>
      </c>
      <c r="BB429" s="140">
        <v>0</v>
      </c>
      <c r="BC429" s="140">
        <v>0</v>
      </c>
      <c r="BD429" s="140">
        <v>0</v>
      </c>
      <c r="BE429" s="140">
        <v>0</v>
      </c>
      <c r="BF429" s="140">
        <v>0</v>
      </c>
      <c r="BG429" s="140">
        <v>0</v>
      </c>
      <c r="BH429" s="140">
        <v>0</v>
      </c>
      <c r="BI429" s="140">
        <v>0</v>
      </c>
      <c r="BJ429" s="140">
        <v>0</v>
      </c>
      <c r="BK429" s="140">
        <v>0</v>
      </c>
      <c r="BL429" s="140">
        <v>0</v>
      </c>
      <c r="BM429" s="140">
        <v>0</v>
      </c>
      <c r="BN429" s="140">
        <v>0</v>
      </c>
      <c r="BO429" s="140">
        <v>0</v>
      </c>
      <c r="BQ429" s="89"/>
      <c r="BU429" s="89"/>
      <c r="BX429" s="43">
        <v>13</v>
      </c>
      <c r="BZ429" s="90">
        <f t="shared" si="35"/>
        <v>1</v>
      </c>
      <c r="CT429" s="90">
        <f t="shared" si="31"/>
        <v>1</v>
      </c>
      <c r="CU429" s="90">
        <f t="shared" si="32"/>
        <v>1</v>
      </c>
    </row>
    <row r="430" spans="1:99" ht="12" customHeight="1">
      <c r="A430" s="43">
        <v>6956</v>
      </c>
      <c r="B430" s="89" t="s">
        <v>813</v>
      </c>
      <c r="C430" s="89" t="s">
        <v>1394</v>
      </c>
      <c r="D430" s="89" t="s">
        <v>1395</v>
      </c>
      <c r="E430" s="89" t="s">
        <v>346</v>
      </c>
      <c r="F430" s="43">
        <v>529459</v>
      </c>
      <c r="G430" s="43">
        <v>171151</v>
      </c>
      <c r="H430" s="89" t="s">
        <v>171</v>
      </c>
      <c r="I430" s="125">
        <v>43748</v>
      </c>
      <c r="K430" s="140">
        <v>1</v>
      </c>
      <c r="L430" s="140">
        <v>2</v>
      </c>
      <c r="M430" s="140">
        <v>1</v>
      </c>
      <c r="N430" s="140">
        <v>3</v>
      </c>
      <c r="O430" s="140">
        <v>2</v>
      </c>
      <c r="Q430" s="89" t="s">
        <v>1396</v>
      </c>
      <c r="R430" s="43" t="s">
        <v>316</v>
      </c>
      <c r="S430" s="125">
        <v>43537</v>
      </c>
      <c r="T430" s="117">
        <v>43572</v>
      </c>
      <c r="U430" s="43" t="s">
        <v>329</v>
      </c>
      <c r="V430" s="43" t="s">
        <v>317</v>
      </c>
      <c r="X430" s="43" t="s">
        <v>318</v>
      </c>
      <c r="Y430" s="43" t="s">
        <v>319</v>
      </c>
      <c r="Z430" s="43" t="s">
        <v>320</v>
      </c>
      <c r="AA430" s="43" t="s">
        <v>20</v>
      </c>
      <c r="AB430" s="144">
        <v>2.60000005364418E-2</v>
      </c>
      <c r="AC430" s="125">
        <v>43748</v>
      </c>
      <c r="AD430" s="43" t="s">
        <v>329</v>
      </c>
      <c r="AF430" s="43" t="s">
        <v>75</v>
      </c>
      <c r="AG430" s="43" t="s">
        <v>322</v>
      </c>
      <c r="AJ430" s="140">
        <v>0</v>
      </c>
      <c r="AK430" s="140">
        <v>0</v>
      </c>
      <c r="AL430" s="140">
        <v>0</v>
      </c>
      <c r="AM430" s="140">
        <v>0</v>
      </c>
      <c r="AN430" s="140">
        <v>0</v>
      </c>
      <c r="AO430" s="140">
        <v>0</v>
      </c>
      <c r="AP430" s="140">
        <v>1</v>
      </c>
      <c r="AQ430" s="140">
        <v>1</v>
      </c>
      <c r="AR430" s="140">
        <v>0</v>
      </c>
      <c r="AS430" s="140">
        <v>-1</v>
      </c>
      <c r="AT430" s="140">
        <v>0</v>
      </c>
      <c r="AU430" s="140">
        <v>0</v>
      </c>
      <c r="AV430" s="140">
        <v>0</v>
      </c>
      <c r="AW430" s="140">
        <v>1</v>
      </c>
      <c r="AX430" s="140">
        <v>1</v>
      </c>
      <c r="AY430" s="140">
        <v>0</v>
      </c>
      <c r="AZ430" s="140">
        <v>0</v>
      </c>
      <c r="BA430" s="140">
        <v>0</v>
      </c>
      <c r="BB430" s="140">
        <v>0</v>
      </c>
      <c r="BC430" s="140">
        <v>0</v>
      </c>
      <c r="BD430" s="140">
        <v>0</v>
      </c>
      <c r="BE430" s="140">
        <v>0</v>
      </c>
      <c r="BF430" s="140">
        <v>0</v>
      </c>
      <c r="BG430" s="140">
        <v>-1</v>
      </c>
      <c r="BH430" s="140">
        <v>0</v>
      </c>
      <c r="BI430" s="140">
        <v>0</v>
      </c>
      <c r="BJ430" s="140">
        <v>0</v>
      </c>
      <c r="BK430" s="140">
        <v>0</v>
      </c>
      <c r="BL430" s="140">
        <v>0</v>
      </c>
      <c r="BM430" s="140">
        <v>0</v>
      </c>
      <c r="BN430" s="140">
        <v>0</v>
      </c>
      <c r="BO430" s="140">
        <v>0</v>
      </c>
      <c r="BQ430" s="89"/>
      <c r="BU430" s="89"/>
      <c r="BX430" s="43">
        <v>14</v>
      </c>
      <c r="BZ430" s="90">
        <f>$M430/2</f>
        <v>0.5</v>
      </c>
      <c r="CA430" s="90">
        <f>$M430/2</f>
        <v>0.5</v>
      </c>
      <c r="CT430" s="90">
        <f t="shared" si="31"/>
        <v>1</v>
      </c>
      <c r="CU430" s="90">
        <f t="shared" si="32"/>
        <v>1</v>
      </c>
    </row>
    <row r="431" spans="1:99" ht="12" customHeight="1">
      <c r="A431" s="43">
        <v>6956</v>
      </c>
      <c r="B431" s="89" t="s">
        <v>813</v>
      </c>
      <c r="C431" s="89" t="s">
        <v>1394</v>
      </c>
      <c r="D431" s="89" t="s">
        <v>1395</v>
      </c>
      <c r="E431" s="89" t="s">
        <v>944</v>
      </c>
      <c r="F431" s="43">
        <v>529459</v>
      </c>
      <c r="G431" s="43">
        <v>171151</v>
      </c>
      <c r="H431" s="89" t="s">
        <v>171</v>
      </c>
      <c r="I431" s="125">
        <v>43748</v>
      </c>
      <c r="K431" s="140">
        <v>0</v>
      </c>
      <c r="L431" s="140">
        <v>1</v>
      </c>
      <c r="M431" s="140">
        <v>1</v>
      </c>
      <c r="N431" s="140">
        <v>3</v>
      </c>
      <c r="O431" s="140">
        <v>2</v>
      </c>
      <c r="Q431" s="89" t="s">
        <v>1396</v>
      </c>
      <c r="R431" s="43" t="s">
        <v>316</v>
      </c>
      <c r="S431" s="125">
        <v>43537</v>
      </c>
      <c r="T431" s="117">
        <v>43572</v>
      </c>
      <c r="U431" s="43" t="s">
        <v>329</v>
      </c>
      <c r="V431" s="43" t="s">
        <v>317</v>
      </c>
      <c r="X431" s="43" t="s">
        <v>318</v>
      </c>
      <c r="Y431" s="43" t="s">
        <v>319</v>
      </c>
      <c r="Z431" s="43" t="s">
        <v>320</v>
      </c>
      <c r="AA431" s="43" t="s">
        <v>340</v>
      </c>
      <c r="AB431" s="144">
        <v>8.0000003799796104E-3</v>
      </c>
      <c r="AC431" s="125">
        <v>43748</v>
      </c>
      <c r="AD431" s="43" t="s">
        <v>329</v>
      </c>
      <c r="AF431" s="43" t="s">
        <v>75</v>
      </c>
      <c r="AG431" s="43" t="s">
        <v>322</v>
      </c>
      <c r="AJ431" s="140">
        <v>0</v>
      </c>
      <c r="AK431" s="140">
        <v>0</v>
      </c>
      <c r="AL431" s="140">
        <v>0</v>
      </c>
      <c r="AM431" s="140">
        <v>0</v>
      </c>
      <c r="AN431" s="140">
        <v>0</v>
      </c>
      <c r="AO431" s="140">
        <v>1</v>
      </c>
      <c r="AP431" s="140">
        <v>0</v>
      </c>
      <c r="AQ431" s="140">
        <v>0</v>
      </c>
      <c r="AR431" s="140">
        <v>0</v>
      </c>
      <c r="AS431" s="140">
        <v>0</v>
      </c>
      <c r="AT431" s="140">
        <v>0</v>
      </c>
      <c r="AU431" s="140">
        <v>0</v>
      </c>
      <c r="AV431" s="140">
        <v>1</v>
      </c>
      <c r="AW431" s="140">
        <v>0</v>
      </c>
      <c r="AX431" s="140">
        <v>0</v>
      </c>
      <c r="AY431" s="140">
        <v>0</v>
      </c>
      <c r="AZ431" s="140">
        <v>0</v>
      </c>
      <c r="BA431" s="140">
        <v>0</v>
      </c>
      <c r="BB431" s="140">
        <v>0</v>
      </c>
      <c r="BC431" s="140">
        <v>0</v>
      </c>
      <c r="BD431" s="140">
        <v>0</v>
      </c>
      <c r="BE431" s="140">
        <v>0</v>
      </c>
      <c r="BF431" s="140">
        <v>0</v>
      </c>
      <c r="BG431" s="140">
        <v>0</v>
      </c>
      <c r="BH431" s="140">
        <v>0</v>
      </c>
      <c r="BI431" s="140">
        <v>0</v>
      </c>
      <c r="BJ431" s="140">
        <v>0</v>
      </c>
      <c r="BK431" s="140">
        <v>0</v>
      </c>
      <c r="BL431" s="140">
        <v>0</v>
      </c>
      <c r="BM431" s="140">
        <v>0</v>
      </c>
      <c r="BN431" s="140">
        <v>0</v>
      </c>
      <c r="BO431" s="140">
        <v>0</v>
      </c>
      <c r="BQ431" s="89"/>
      <c r="BU431" s="89"/>
      <c r="BX431" s="43">
        <v>14</v>
      </c>
      <c r="BZ431" s="90">
        <f>$M431/2</f>
        <v>0.5</v>
      </c>
      <c r="CA431" s="90">
        <f>$M431/2</f>
        <v>0.5</v>
      </c>
      <c r="CT431" s="90">
        <f t="shared" si="31"/>
        <v>1</v>
      </c>
      <c r="CU431" s="90">
        <f t="shared" si="32"/>
        <v>1</v>
      </c>
    </row>
    <row r="432" spans="1:99" ht="12" customHeight="1">
      <c r="A432" s="43">
        <v>6966</v>
      </c>
      <c r="B432" s="89" t="s">
        <v>813</v>
      </c>
      <c r="C432" s="89" t="s">
        <v>1397</v>
      </c>
      <c r="D432" s="89" t="s">
        <v>1398</v>
      </c>
      <c r="E432" s="89" t="s">
        <v>346</v>
      </c>
      <c r="F432" s="43">
        <v>528226</v>
      </c>
      <c r="G432" s="43">
        <v>173539</v>
      </c>
      <c r="H432" s="89" t="s">
        <v>173</v>
      </c>
      <c r="I432" s="125">
        <v>43555</v>
      </c>
      <c r="K432" s="140">
        <v>1</v>
      </c>
      <c r="L432" s="140">
        <v>1</v>
      </c>
      <c r="M432" s="140">
        <v>0</v>
      </c>
      <c r="N432" s="140">
        <v>3</v>
      </c>
      <c r="O432" s="140">
        <v>2</v>
      </c>
      <c r="Q432" s="89" t="s">
        <v>1399</v>
      </c>
      <c r="R432" s="43" t="s">
        <v>316</v>
      </c>
      <c r="S432" s="125">
        <v>43245</v>
      </c>
      <c r="T432" s="117">
        <v>43364</v>
      </c>
      <c r="V432" s="43" t="s">
        <v>317</v>
      </c>
      <c r="X432" s="43" t="s">
        <v>318</v>
      </c>
      <c r="Y432" s="43" t="s">
        <v>319</v>
      </c>
      <c r="Z432" s="43" t="s">
        <v>320</v>
      </c>
      <c r="AA432" s="43" t="s">
        <v>20</v>
      </c>
      <c r="AB432" s="144">
        <v>3.0000000260770299E-3</v>
      </c>
      <c r="AC432" s="125">
        <v>43555</v>
      </c>
      <c r="AF432" s="43" t="s">
        <v>75</v>
      </c>
      <c r="AG432" s="43" t="s">
        <v>322</v>
      </c>
      <c r="AJ432" s="140">
        <v>0</v>
      </c>
      <c r="AK432" s="140">
        <v>0</v>
      </c>
      <c r="AL432" s="140">
        <v>0</v>
      </c>
      <c r="AM432" s="140">
        <v>0</v>
      </c>
      <c r="AN432" s="140">
        <v>0</v>
      </c>
      <c r="AO432" s="140">
        <v>0</v>
      </c>
      <c r="AP432" s="140">
        <v>1</v>
      </c>
      <c r="AQ432" s="140">
        <v>0</v>
      </c>
      <c r="AR432" s="140">
        <v>-1</v>
      </c>
      <c r="AS432" s="140">
        <v>0</v>
      </c>
      <c r="AT432" s="140">
        <v>0</v>
      </c>
      <c r="AU432" s="140">
        <v>0</v>
      </c>
      <c r="AV432" s="140">
        <v>0</v>
      </c>
      <c r="AW432" s="140">
        <v>1</v>
      </c>
      <c r="AX432" s="140">
        <v>0</v>
      </c>
      <c r="AY432" s="140">
        <v>0</v>
      </c>
      <c r="AZ432" s="140">
        <v>0</v>
      </c>
      <c r="BA432" s="140">
        <v>0</v>
      </c>
      <c r="BB432" s="140">
        <v>0</v>
      </c>
      <c r="BC432" s="140">
        <v>0</v>
      </c>
      <c r="BD432" s="140">
        <v>0</v>
      </c>
      <c r="BE432" s="140">
        <v>0</v>
      </c>
      <c r="BF432" s="140">
        <v>-1</v>
      </c>
      <c r="BG432" s="140">
        <v>0</v>
      </c>
      <c r="BH432" s="140">
        <v>0</v>
      </c>
      <c r="BI432" s="140">
        <v>0</v>
      </c>
      <c r="BJ432" s="140">
        <v>0</v>
      </c>
      <c r="BK432" s="140">
        <v>0</v>
      </c>
      <c r="BL432" s="140">
        <v>0</v>
      </c>
      <c r="BM432" s="140">
        <v>0</v>
      </c>
      <c r="BN432" s="140">
        <v>0</v>
      </c>
      <c r="BO432" s="140">
        <v>0</v>
      </c>
      <c r="BQ432" s="89"/>
      <c r="BU432" s="89"/>
      <c r="BX432" s="43">
        <v>13</v>
      </c>
      <c r="BZ432" s="90">
        <f t="shared" ref="BZ432:BZ437" si="36">M432</f>
        <v>0</v>
      </c>
      <c r="CT432" s="90">
        <f t="shared" si="31"/>
        <v>0</v>
      </c>
      <c r="CU432" s="90">
        <f t="shared" si="32"/>
        <v>0</v>
      </c>
    </row>
    <row r="433" spans="1:99" ht="12" customHeight="1">
      <c r="A433" s="43">
        <v>6966</v>
      </c>
      <c r="B433" s="89" t="s">
        <v>813</v>
      </c>
      <c r="C433" s="89" t="s">
        <v>1397</v>
      </c>
      <c r="D433" s="89" t="s">
        <v>1398</v>
      </c>
      <c r="E433" s="89" t="s">
        <v>928</v>
      </c>
      <c r="F433" s="43">
        <v>528226</v>
      </c>
      <c r="G433" s="43">
        <v>173539</v>
      </c>
      <c r="H433" s="89" t="s">
        <v>173</v>
      </c>
      <c r="I433" s="125">
        <v>43555</v>
      </c>
      <c r="K433" s="140">
        <v>0</v>
      </c>
      <c r="L433" s="140">
        <v>2</v>
      </c>
      <c r="M433" s="140">
        <v>2</v>
      </c>
      <c r="N433" s="140">
        <v>3</v>
      </c>
      <c r="O433" s="140">
        <v>2</v>
      </c>
      <c r="Q433" s="89" t="s">
        <v>1399</v>
      </c>
      <c r="R433" s="43" t="s">
        <v>316</v>
      </c>
      <c r="S433" s="125">
        <v>43245</v>
      </c>
      <c r="T433" s="117">
        <v>43364</v>
      </c>
      <c r="V433" s="43" t="s">
        <v>317</v>
      </c>
      <c r="X433" s="43" t="s">
        <v>318</v>
      </c>
      <c r="Y433" s="43" t="s">
        <v>319</v>
      </c>
      <c r="Z433" s="43" t="s">
        <v>320</v>
      </c>
      <c r="AA433" s="43" t="s">
        <v>20</v>
      </c>
      <c r="AB433" s="144">
        <v>9.9999997764825804E-3</v>
      </c>
      <c r="AC433" s="125">
        <v>43555</v>
      </c>
      <c r="AF433" s="43" t="s">
        <v>75</v>
      </c>
      <c r="AG433" s="43" t="s">
        <v>322</v>
      </c>
      <c r="AJ433" s="140">
        <v>0</v>
      </c>
      <c r="AK433" s="140">
        <v>0</v>
      </c>
      <c r="AL433" s="140">
        <v>0</v>
      </c>
      <c r="AM433" s="140">
        <v>0</v>
      </c>
      <c r="AN433" s="140">
        <v>0</v>
      </c>
      <c r="AO433" s="140">
        <v>0</v>
      </c>
      <c r="AP433" s="140">
        <v>1</v>
      </c>
      <c r="AQ433" s="140">
        <v>1</v>
      </c>
      <c r="AR433" s="140">
        <v>0</v>
      </c>
      <c r="AS433" s="140">
        <v>0</v>
      </c>
      <c r="AT433" s="140">
        <v>0</v>
      </c>
      <c r="AU433" s="140">
        <v>0</v>
      </c>
      <c r="AV433" s="140">
        <v>0</v>
      </c>
      <c r="AW433" s="140">
        <v>1</v>
      </c>
      <c r="AX433" s="140">
        <v>1</v>
      </c>
      <c r="AY433" s="140">
        <v>0</v>
      </c>
      <c r="AZ433" s="140">
        <v>0</v>
      </c>
      <c r="BA433" s="140">
        <v>0</v>
      </c>
      <c r="BB433" s="140">
        <v>0</v>
      </c>
      <c r="BC433" s="140">
        <v>0</v>
      </c>
      <c r="BD433" s="140">
        <v>0</v>
      </c>
      <c r="BE433" s="140">
        <v>0</v>
      </c>
      <c r="BF433" s="140">
        <v>0</v>
      </c>
      <c r="BG433" s="140">
        <v>0</v>
      </c>
      <c r="BH433" s="140">
        <v>0</v>
      </c>
      <c r="BI433" s="140">
        <v>0</v>
      </c>
      <c r="BJ433" s="140">
        <v>0</v>
      </c>
      <c r="BK433" s="140">
        <v>0</v>
      </c>
      <c r="BL433" s="140">
        <v>0</v>
      </c>
      <c r="BM433" s="140">
        <v>0</v>
      </c>
      <c r="BN433" s="140">
        <v>0</v>
      </c>
      <c r="BO433" s="140">
        <v>0</v>
      </c>
      <c r="BQ433" s="89"/>
      <c r="BU433" s="89"/>
      <c r="BX433" s="43">
        <v>13</v>
      </c>
      <c r="BZ433" s="90">
        <f t="shared" si="36"/>
        <v>2</v>
      </c>
      <c r="CT433" s="90">
        <f t="shared" si="31"/>
        <v>2</v>
      </c>
      <c r="CU433" s="90">
        <f t="shared" si="32"/>
        <v>2</v>
      </c>
    </row>
    <row r="434" spans="1:99" ht="12" customHeight="1">
      <c r="A434" s="43">
        <v>6974</v>
      </c>
      <c r="B434" s="89" t="s">
        <v>813</v>
      </c>
      <c r="C434" s="89" t="s">
        <v>1400</v>
      </c>
      <c r="D434" s="89" t="s">
        <v>1401</v>
      </c>
      <c r="F434" s="43">
        <v>521221</v>
      </c>
      <c r="G434" s="43">
        <v>174269</v>
      </c>
      <c r="H434" s="89" t="s">
        <v>149</v>
      </c>
      <c r="I434" s="125">
        <v>43430</v>
      </c>
      <c r="K434" s="140">
        <v>1</v>
      </c>
      <c r="L434" s="140">
        <v>1</v>
      </c>
      <c r="M434" s="140">
        <v>0</v>
      </c>
      <c r="N434" s="140">
        <v>1</v>
      </c>
      <c r="O434" s="140">
        <v>0</v>
      </c>
      <c r="Q434" s="89" t="s">
        <v>1402</v>
      </c>
      <c r="R434" s="43" t="s">
        <v>316</v>
      </c>
      <c r="S434" s="125">
        <v>43265</v>
      </c>
      <c r="T434" s="117">
        <v>43396</v>
      </c>
      <c r="V434" s="43" t="s">
        <v>317</v>
      </c>
      <c r="X434" s="43" t="s">
        <v>318</v>
      </c>
      <c r="Y434" s="43" t="s">
        <v>361</v>
      </c>
      <c r="Z434" s="43" t="s">
        <v>320</v>
      </c>
      <c r="AA434" s="43" t="s">
        <v>353</v>
      </c>
      <c r="AB434" s="144">
        <v>0.23899999260902399</v>
      </c>
      <c r="AC434" s="125">
        <v>43430</v>
      </c>
      <c r="AF434" s="43" t="s">
        <v>75</v>
      </c>
      <c r="AG434" s="43" t="s">
        <v>322</v>
      </c>
      <c r="AJ434" s="140">
        <v>0</v>
      </c>
      <c r="AK434" s="140">
        <v>0</v>
      </c>
      <c r="AL434" s="140">
        <v>0</v>
      </c>
      <c r="AM434" s="140">
        <v>0</v>
      </c>
      <c r="AN434" s="140">
        <v>0</v>
      </c>
      <c r="AO434" s="140">
        <v>0</v>
      </c>
      <c r="AP434" s="140">
        <v>0</v>
      </c>
      <c r="AQ434" s="140">
        <v>0</v>
      </c>
      <c r="AR434" s="140">
        <v>0</v>
      </c>
      <c r="AS434" s="140">
        <v>0</v>
      </c>
      <c r="AT434" s="140">
        <v>0</v>
      </c>
      <c r="AU434" s="140">
        <v>0</v>
      </c>
      <c r="AV434" s="140">
        <v>0</v>
      </c>
      <c r="AW434" s="140">
        <v>0</v>
      </c>
      <c r="AX434" s="140">
        <v>0</v>
      </c>
      <c r="AY434" s="140">
        <v>0</v>
      </c>
      <c r="AZ434" s="140">
        <v>0</v>
      </c>
      <c r="BA434" s="140">
        <v>0</v>
      </c>
      <c r="BB434" s="140">
        <v>0</v>
      </c>
      <c r="BC434" s="140">
        <v>0</v>
      </c>
      <c r="BD434" s="140">
        <v>0</v>
      </c>
      <c r="BE434" s="140">
        <v>0</v>
      </c>
      <c r="BF434" s="140">
        <v>0</v>
      </c>
      <c r="BG434" s="140">
        <v>0</v>
      </c>
      <c r="BH434" s="140">
        <v>0</v>
      </c>
      <c r="BI434" s="140">
        <v>0</v>
      </c>
      <c r="BJ434" s="140">
        <v>0</v>
      </c>
      <c r="BK434" s="140">
        <v>0</v>
      </c>
      <c r="BL434" s="140">
        <v>0</v>
      </c>
      <c r="BM434" s="140">
        <v>0</v>
      </c>
      <c r="BN434" s="140">
        <v>0</v>
      </c>
      <c r="BO434" s="140">
        <v>0</v>
      </c>
      <c r="BU434" s="89"/>
      <c r="BX434" s="43">
        <v>2</v>
      </c>
      <c r="BZ434" s="90">
        <f t="shared" si="36"/>
        <v>0</v>
      </c>
      <c r="CT434" s="90">
        <f t="shared" si="31"/>
        <v>0</v>
      </c>
      <c r="CU434" s="90">
        <f t="shared" si="32"/>
        <v>0</v>
      </c>
    </row>
    <row r="435" spans="1:99" ht="12" customHeight="1">
      <c r="A435" s="43">
        <v>7005</v>
      </c>
      <c r="B435" s="89" t="s">
        <v>813</v>
      </c>
      <c r="C435" s="89" t="s">
        <v>1403</v>
      </c>
      <c r="D435" s="89" t="s">
        <v>1404</v>
      </c>
      <c r="F435" s="43">
        <v>528240</v>
      </c>
      <c r="G435" s="43">
        <v>172415</v>
      </c>
      <c r="H435" s="89" t="s">
        <v>167</v>
      </c>
      <c r="I435" s="125">
        <v>43555</v>
      </c>
      <c r="K435" s="140">
        <v>3</v>
      </c>
      <c r="L435" s="140">
        <v>1</v>
      </c>
      <c r="M435" s="140">
        <v>-2</v>
      </c>
      <c r="N435" s="140">
        <v>1</v>
      </c>
      <c r="O435" s="140">
        <v>-2</v>
      </c>
      <c r="Q435" s="89" t="s">
        <v>1405</v>
      </c>
      <c r="R435" s="43" t="s">
        <v>316</v>
      </c>
      <c r="S435" s="125">
        <v>43325</v>
      </c>
      <c r="T435" s="117">
        <v>43378</v>
      </c>
      <c r="V435" s="43" t="s">
        <v>317</v>
      </c>
      <c r="X435" s="43" t="s">
        <v>318</v>
      </c>
      <c r="Y435" s="43" t="s">
        <v>319</v>
      </c>
      <c r="Z435" s="43" t="s">
        <v>320</v>
      </c>
      <c r="AA435" s="43" t="s">
        <v>22</v>
      </c>
      <c r="AB435" s="144">
        <v>2.3000000044703501E-2</v>
      </c>
      <c r="AC435" s="125">
        <v>43555</v>
      </c>
      <c r="AF435" s="43" t="s">
        <v>75</v>
      </c>
      <c r="AG435" s="43" t="s">
        <v>322</v>
      </c>
      <c r="AJ435" s="140">
        <v>0</v>
      </c>
      <c r="AK435" s="140">
        <v>0</v>
      </c>
      <c r="AL435" s="140">
        <v>0</v>
      </c>
      <c r="AM435" s="140">
        <v>0</v>
      </c>
      <c r="AN435" s="140">
        <v>0</v>
      </c>
      <c r="AO435" s="140">
        <v>-1</v>
      </c>
      <c r="AP435" s="140">
        <v>-2</v>
      </c>
      <c r="AQ435" s="140">
        <v>0</v>
      </c>
      <c r="AR435" s="140">
        <v>1</v>
      </c>
      <c r="AS435" s="140">
        <v>0</v>
      </c>
      <c r="AT435" s="140">
        <v>0</v>
      </c>
      <c r="AU435" s="140">
        <v>0</v>
      </c>
      <c r="AV435" s="140">
        <v>-1</v>
      </c>
      <c r="AW435" s="140">
        <v>-2</v>
      </c>
      <c r="AX435" s="140">
        <v>0</v>
      </c>
      <c r="AY435" s="140">
        <v>0</v>
      </c>
      <c r="AZ435" s="140">
        <v>0</v>
      </c>
      <c r="BA435" s="140">
        <v>0</v>
      </c>
      <c r="BB435" s="140">
        <v>0</v>
      </c>
      <c r="BC435" s="140">
        <v>0</v>
      </c>
      <c r="BD435" s="140">
        <v>0</v>
      </c>
      <c r="BE435" s="140">
        <v>0</v>
      </c>
      <c r="BF435" s="140">
        <v>1</v>
      </c>
      <c r="BG435" s="140">
        <v>0</v>
      </c>
      <c r="BH435" s="140">
        <v>0</v>
      </c>
      <c r="BI435" s="140">
        <v>0</v>
      </c>
      <c r="BJ435" s="140">
        <v>0</v>
      </c>
      <c r="BK435" s="140">
        <v>0</v>
      </c>
      <c r="BL435" s="140">
        <v>0</v>
      </c>
      <c r="BM435" s="140">
        <v>0</v>
      </c>
      <c r="BN435" s="140">
        <v>0</v>
      </c>
      <c r="BO435" s="140">
        <v>0</v>
      </c>
      <c r="BQ435" s="89"/>
      <c r="BU435" s="89"/>
      <c r="BX435" s="43">
        <v>13</v>
      </c>
      <c r="BZ435" s="90">
        <f t="shared" si="36"/>
        <v>-2</v>
      </c>
      <c r="CT435" s="90">
        <f t="shared" si="31"/>
        <v>-2</v>
      </c>
      <c r="CU435" s="90">
        <f t="shared" si="32"/>
        <v>-2</v>
      </c>
    </row>
    <row r="436" spans="1:99" ht="12" customHeight="1">
      <c r="A436" s="43">
        <v>7026</v>
      </c>
      <c r="B436" s="89" t="s">
        <v>813</v>
      </c>
      <c r="C436" s="89" t="s">
        <v>1406</v>
      </c>
      <c r="D436" s="89" t="s">
        <v>1407</v>
      </c>
      <c r="F436" s="43">
        <v>527441</v>
      </c>
      <c r="G436" s="43">
        <v>174367</v>
      </c>
      <c r="H436" s="89" t="s">
        <v>174</v>
      </c>
      <c r="I436" s="125">
        <v>43555</v>
      </c>
      <c r="K436" s="140">
        <v>2</v>
      </c>
      <c r="L436" s="140">
        <v>1</v>
      </c>
      <c r="M436" s="140">
        <v>-1</v>
      </c>
      <c r="N436" s="140">
        <v>1</v>
      </c>
      <c r="O436" s="140">
        <v>-1</v>
      </c>
      <c r="Q436" s="89" t="s">
        <v>1408</v>
      </c>
      <c r="R436" s="43" t="s">
        <v>316</v>
      </c>
      <c r="S436" s="125">
        <v>43374</v>
      </c>
      <c r="T436" s="117">
        <v>43430</v>
      </c>
      <c r="V436" s="43" t="s">
        <v>317</v>
      </c>
      <c r="X436" s="43" t="s">
        <v>318</v>
      </c>
      <c r="Y436" s="43" t="s">
        <v>348</v>
      </c>
      <c r="Z436" s="43" t="s">
        <v>320</v>
      </c>
      <c r="AA436" s="43" t="s">
        <v>22</v>
      </c>
      <c r="AB436" s="144">
        <v>1.30000002682209E-2</v>
      </c>
      <c r="AC436" s="125">
        <v>43555</v>
      </c>
      <c r="AF436" s="43" t="s">
        <v>75</v>
      </c>
      <c r="AG436" s="43" t="s">
        <v>322</v>
      </c>
      <c r="AJ436" s="140">
        <v>0</v>
      </c>
      <c r="AK436" s="140">
        <v>0</v>
      </c>
      <c r="AL436" s="140">
        <v>0</v>
      </c>
      <c r="AM436" s="140">
        <v>0</v>
      </c>
      <c r="AN436" s="140">
        <v>0</v>
      </c>
      <c r="AO436" s="140">
        <v>-1</v>
      </c>
      <c r="AP436" s="140">
        <v>0</v>
      </c>
      <c r="AQ436" s="140">
        <v>0</v>
      </c>
      <c r="AR436" s="140">
        <v>-1</v>
      </c>
      <c r="AS436" s="140">
        <v>1</v>
      </c>
      <c r="AT436" s="140">
        <v>0</v>
      </c>
      <c r="AU436" s="140">
        <v>0</v>
      </c>
      <c r="AV436" s="140">
        <v>-1</v>
      </c>
      <c r="AW436" s="140">
        <v>0</v>
      </c>
      <c r="AX436" s="140">
        <v>0</v>
      </c>
      <c r="AY436" s="140">
        <v>-1</v>
      </c>
      <c r="AZ436" s="140">
        <v>0</v>
      </c>
      <c r="BA436" s="140">
        <v>0</v>
      </c>
      <c r="BB436" s="140">
        <v>0</v>
      </c>
      <c r="BC436" s="140">
        <v>0</v>
      </c>
      <c r="BD436" s="140">
        <v>0</v>
      </c>
      <c r="BE436" s="140">
        <v>0</v>
      </c>
      <c r="BF436" s="140">
        <v>0</v>
      </c>
      <c r="BG436" s="140">
        <v>1</v>
      </c>
      <c r="BH436" s="140">
        <v>0</v>
      </c>
      <c r="BI436" s="140">
        <v>0</v>
      </c>
      <c r="BJ436" s="140">
        <v>0</v>
      </c>
      <c r="BK436" s="140">
        <v>0</v>
      </c>
      <c r="BL436" s="140">
        <v>0</v>
      </c>
      <c r="BM436" s="140">
        <v>0</v>
      </c>
      <c r="BN436" s="140">
        <v>0</v>
      </c>
      <c r="BO436" s="140">
        <v>0</v>
      </c>
      <c r="BQ436" s="89"/>
      <c r="BU436" s="89"/>
      <c r="BX436" s="43">
        <v>13</v>
      </c>
      <c r="BZ436" s="90">
        <f t="shared" si="36"/>
        <v>-1</v>
      </c>
      <c r="CT436" s="90">
        <f t="shared" si="31"/>
        <v>-1</v>
      </c>
      <c r="CU436" s="90">
        <f t="shared" si="32"/>
        <v>-1</v>
      </c>
    </row>
    <row r="437" spans="1:99" ht="12" customHeight="1">
      <c r="A437" s="43">
        <v>7029</v>
      </c>
      <c r="B437" s="89" t="s">
        <v>813</v>
      </c>
      <c r="C437" s="89" t="s">
        <v>1409</v>
      </c>
      <c r="D437" s="89" t="s">
        <v>1410</v>
      </c>
      <c r="F437" s="43">
        <v>528624</v>
      </c>
      <c r="G437" s="43">
        <v>173357</v>
      </c>
      <c r="H437" s="89" t="s">
        <v>138</v>
      </c>
      <c r="I437" s="125">
        <v>43691</v>
      </c>
      <c r="K437" s="140">
        <v>0</v>
      </c>
      <c r="L437" s="140">
        <v>1</v>
      </c>
      <c r="M437" s="140">
        <v>1</v>
      </c>
      <c r="N437" s="140">
        <v>1</v>
      </c>
      <c r="O437" s="140">
        <v>1</v>
      </c>
      <c r="Q437" s="89" t="s">
        <v>1411</v>
      </c>
      <c r="R437" s="43" t="s">
        <v>443</v>
      </c>
      <c r="S437" s="125">
        <v>43383</v>
      </c>
      <c r="T437" s="117">
        <v>43432</v>
      </c>
      <c r="V437" s="43" t="s">
        <v>317</v>
      </c>
      <c r="X437" s="43" t="s">
        <v>318</v>
      </c>
      <c r="Y437" s="43" t="s">
        <v>336</v>
      </c>
      <c r="Z437" s="43" t="s">
        <v>320</v>
      </c>
      <c r="AA437" s="43" t="s">
        <v>30</v>
      </c>
      <c r="AB437" s="144">
        <v>3.0000000260770299E-3</v>
      </c>
      <c r="AC437" s="125">
        <v>43691</v>
      </c>
      <c r="AD437" s="43" t="s">
        <v>329</v>
      </c>
      <c r="AF437" s="43" t="s">
        <v>75</v>
      </c>
      <c r="AG437" s="43" t="s">
        <v>322</v>
      </c>
      <c r="AJ437" s="140">
        <v>0</v>
      </c>
      <c r="AK437" s="140">
        <v>0</v>
      </c>
      <c r="AL437" s="140">
        <v>0</v>
      </c>
      <c r="AM437" s="140">
        <v>0</v>
      </c>
      <c r="AN437" s="140">
        <v>0</v>
      </c>
      <c r="AO437" s="140">
        <v>1</v>
      </c>
      <c r="AP437" s="140">
        <v>0</v>
      </c>
      <c r="AQ437" s="140">
        <v>0</v>
      </c>
      <c r="AR437" s="140">
        <v>0</v>
      </c>
      <c r="AS437" s="140">
        <v>0</v>
      </c>
      <c r="AT437" s="140">
        <v>0</v>
      </c>
      <c r="AU437" s="140">
        <v>0</v>
      </c>
      <c r="AV437" s="140">
        <v>1</v>
      </c>
      <c r="AW437" s="140">
        <v>0</v>
      </c>
      <c r="AX437" s="140">
        <v>0</v>
      </c>
      <c r="AY437" s="140">
        <v>0</v>
      </c>
      <c r="AZ437" s="140">
        <v>0</v>
      </c>
      <c r="BA437" s="140">
        <v>0</v>
      </c>
      <c r="BB437" s="140">
        <v>0</v>
      </c>
      <c r="BC437" s="140">
        <v>0</v>
      </c>
      <c r="BD437" s="140">
        <v>0</v>
      </c>
      <c r="BE437" s="140">
        <v>0</v>
      </c>
      <c r="BF437" s="140">
        <v>0</v>
      </c>
      <c r="BG437" s="140">
        <v>0</v>
      </c>
      <c r="BH437" s="140">
        <v>0</v>
      </c>
      <c r="BI437" s="140">
        <v>0</v>
      </c>
      <c r="BJ437" s="140">
        <v>0</v>
      </c>
      <c r="BK437" s="140">
        <v>0</v>
      </c>
      <c r="BL437" s="140">
        <v>0</v>
      </c>
      <c r="BM437" s="140">
        <v>0</v>
      </c>
      <c r="BN437" s="140">
        <v>0</v>
      </c>
      <c r="BO437" s="140">
        <v>0</v>
      </c>
      <c r="BP437" s="43" t="s">
        <v>138</v>
      </c>
      <c r="BQ437" s="89"/>
      <c r="BU437" s="89"/>
      <c r="BX437" s="43">
        <v>13</v>
      </c>
      <c r="BZ437" s="90">
        <f t="shared" si="36"/>
        <v>1</v>
      </c>
      <c r="CT437" s="90">
        <f t="shared" si="31"/>
        <v>1</v>
      </c>
      <c r="CU437" s="90">
        <f t="shared" si="32"/>
        <v>1</v>
      </c>
    </row>
    <row r="438" spans="1:99" ht="12" customHeight="1">
      <c r="A438" s="43">
        <v>7041</v>
      </c>
      <c r="B438" s="89" t="s">
        <v>813</v>
      </c>
      <c r="C438" s="89" t="s">
        <v>1412</v>
      </c>
      <c r="D438" s="89" t="s">
        <v>1413</v>
      </c>
      <c r="F438" s="43">
        <v>527503</v>
      </c>
      <c r="G438" s="43">
        <v>173064</v>
      </c>
      <c r="H438" s="89" t="s">
        <v>179</v>
      </c>
      <c r="I438" s="125">
        <v>43780</v>
      </c>
      <c r="K438" s="140">
        <v>1</v>
      </c>
      <c r="L438" s="140">
        <v>3</v>
      </c>
      <c r="M438" s="140">
        <v>2</v>
      </c>
      <c r="N438" s="140">
        <v>3</v>
      </c>
      <c r="O438" s="140">
        <v>2</v>
      </c>
      <c r="Q438" s="89" t="s">
        <v>1414</v>
      </c>
      <c r="R438" s="43" t="s">
        <v>316</v>
      </c>
      <c r="S438" s="125">
        <v>43563</v>
      </c>
      <c r="T438" s="117">
        <v>43647</v>
      </c>
      <c r="U438" s="43" t="s">
        <v>329</v>
      </c>
      <c r="V438" s="43" t="s">
        <v>317</v>
      </c>
      <c r="X438" s="43" t="s">
        <v>318</v>
      </c>
      <c r="Y438" s="43" t="s">
        <v>348</v>
      </c>
      <c r="Z438" s="43" t="s">
        <v>320</v>
      </c>
      <c r="AA438" s="43" t="s">
        <v>20</v>
      </c>
      <c r="AB438" s="144">
        <v>1.60000007599592E-2</v>
      </c>
      <c r="AC438" s="125">
        <v>43780</v>
      </c>
      <c r="AD438" s="43" t="s">
        <v>329</v>
      </c>
      <c r="AF438" s="43" t="s">
        <v>75</v>
      </c>
      <c r="AG438" s="43" t="s">
        <v>322</v>
      </c>
      <c r="AJ438" s="140">
        <v>0</v>
      </c>
      <c r="AK438" s="140">
        <v>0</v>
      </c>
      <c r="AL438" s="140">
        <v>0</v>
      </c>
      <c r="AM438" s="140">
        <v>0</v>
      </c>
      <c r="AN438" s="140">
        <v>0</v>
      </c>
      <c r="AO438" s="140">
        <v>1</v>
      </c>
      <c r="AP438" s="140">
        <v>1</v>
      </c>
      <c r="AQ438" s="140">
        <v>1</v>
      </c>
      <c r="AR438" s="140">
        <v>0</v>
      </c>
      <c r="AS438" s="140">
        <v>-1</v>
      </c>
      <c r="AT438" s="140">
        <v>0</v>
      </c>
      <c r="AU438" s="140">
        <v>0</v>
      </c>
      <c r="AV438" s="140">
        <v>1</v>
      </c>
      <c r="AW438" s="140">
        <v>1</v>
      </c>
      <c r="AX438" s="140">
        <v>1</v>
      </c>
      <c r="AY438" s="140">
        <v>0</v>
      </c>
      <c r="AZ438" s="140">
        <v>0</v>
      </c>
      <c r="BA438" s="140">
        <v>0</v>
      </c>
      <c r="BB438" s="140">
        <v>0</v>
      </c>
      <c r="BC438" s="140">
        <v>0</v>
      </c>
      <c r="BD438" s="140">
        <v>0</v>
      </c>
      <c r="BE438" s="140">
        <v>0</v>
      </c>
      <c r="BF438" s="140">
        <v>0</v>
      </c>
      <c r="BG438" s="140">
        <v>-1</v>
      </c>
      <c r="BH438" s="140">
        <v>0</v>
      </c>
      <c r="BI438" s="140">
        <v>0</v>
      </c>
      <c r="BJ438" s="140">
        <v>0</v>
      </c>
      <c r="BK438" s="140">
        <v>0</v>
      </c>
      <c r="BL438" s="140">
        <v>0</v>
      </c>
      <c r="BM438" s="140">
        <v>0</v>
      </c>
      <c r="BN438" s="140">
        <v>0</v>
      </c>
      <c r="BO438" s="140">
        <v>0</v>
      </c>
      <c r="BQ438" s="89"/>
      <c r="BU438" s="89"/>
      <c r="BX438" s="43">
        <v>14</v>
      </c>
      <c r="BZ438" s="90">
        <f>$M438/2</f>
        <v>1</v>
      </c>
      <c r="CA438" s="90">
        <f>$M438/2</f>
        <v>1</v>
      </c>
      <c r="CT438" s="90">
        <f t="shared" si="31"/>
        <v>2</v>
      </c>
      <c r="CU438" s="90">
        <f t="shared" si="32"/>
        <v>2</v>
      </c>
    </row>
    <row r="439" spans="1:99" ht="12" customHeight="1">
      <c r="A439" s="43">
        <v>7058</v>
      </c>
      <c r="B439" s="89" t="s">
        <v>813</v>
      </c>
      <c r="C439" s="89" t="s">
        <v>1415</v>
      </c>
      <c r="D439" s="89" t="s">
        <v>1416</v>
      </c>
      <c r="F439" s="43">
        <v>528753</v>
      </c>
      <c r="G439" s="43">
        <v>176620</v>
      </c>
      <c r="H439" s="89" t="s">
        <v>148</v>
      </c>
      <c r="I439" s="125">
        <v>43724</v>
      </c>
      <c r="K439" s="140">
        <v>0</v>
      </c>
      <c r="L439" s="140">
        <v>1</v>
      </c>
      <c r="M439" s="140">
        <v>1</v>
      </c>
      <c r="N439" s="140">
        <v>1</v>
      </c>
      <c r="O439" s="140">
        <v>1</v>
      </c>
      <c r="Q439" s="89" t="s">
        <v>1417</v>
      </c>
      <c r="R439" s="43" t="s">
        <v>316</v>
      </c>
      <c r="S439" s="125">
        <v>43207</v>
      </c>
      <c r="T439" s="117">
        <v>43454</v>
      </c>
      <c r="V439" s="43" t="s">
        <v>317</v>
      </c>
      <c r="X439" s="43" t="s">
        <v>318</v>
      </c>
      <c r="Y439" s="43" t="s">
        <v>379</v>
      </c>
      <c r="Z439" s="43" t="s">
        <v>320</v>
      </c>
      <c r="AA439" s="43" t="s">
        <v>1418</v>
      </c>
      <c r="AB439" s="144">
        <v>3.0000000260770299E-3</v>
      </c>
      <c r="AC439" s="125">
        <v>43724</v>
      </c>
      <c r="AD439" s="43" t="s">
        <v>329</v>
      </c>
      <c r="AF439" s="43" t="s">
        <v>75</v>
      </c>
      <c r="AG439" s="43" t="s">
        <v>322</v>
      </c>
      <c r="AJ439" s="140">
        <v>0</v>
      </c>
      <c r="AK439" s="140">
        <v>0</v>
      </c>
      <c r="AL439" s="140">
        <v>0</v>
      </c>
      <c r="AM439" s="140">
        <v>0</v>
      </c>
      <c r="AN439" s="140">
        <v>0</v>
      </c>
      <c r="AO439" s="140">
        <v>1</v>
      </c>
      <c r="AP439" s="140">
        <v>0</v>
      </c>
      <c r="AQ439" s="140">
        <v>0</v>
      </c>
      <c r="AR439" s="140">
        <v>0</v>
      </c>
      <c r="AS439" s="140">
        <v>0</v>
      </c>
      <c r="AT439" s="140">
        <v>0</v>
      </c>
      <c r="AU439" s="140">
        <v>0</v>
      </c>
      <c r="AV439" s="140">
        <v>1</v>
      </c>
      <c r="AW439" s="140">
        <v>0</v>
      </c>
      <c r="AX439" s="140">
        <v>0</v>
      </c>
      <c r="AY439" s="140">
        <v>0</v>
      </c>
      <c r="AZ439" s="140">
        <v>0</v>
      </c>
      <c r="BA439" s="140">
        <v>0</v>
      </c>
      <c r="BB439" s="140">
        <v>0</v>
      </c>
      <c r="BC439" s="140">
        <v>0</v>
      </c>
      <c r="BD439" s="140">
        <v>0</v>
      </c>
      <c r="BE439" s="140">
        <v>0</v>
      </c>
      <c r="BF439" s="140">
        <v>0</v>
      </c>
      <c r="BG439" s="140">
        <v>0</v>
      </c>
      <c r="BH439" s="140">
        <v>0</v>
      </c>
      <c r="BI439" s="140">
        <v>0</v>
      </c>
      <c r="BJ439" s="140">
        <v>0</v>
      </c>
      <c r="BK439" s="140">
        <v>0</v>
      </c>
      <c r="BL439" s="140">
        <v>0</v>
      </c>
      <c r="BM439" s="140">
        <v>0</v>
      </c>
      <c r="BN439" s="140">
        <v>0</v>
      </c>
      <c r="BO439" s="140">
        <v>0</v>
      </c>
      <c r="BQ439" s="43" t="s">
        <v>329</v>
      </c>
      <c r="BU439" s="89"/>
      <c r="BX439" s="43">
        <v>13</v>
      </c>
      <c r="BZ439" s="90">
        <f>M439</f>
        <v>1</v>
      </c>
      <c r="CT439" s="90">
        <f t="shared" si="31"/>
        <v>1</v>
      </c>
      <c r="CU439" s="90">
        <f t="shared" si="32"/>
        <v>1</v>
      </c>
    </row>
    <row r="440" spans="1:99" ht="12" customHeight="1">
      <c r="A440" s="43">
        <v>7059</v>
      </c>
      <c r="B440" s="89" t="s">
        <v>813</v>
      </c>
      <c r="C440" s="89" t="s">
        <v>1419</v>
      </c>
      <c r="D440" s="89" t="s">
        <v>1420</v>
      </c>
      <c r="F440" s="43">
        <v>524685</v>
      </c>
      <c r="G440" s="43">
        <v>174182</v>
      </c>
      <c r="H440" s="89" t="s">
        <v>169</v>
      </c>
      <c r="I440" s="125">
        <v>43837</v>
      </c>
      <c r="K440" s="140">
        <v>1</v>
      </c>
      <c r="L440" s="140">
        <v>7</v>
      </c>
      <c r="M440" s="140">
        <v>6</v>
      </c>
      <c r="N440" s="140">
        <v>7</v>
      </c>
      <c r="O440" s="140">
        <v>6</v>
      </c>
      <c r="Q440" s="89" t="s">
        <v>1421</v>
      </c>
      <c r="R440" s="43" t="s">
        <v>316</v>
      </c>
      <c r="S440" s="125">
        <v>43662</v>
      </c>
      <c r="T440" s="117">
        <v>43726</v>
      </c>
      <c r="U440" s="43" t="s">
        <v>329</v>
      </c>
      <c r="V440" s="43" t="s">
        <v>317</v>
      </c>
      <c r="X440" s="43" t="s">
        <v>318</v>
      </c>
      <c r="Y440" s="43" t="s">
        <v>361</v>
      </c>
      <c r="Z440" s="43" t="s">
        <v>320</v>
      </c>
      <c r="AA440" s="43" t="s">
        <v>353</v>
      </c>
      <c r="AB440" s="144">
        <v>9.9999997764825804E-3</v>
      </c>
      <c r="AC440" s="125">
        <v>43837</v>
      </c>
      <c r="AD440" s="43" t="s">
        <v>329</v>
      </c>
      <c r="AF440" s="43" t="s">
        <v>75</v>
      </c>
      <c r="AG440" s="43" t="s">
        <v>322</v>
      </c>
      <c r="AJ440" s="140">
        <v>0</v>
      </c>
      <c r="AK440" s="140">
        <v>0</v>
      </c>
      <c r="AL440" s="140">
        <v>0</v>
      </c>
      <c r="AM440" s="140">
        <v>0</v>
      </c>
      <c r="AN440" s="140">
        <v>0</v>
      </c>
      <c r="AO440" s="140">
        <v>3</v>
      </c>
      <c r="AP440" s="140">
        <v>1</v>
      </c>
      <c r="AQ440" s="140">
        <v>2</v>
      </c>
      <c r="AR440" s="140">
        <v>0</v>
      </c>
      <c r="AS440" s="140">
        <v>0</v>
      </c>
      <c r="AT440" s="140">
        <v>0</v>
      </c>
      <c r="AU440" s="140">
        <v>0</v>
      </c>
      <c r="AV440" s="140">
        <v>3</v>
      </c>
      <c r="AW440" s="140">
        <v>2</v>
      </c>
      <c r="AX440" s="140">
        <v>2</v>
      </c>
      <c r="AY440" s="140">
        <v>0</v>
      </c>
      <c r="AZ440" s="140">
        <v>0</v>
      </c>
      <c r="BA440" s="140">
        <v>0</v>
      </c>
      <c r="BB440" s="140">
        <v>0</v>
      </c>
      <c r="BC440" s="140">
        <v>0</v>
      </c>
      <c r="BD440" s="140">
        <v>-1</v>
      </c>
      <c r="BE440" s="140">
        <v>0</v>
      </c>
      <c r="BF440" s="140">
        <v>0</v>
      </c>
      <c r="BG440" s="140">
        <v>0</v>
      </c>
      <c r="BH440" s="140">
        <v>0</v>
      </c>
      <c r="BI440" s="140">
        <v>0</v>
      </c>
      <c r="BJ440" s="140">
        <v>0</v>
      </c>
      <c r="BK440" s="140">
        <v>0</v>
      </c>
      <c r="BL440" s="140">
        <v>0</v>
      </c>
      <c r="BM440" s="140">
        <v>0</v>
      </c>
      <c r="BN440" s="140">
        <v>0</v>
      </c>
      <c r="BO440" s="140">
        <v>0</v>
      </c>
      <c r="BU440" s="89"/>
      <c r="BX440" s="43">
        <v>3</v>
      </c>
      <c r="BZ440" s="90">
        <f>$M440/2</f>
        <v>3</v>
      </c>
      <c r="CA440" s="90">
        <f>$M440/2</f>
        <v>3</v>
      </c>
      <c r="CT440" s="90">
        <f t="shared" si="31"/>
        <v>6</v>
      </c>
      <c r="CU440" s="90">
        <f t="shared" si="32"/>
        <v>6</v>
      </c>
    </row>
    <row r="441" spans="1:99" ht="12" customHeight="1">
      <c r="A441" s="43">
        <v>7068</v>
      </c>
      <c r="B441" s="89" t="s">
        <v>813</v>
      </c>
      <c r="C441" s="89" t="s">
        <v>1422</v>
      </c>
      <c r="D441" s="89" t="s">
        <v>1423</v>
      </c>
      <c r="F441" s="43">
        <v>524905</v>
      </c>
      <c r="G441" s="43">
        <v>173971</v>
      </c>
      <c r="H441" s="89" t="s">
        <v>169</v>
      </c>
      <c r="I441" s="125">
        <v>43647</v>
      </c>
      <c r="K441" s="140">
        <v>1</v>
      </c>
      <c r="L441" s="140">
        <v>1</v>
      </c>
      <c r="M441" s="140">
        <v>0</v>
      </c>
      <c r="N441" s="140">
        <v>1</v>
      </c>
      <c r="O441" s="140">
        <v>0</v>
      </c>
      <c r="Q441" s="89" t="s">
        <v>1424</v>
      </c>
      <c r="R441" s="43" t="s">
        <v>316</v>
      </c>
      <c r="S441" s="125">
        <v>43441</v>
      </c>
      <c r="T441" s="117">
        <v>43581</v>
      </c>
      <c r="U441" s="43" t="s">
        <v>329</v>
      </c>
      <c r="V441" s="43" t="s">
        <v>317</v>
      </c>
      <c r="X441" s="43" t="s">
        <v>318</v>
      </c>
      <c r="Y441" s="43" t="s">
        <v>361</v>
      </c>
      <c r="Z441" s="43" t="s">
        <v>320</v>
      </c>
      <c r="AA441" s="43" t="s">
        <v>353</v>
      </c>
      <c r="AB441" s="144">
        <v>4.39999997615814E-2</v>
      </c>
      <c r="AC441" s="125">
        <v>43647</v>
      </c>
      <c r="AD441" s="43" t="s">
        <v>329</v>
      </c>
      <c r="AF441" s="43" t="s">
        <v>75</v>
      </c>
      <c r="AG441" s="43" t="s">
        <v>322</v>
      </c>
      <c r="AJ441" s="140">
        <v>0</v>
      </c>
      <c r="AK441" s="140">
        <v>0</v>
      </c>
      <c r="AL441" s="140">
        <v>0</v>
      </c>
      <c r="AM441" s="140">
        <v>0</v>
      </c>
      <c r="AN441" s="140">
        <v>0</v>
      </c>
      <c r="AO441" s="140">
        <v>0</v>
      </c>
      <c r="AP441" s="140">
        <v>0</v>
      </c>
      <c r="AQ441" s="140">
        <v>-1</v>
      </c>
      <c r="AR441" s="140">
        <v>0</v>
      </c>
      <c r="AS441" s="140">
        <v>1</v>
      </c>
      <c r="AT441" s="140">
        <v>0</v>
      </c>
      <c r="AU441" s="140">
        <v>0</v>
      </c>
      <c r="AV441" s="140">
        <v>0</v>
      </c>
      <c r="AW441" s="140">
        <v>0</v>
      </c>
      <c r="AX441" s="140">
        <v>0</v>
      </c>
      <c r="AY441" s="140">
        <v>0</v>
      </c>
      <c r="AZ441" s="140">
        <v>0</v>
      </c>
      <c r="BA441" s="140">
        <v>0</v>
      </c>
      <c r="BB441" s="140">
        <v>0</v>
      </c>
      <c r="BC441" s="140">
        <v>0</v>
      </c>
      <c r="BD441" s="140">
        <v>0</v>
      </c>
      <c r="BE441" s="140">
        <v>-1</v>
      </c>
      <c r="BF441" s="140">
        <v>0</v>
      </c>
      <c r="BG441" s="140">
        <v>1</v>
      </c>
      <c r="BH441" s="140">
        <v>0</v>
      </c>
      <c r="BI441" s="140">
        <v>0</v>
      </c>
      <c r="BJ441" s="140">
        <v>0</v>
      </c>
      <c r="BK441" s="140">
        <v>0</v>
      </c>
      <c r="BL441" s="140">
        <v>0</v>
      </c>
      <c r="BM441" s="140">
        <v>0</v>
      </c>
      <c r="BN441" s="140">
        <v>0</v>
      </c>
      <c r="BO441" s="140">
        <v>0</v>
      </c>
      <c r="BU441" s="89"/>
      <c r="BX441" s="43">
        <v>2</v>
      </c>
      <c r="BZ441" s="90">
        <f>M441</f>
        <v>0</v>
      </c>
      <c r="CT441" s="90">
        <f t="shared" si="31"/>
        <v>0</v>
      </c>
      <c r="CU441" s="90">
        <f t="shared" si="32"/>
        <v>0</v>
      </c>
    </row>
    <row r="442" spans="1:99" ht="12" customHeight="1">
      <c r="A442" s="43">
        <v>7095</v>
      </c>
      <c r="B442" s="89" t="s">
        <v>813</v>
      </c>
      <c r="C442" s="89" t="s">
        <v>1425</v>
      </c>
      <c r="D442" s="89" t="s">
        <v>1426</v>
      </c>
      <c r="F442" s="43">
        <v>527849</v>
      </c>
      <c r="G442" s="43">
        <v>171048</v>
      </c>
      <c r="H442" s="89" t="s">
        <v>172</v>
      </c>
      <c r="I442" s="125">
        <v>43921</v>
      </c>
      <c r="K442" s="140">
        <v>1</v>
      </c>
      <c r="L442" s="140">
        <v>2</v>
      </c>
      <c r="M442" s="140">
        <v>1</v>
      </c>
      <c r="N442" s="140">
        <v>2</v>
      </c>
      <c r="O442" s="140">
        <v>1</v>
      </c>
      <c r="Q442" s="89" t="s">
        <v>1427</v>
      </c>
      <c r="R442" s="43" t="s">
        <v>316</v>
      </c>
      <c r="S442" s="125">
        <v>43481</v>
      </c>
      <c r="T442" s="117">
        <v>43586</v>
      </c>
      <c r="U442" s="43" t="s">
        <v>329</v>
      </c>
      <c r="V442" s="43" t="s">
        <v>317</v>
      </c>
      <c r="X442" s="43" t="s">
        <v>318</v>
      </c>
      <c r="Y442" s="43" t="s">
        <v>348</v>
      </c>
      <c r="Z442" s="43" t="s">
        <v>320</v>
      </c>
      <c r="AA442" s="43" t="s">
        <v>321</v>
      </c>
      <c r="AB442" s="144">
        <v>4.0000001899898104E-3</v>
      </c>
      <c r="AC442" s="125">
        <v>43921</v>
      </c>
      <c r="AD442" s="43" t="s">
        <v>329</v>
      </c>
      <c r="AF442" s="43" t="s">
        <v>75</v>
      </c>
      <c r="AG442" s="43" t="s">
        <v>322</v>
      </c>
      <c r="AJ442" s="140">
        <v>0</v>
      </c>
      <c r="AK442" s="140">
        <v>0</v>
      </c>
      <c r="AL442" s="140">
        <v>0</v>
      </c>
      <c r="AM442" s="140">
        <v>0</v>
      </c>
      <c r="AN442" s="140">
        <v>2</v>
      </c>
      <c r="AO442" s="140">
        <v>0</v>
      </c>
      <c r="AP442" s="140">
        <v>0</v>
      </c>
      <c r="AQ442" s="140">
        <v>-1</v>
      </c>
      <c r="AR442" s="140">
        <v>0</v>
      </c>
      <c r="AS442" s="140">
        <v>0</v>
      </c>
      <c r="AT442" s="140">
        <v>0</v>
      </c>
      <c r="AU442" s="140">
        <v>2</v>
      </c>
      <c r="AV442" s="140">
        <v>0</v>
      </c>
      <c r="AW442" s="140">
        <v>0</v>
      </c>
      <c r="AX442" s="140">
        <v>-1</v>
      </c>
      <c r="AY442" s="140">
        <v>0</v>
      </c>
      <c r="AZ442" s="140">
        <v>0</v>
      </c>
      <c r="BA442" s="140">
        <v>0</v>
      </c>
      <c r="BB442" s="140">
        <v>0</v>
      </c>
      <c r="BC442" s="140">
        <v>0</v>
      </c>
      <c r="BD442" s="140">
        <v>0</v>
      </c>
      <c r="BE442" s="140">
        <v>0</v>
      </c>
      <c r="BF442" s="140">
        <v>0</v>
      </c>
      <c r="BG442" s="140">
        <v>0</v>
      </c>
      <c r="BH442" s="140">
        <v>0</v>
      </c>
      <c r="BI442" s="140">
        <v>0</v>
      </c>
      <c r="BJ442" s="140">
        <v>0</v>
      </c>
      <c r="BK442" s="140">
        <v>0</v>
      </c>
      <c r="BL442" s="140">
        <v>0</v>
      </c>
      <c r="BM442" s="140">
        <v>0</v>
      </c>
      <c r="BN442" s="140">
        <v>0</v>
      </c>
      <c r="BO442" s="140">
        <v>0</v>
      </c>
      <c r="BP442" s="43" t="s">
        <v>141</v>
      </c>
      <c r="BQ442" s="89"/>
      <c r="BU442" s="89"/>
      <c r="BX442" s="43">
        <v>14</v>
      </c>
      <c r="BZ442" s="90">
        <f>$M442/2</f>
        <v>0.5</v>
      </c>
      <c r="CA442" s="90">
        <f>$M442/2</f>
        <v>0.5</v>
      </c>
      <c r="CT442" s="90">
        <f t="shared" si="31"/>
        <v>1</v>
      </c>
      <c r="CU442" s="90">
        <f t="shared" si="32"/>
        <v>1</v>
      </c>
    </row>
    <row r="443" spans="1:99" ht="12" customHeight="1">
      <c r="A443" s="43">
        <v>7104</v>
      </c>
      <c r="B443" s="89" t="s">
        <v>813</v>
      </c>
      <c r="C443" s="89" t="s">
        <v>1428</v>
      </c>
      <c r="D443" s="89" t="s">
        <v>1429</v>
      </c>
      <c r="F443" s="43">
        <v>525887</v>
      </c>
      <c r="G443" s="43">
        <v>173963</v>
      </c>
      <c r="H443" s="89" t="s">
        <v>168</v>
      </c>
      <c r="I443" s="125">
        <v>43605</v>
      </c>
      <c r="K443" s="140">
        <v>1</v>
      </c>
      <c r="L443" s="140">
        <v>3</v>
      </c>
      <c r="M443" s="140">
        <v>2</v>
      </c>
      <c r="N443" s="140">
        <v>3</v>
      </c>
      <c r="O443" s="140">
        <v>2</v>
      </c>
      <c r="Q443" s="89" t="s">
        <v>1430</v>
      </c>
      <c r="R443" s="43" t="s">
        <v>316</v>
      </c>
      <c r="S443" s="125">
        <v>43500</v>
      </c>
      <c r="T443" s="117">
        <v>43556</v>
      </c>
      <c r="U443" s="43" t="s">
        <v>329</v>
      </c>
      <c r="V443" s="43" t="s">
        <v>317</v>
      </c>
      <c r="X443" s="43" t="s">
        <v>318</v>
      </c>
      <c r="Y443" s="43" t="s">
        <v>319</v>
      </c>
      <c r="Z443" s="43" t="s">
        <v>320</v>
      </c>
      <c r="AA443" s="43" t="s">
        <v>321</v>
      </c>
      <c r="AB443" s="144">
        <v>6.0000000521540598E-3</v>
      </c>
      <c r="AC443" s="125">
        <v>43605</v>
      </c>
      <c r="AD443" s="43" t="s">
        <v>329</v>
      </c>
      <c r="AF443" s="43" t="s">
        <v>75</v>
      </c>
      <c r="AG443" s="43" t="s">
        <v>322</v>
      </c>
      <c r="AJ443" s="140">
        <v>0</v>
      </c>
      <c r="AK443" s="140">
        <v>0</v>
      </c>
      <c r="AL443" s="140">
        <v>0</v>
      </c>
      <c r="AM443" s="140">
        <v>0</v>
      </c>
      <c r="AN443" s="140">
        <v>0</v>
      </c>
      <c r="AO443" s="140">
        <v>2</v>
      </c>
      <c r="AP443" s="140">
        <v>1</v>
      </c>
      <c r="AQ443" s="140">
        <v>-1</v>
      </c>
      <c r="AR443" s="140">
        <v>0</v>
      </c>
      <c r="AS443" s="140">
        <v>0</v>
      </c>
      <c r="AT443" s="140">
        <v>0</v>
      </c>
      <c r="AU443" s="140">
        <v>0</v>
      </c>
      <c r="AV443" s="140">
        <v>2</v>
      </c>
      <c r="AW443" s="140">
        <v>1</v>
      </c>
      <c r="AX443" s="140">
        <v>-1</v>
      </c>
      <c r="AY443" s="140">
        <v>0</v>
      </c>
      <c r="AZ443" s="140">
        <v>0</v>
      </c>
      <c r="BA443" s="140">
        <v>0</v>
      </c>
      <c r="BB443" s="140">
        <v>0</v>
      </c>
      <c r="BC443" s="140">
        <v>0</v>
      </c>
      <c r="BD443" s="140">
        <v>0</v>
      </c>
      <c r="BE443" s="140">
        <v>0</v>
      </c>
      <c r="BF443" s="140">
        <v>0</v>
      </c>
      <c r="BG443" s="140">
        <v>0</v>
      </c>
      <c r="BH443" s="140">
        <v>0</v>
      </c>
      <c r="BI443" s="140">
        <v>0</v>
      </c>
      <c r="BJ443" s="140">
        <v>0</v>
      </c>
      <c r="BK443" s="140">
        <v>0</v>
      </c>
      <c r="BL443" s="140">
        <v>0</v>
      </c>
      <c r="BM443" s="140">
        <v>0</v>
      </c>
      <c r="BN443" s="140">
        <v>0</v>
      </c>
      <c r="BO443" s="140">
        <v>0</v>
      </c>
      <c r="BQ443" s="89"/>
      <c r="BU443" s="89"/>
      <c r="BX443" s="43">
        <v>13</v>
      </c>
      <c r="BZ443" s="90">
        <f>M443</f>
        <v>2</v>
      </c>
      <c r="CT443" s="90">
        <f t="shared" si="31"/>
        <v>2</v>
      </c>
      <c r="CU443" s="90">
        <f t="shared" si="32"/>
        <v>2</v>
      </c>
    </row>
    <row r="444" spans="1:99" ht="12" customHeight="1">
      <c r="A444" s="43">
        <v>7114</v>
      </c>
      <c r="B444" s="89" t="s">
        <v>813</v>
      </c>
      <c r="C444" s="89" t="s">
        <v>1431</v>
      </c>
      <c r="D444" s="89" t="s">
        <v>1432</v>
      </c>
      <c r="F444" s="43">
        <v>527807</v>
      </c>
      <c r="G444" s="43">
        <v>173671</v>
      </c>
      <c r="H444" s="89" t="s">
        <v>173</v>
      </c>
      <c r="I444" s="125">
        <v>43775</v>
      </c>
      <c r="K444" s="140">
        <v>0</v>
      </c>
      <c r="L444" s="140">
        <v>1</v>
      </c>
      <c r="M444" s="140">
        <v>1</v>
      </c>
      <c r="N444" s="140">
        <v>1</v>
      </c>
      <c r="O444" s="140">
        <v>1</v>
      </c>
      <c r="Q444" s="89" t="s">
        <v>1433</v>
      </c>
      <c r="R444" s="43" t="s">
        <v>803</v>
      </c>
      <c r="S444" s="125">
        <v>43501</v>
      </c>
      <c r="T444" s="117">
        <v>43556</v>
      </c>
      <c r="U444" s="43" t="s">
        <v>329</v>
      </c>
      <c r="V444" s="43" t="s">
        <v>317</v>
      </c>
      <c r="X444" s="43" t="s">
        <v>318</v>
      </c>
      <c r="Y444" s="43" t="s">
        <v>336</v>
      </c>
      <c r="Z444" s="43" t="s">
        <v>320</v>
      </c>
      <c r="AA444" s="43" t="s">
        <v>36</v>
      </c>
      <c r="AB444" s="144">
        <v>3.7999998778104803E-2</v>
      </c>
      <c r="AC444" s="125">
        <v>43775</v>
      </c>
      <c r="AD444" s="43" t="s">
        <v>329</v>
      </c>
      <c r="AF444" s="43" t="s">
        <v>75</v>
      </c>
      <c r="AG444" s="43" t="s">
        <v>322</v>
      </c>
      <c r="AJ444" s="140">
        <v>0</v>
      </c>
      <c r="AK444" s="140">
        <v>0</v>
      </c>
      <c r="AL444" s="140">
        <v>0</v>
      </c>
      <c r="AM444" s="140">
        <v>0</v>
      </c>
      <c r="AN444" s="140">
        <v>0</v>
      </c>
      <c r="AO444" s="140">
        <v>0</v>
      </c>
      <c r="AP444" s="140">
        <v>0</v>
      </c>
      <c r="AQ444" s="140">
        <v>0</v>
      </c>
      <c r="AR444" s="140">
        <v>0</v>
      </c>
      <c r="AS444" s="140">
        <v>1</v>
      </c>
      <c r="AT444" s="140">
        <v>0</v>
      </c>
      <c r="AU444" s="140">
        <v>0</v>
      </c>
      <c r="AV444" s="140">
        <v>0</v>
      </c>
      <c r="AW444" s="140">
        <v>0</v>
      </c>
      <c r="AX444" s="140">
        <v>0</v>
      </c>
      <c r="AY444" s="140">
        <v>0</v>
      </c>
      <c r="AZ444" s="140">
        <v>0</v>
      </c>
      <c r="BA444" s="140">
        <v>0</v>
      </c>
      <c r="BB444" s="140">
        <v>0</v>
      </c>
      <c r="BC444" s="140">
        <v>0</v>
      </c>
      <c r="BD444" s="140">
        <v>0</v>
      </c>
      <c r="BE444" s="140">
        <v>0</v>
      </c>
      <c r="BF444" s="140">
        <v>0</v>
      </c>
      <c r="BG444" s="140">
        <v>1</v>
      </c>
      <c r="BH444" s="140">
        <v>0</v>
      </c>
      <c r="BI444" s="140">
        <v>0</v>
      </c>
      <c r="BJ444" s="140">
        <v>0</v>
      </c>
      <c r="BK444" s="140">
        <v>0</v>
      </c>
      <c r="BL444" s="140">
        <v>0</v>
      </c>
      <c r="BM444" s="140">
        <v>0</v>
      </c>
      <c r="BN444" s="140">
        <v>0</v>
      </c>
      <c r="BO444" s="140">
        <v>0</v>
      </c>
      <c r="BQ444" s="89"/>
      <c r="BU444" s="89"/>
      <c r="BX444" s="43">
        <v>14</v>
      </c>
      <c r="BZ444" s="90">
        <f t="shared" ref="BZ444:CA449" si="37">$M444/2</f>
        <v>0.5</v>
      </c>
      <c r="CA444" s="90">
        <f t="shared" si="37"/>
        <v>0.5</v>
      </c>
      <c r="CT444" s="90">
        <f t="shared" si="31"/>
        <v>1</v>
      </c>
      <c r="CU444" s="90">
        <f t="shared" si="32"/>
        <v>1</v>
      </c>
    </row>
    <row r="445" spans="1:99" ht="12" customHeight="1">
      <c r="A445" s="43">
        <v>7117</v>
      </c>
      <c r="B445" s="89" t="s">
        <v>813</v>
      </c>
      <c r="C445" s="89" t="s">
        <v>1434</v>
      </c>
      <c r="D445" s="89" t="s">
        <v>1435</v>
      </c>
      <c r="F445" s="43">
        <v>526909</v>
      </c>
      <c r="G445" s="43">
        <v>171796</v>
      </c>
      <c r="H445" s="89" t="s">
        <v>141</v>
      </c>
      <c r="I445" s="125">
        <v>43776</v>
      </c>
      <c r="K445" s="140">
        <v>0</v>
      </c>
      <c r="L445" s="140">
        <v>1</v>
      </c>
      <c r="M445" s="140">
        <v>1</v>
      </c>
      <c r="N445" s="140">
        <v>1</v>
      </c>
      <c r="O445" s="140">
        <v>1</v>
      </c>
      <c r="Q445" s="89" t="s">
        <v>1436</v>
      </c>
      <c r="R445" s="43" t="s">
        <v>316</v>
      </c>
      <c r="S445" s="125">
        <v>43501</v>
      </c>
      <c r="T445" s="117">
        <v>43557</v>
      </c>
      <c r="U445" s="43" t="s">
        <v>329</v>
      </c>
      <c r="V445" s="43" t="s">
        <v>317</v>
      </c>
      <c r="X445" s="43" t="s">
        <v>318</v>
      </c>
      <c r="Y445" s="43" t="s">
        <v>319</v>
      </c>
      <c r="Z445" s="43" t="s">
        <v>320</v>
      </c>
      <c r="AA445" s="43" t="s">
        <v>340</v>
      </c>
      <c r="AB445" s="144">
        <v>4.0000001899898104E-3</v>
      </c>
      <c r="AC445" s="125">
        <v>43776</v>
      </c>
      <c r="AD445" s="43" t="s">
        <v>329</v>
      </c>
      <c r="AF445" s="43" t="s">
        <v>75</v>
      </c>
      <c r="AG445" s="43" t="s">
        <v>322</v>
      </c>
      <c r="AJ445" s="140">
        <v>0</v>
      </c>
      <c r="AK445" s="140">
        <v>0</v>
      </c>
      <c r="AL445" s="140">
        <v>0</v>
      </c>
      <c r="AM445" s="140">
        <v>0</v>
      </c>
      <c r="AN445" s="140">
        <v>0</v>
      </c>
      <c r="AO445" s="140">
        <v>0</v>
      </c>
      <c r="AP445" s="140">
        <v>1</v>
      </c>
      <c r="AQ445" s="140">
        <v>0</v>
      </c>
      <c r="AR445" s="140">
        <v>0</v>
      </c>
      <c r="AS445" s="140">
        <v>0</v>
      </c>
      <c r="AT445" s="140">
        <v>0</v>
      </c>
      <c r="AU445" s="140">
        <v>0</v>
      </c>
      <c r="AV445" s="140">
        <v>0</v>
      </c>
      <c r="AW445" s="140">
        <v>1</v>
      </c>
      <c r="AX445" s="140">
        <v>0</v>
      </c>
      <c r="AY445" s="140">
        <v>0</v>
      </c>
      <c r="AZ445" s="140">
        <v>0</v>
      </c>
      <c r="BA445" s="140">
        <v>0</v>
      </c>
      <c r="BB445" s="140">
        <v>0</v>
      </c>
      <c r="BC445" s="140">
        <v>0</v>
      </c>
      <c r="BD445" s="140">
        <v>0</v>
      </c>
      <c r="BE445" s="140">
        <v>0</v>
      </c>
      <c r="BF445" s="140">
        <v>0</v>
      </c>
      <c r="BG445" s="140">
        <v>0</v>
      </c>
      <c r="BH445" s="140">
        <v>0</v>
      </c>
      <c r="BI445" s="140">
        <v>0</v>
      </c>
      <c r="BJ445" s="140">
        <v>0</v>
      </c>
      <c r="BK445" s="140">
        <v>0</v>
      </c>
      <c r="BL445" s="140">
        <v>0</v>
      </c>
      <c r="BM445" s="140">
        <v>0</v>
      </c>
      <c r="BN445" s="140">
        <v>0</v>
      </c>
      <c r="BO445" s="140">
        <v>0</v>
      </c>
      <c r="BQ445" s="89"/>
      <c r="BU445" s="89"/>
      <c r="BX445" s="43">
        <v>14</v>
      </c>
      <c r="BZ445" s="90">
        <f t="shared" si="37"/>
        <v>0.5</v>
      </c>
      <c r="CA445" s="90">
        <f t="shared" si="37"/>
        <v>0.5</v>
      </c>
      <c r="CT445" s="90">
        <f t="shared" si="31"/>
        <v>1</v>
      </c>
      <c r="CU445" s="90">
        <f t="shared" si="32"/>
        <v>1</v>
      </c>
    </row>
    <row r="446" spans="1:99" ht="12" customHeight="1">
      <c r="A446" s="43">
        <v>7120</v>
      </c>
      <c r="B446" s="89" t="s">
        <v>813</v>
      </c>
      <c r="C446" s="89" t="s">
        <v>1437</v>
      </c>
      <c r="D446" s="89" t="s">
        <v>1438</v>
      </c>
      <c r="E446" s="89" t="s">
        <v>346</v>
      </c>
      <c r="F446" s="43">
        <v>527464</v>
      </c>
      <c r="G446" s="43">
        <v>176353</v>
      </c>
      <c r="H446" s="89" t="s">
        <v>147</v>
      </c>
      <c r="I446" s="125">
        <v>43812</v>
      </c>
      <c r="K446" s="140">
        <v>2</v>
      </c>
      <c r="L446" s="140">
        <v>1</v>
      </c>
      <c r="M446" s="140">
        <v>-1</v>
      </c>
      <c r="N446" s="140">
        <v>4</v>
      </c>
      <c r="O446" s="140">
        <v>2</v>
      </c>
      <c r="Q446" s="89" t="s">
        <v>1439</v>
      </c>
      <c r="R446" s="43" t="s">
        <v>316</v>
      </c>
      <c r="S446" s="125">
        <v>43503</v>
      </c>
      <c r="T446" s="117">
        <v>43637</v>
      </c>
      <c r="U446" s="43" t="s">
        <v>329</v>
      </c>
      <c r="V446" s="43" t="s">
        <v>317</v>
      </c>
      <c r="X446" s="43" t="s">
        <v>318</v>
      </c>
      <c r="Y446" s="43" t="s">
        <v>319</v>
      </c>
      <c r="Z446" s="43" t="s">
        <v>320</v>
      </c>
      <c r="AA446" s="43" t="s">
        <v>636</v>
      </c>
      <c r="AB446" s="144">
        <v>2.0000000949949E-3</v>
      </c>
      <c r="AC446" s="125">
        <v>43812</v>
      </c>
      <c r="AD446" s="43" t="s">
        <v>329</v>
      </c>
      <c r="AF446" s="43" t="s">
        <v>75</v>
      </c>
      <c r="AG446" s="43" t="s">
        <v>322</v>
      </c>
      <c r="AJ446" s="140">
        <v>0</v>
      </c>
      <c r="AK446" s="140">
        <v>0</v>
      </c>
      <c r="AL446" s="140">
        <v>0</v>
      </c>
      <c r="AM446" s="140">
        <v>0</v>
      </c>
      <c r="AN446" s="140">
        <v>0</v>
      </c>
      <c r="AO446" s="140">
        <v>-2</v>
      </c>
      <c r="AP446" s="140">
        <v>1</v>
      </c>
      <c r="AQ446" s="140">
        <v>0</v>
      </c>
      <c r="AR446" s="140">
        <v>0</v>
      </c>
      <c r="AS446" s="140">
        <v>0</v>
      </c>
      <c r="AT446" s="140">
        <v>0</v>
      </c>
      <c r="AU446" s="140">
        <v>0</v>
      </c>
      <c r="AV446" s="140">
        <v>-2</v>
      </c>
      <c r="AW446" s="140">
        <v>1</v>
      </c>
      <c r="AX446" s="140">
        <v>0</v>
      </c>
      <c r="AY446" s="140">
        <v>0</v>
      </c>
      <c r="AZ446" s="140">
        <v>0</v>
      </c>
      <c r="BA446" s="140">
        <v>0</v>
      </c>
      <c r="BB446" s="140">
        <v>0</v>
      </c>
      <c r="BC446" s="140">
        <v>0</v>
      </c>
      <c r="BD446" s="140">
        <v>0</v>
      </c>
      <c r="BE446" s="140">
        <v>0</v>
      </c>
      <c r="BF446" s="140">
        <v>0</v>
      </c>
      <c r="BG446" s="140">
        <v>0</v>
      </c>
      <c r="BH446" s="140">
        <v>0</v>
      </c>
      <c r="BI446" s="140">
        <v>0</v>
      </c>
      <c r="BJ446" s="140">
        <v>0</v>
      </c>
      <c r="BK446" s="140">
        <v>0</v>
      </c>
      <c r="BL446" s="140">
        <v>0</v>
      </c>
      <c r="BM446" s="140">
        <v>0</v>
      </c>
      <c r="BN446" s="140">
        <v>0</v>
      </c>
      <c r="BO446" s="140">
        <v>0</v>
      </c>
      <c r="BQ446" s="89"/>
      <c r="BU446" s="89"/>
      <c r="BX446" s="43">
        <v>14</v>
      </c>
      <c r="BZ446" s="90">
        <f t="shared" si="37"/>
        <v>-0.5</v>
      </c>
      <c r="CA446" s="90">
        <f t="shared" si="37"/>
        <v>-0.5</v>
      </c>
      <c r="CT446" s="90">
        <f t="shared" si="31"/>
        <v>-1</v>
      </c>
      <c r="CU446" s="90">
        <f t="shared" si="32"/>
        <v>-1</v>
      </c>
    </row>
    <row r="447" spans="1:99" ht="12" customHeight="1">
      <c r="A447" s="43">
        <v>7120</v>
      </c>
      <c r="B447" s="89" t="s">
        <v>813</v>
      </c>
      <c r="C447" s="89" t="s">
        <v>1437</v>
      </c>
      <c r="D447" s="89" t="s">
        <v>1438</v>
      </c>
      <c r="E447" s="89" t="s">
        <v>728</v>
      </c>
      <c r="F447" s="43">
        <v>527464</v>
      </c>
      <c r="G447" s="43">
        <v>176353</v>
      </c>
      <c r="H447" s="89" t="s">
        <v>147</v>
      </c>
      <c r="I447" s="125">
        <v>43812</v>
      </c>
      <c r="K447" s="140">
        <v>0</v>
      </c>
      <c r="L447" s="140">
        <v>1</v>
      </c>
      <c r="M447" s="140">
        <v>1</v>
      </c>
      <c r="N447" s="140">
        <v>4</v>
      </c>
      <c r="O447" s="140">
        <v>2</v>
      </c>
      <c r="Q447" s="89" t="s">
        <v>1439</v>
      </c>
      <c r="R447" s="43" t="s">
        <v>316</v>
      </c>
      <c r="S447" s="125">
        <v>43503</v>
      </c>
      <c r="T447" s="117">
        <v>43637</v>
      </c>
      <c r="U447" s="43" t="s">
        <v>329</v>
      </c>
      <c r="V447" s="43" t="s">
        <v>317</v>
      </c>
      <c r="X447" s="43" t="s">
        <v>318</v>
      </c>
      <c r="Y447" s="43" t="s">
        <v>319</v>
      </c>
      <c r="Z447" s="43" t="s">
        <v>320</v>
      </c>
      <c r="AA447" s="43" t="s">
        <v>36</v>
      </c>
      <c r="AB447" s="144">
        <v>2.0000000949949E-3</v>
      </c>
      <c r="AC447" s="125">
        <v>43812</v>
      </c>
      <c r="AD447" s="43" t="s">
        <v>329</v>
      </c>
      <c r="AF447" s="43" t="s">
        <v>75</v>
      </c>
      <c r="AG447" s="43" t="s">
        <v>322</v>
      </c>
      <c r="AJ447" s="140">
        <v>0</v>
      </c>
      <c r="AK447" s="140">
        <v>0</v>
      </c>
      <c r="AL447" s="140">
        <v>0</v>
      </c>
      <c r="AM447" s="140">
        <v>0</v>
      </c>
      <c r="AN447" s="140">
        <v>0</v>
      </c>
      <c r="AO447" s="140">
        <v>1</v>
      </c>
      <c r="AP447" s="140">
        <v>0</v>
      </c>
      <c r="AQ447" s="140">
        <v>0</v>
      </c>
      <c r="AR447" s="140">
        <v>0</v>
      </c>
      <c r="AS447" s="140">
        <v>0</v>
      </c>
      <c r="AT447" s="140">
        <v>0</v>
      </c>
      <c r="AU447" s="140">
        <v>0</v>
      </c>
      <c r="AV447" s="140">
        <v>1</v>
      </c>
      <c r="AW447" s="140">
        <v>0</v>
      </c>
      <c r="AX447" s="140">
        <v>0</v>
      </c>
      <c r="AY447" s="140">
        <v>0</v>
      </c>
      <c r="AZ447" s="140">
        <v>0</v>
      </c>
      <c r="BA447" s="140">
        <v>0</v>
      </c>
      <c r="BB447" s="140">
        <v>0</v>
      </c>
      <c r="BC447" s="140">
        <v>0</v>
      </c>
      <c r="BD447" s="140">
        <v>0</v>
      </c>
      <c r="BE447" s="140">
        <v>0</v>
      </c>
      <c r="BF447" s="140">
        <v>0</v>
      </c>
      <c r="BG447" s="140">
        <v>0</v>
      </c>
      <c r="BH447" s="140">
        <v>0</v>
      </c>
      <c r="BI447" s="140">
        <v>0</v>
      </c>
      <c r="BJ447" s="140">
        <v>0</v>
      </c>
      <c r="BK447" s="140">
        <v>0</v>
      </c>
      <c r="BL447" s="140">
        <v>0</v>
      </c>
      <c r="BM447" s="140">
        <v>0</v>
      </c>
      <c r="BN447" s="140">
        <v>0</v>
      </c>
      <c r="BO447" s="140">
        <v>0</v>
      </c>
      <c r="BQ447" s="89"/>
      <c r="BU447" s="89"/>
      <c r="BX447" s="43">
        <v>14</v>
      </c>
      <c r="BZ447" s="90">
        <f t="shared" si="37"/>
        <v>0.5</v>
      </c>
      <c r="CA447" s="90">
        <f t="shared" si="37"/>
        <v>0.5</v>
      </c>
      <c r="CT447" s="90">
        <f t="shared" si="31"/>
        <v>1</v>
      </c>
      <c r="CU447" s="90">
        <f t="shared" si="32"/>
        <v>1</v>
      </c>
    </row>
    <row r="448" spans="1:99" ht="12" customHeight="1">
      <c r="A448" s="43">
        <v>7120</v>
      </c>
      <c r="B448" s="89" t="s">
        <v>813</v>
      </c>
      <c r="C448" s="89" t="s">
        <v>1437</v>
      </c>
      <c r="D448" s="89" t="s">
        <v>1438</v>
      </c>
      <c r="E448" s="89" t="s">
        <v>1157</v>
      </c>
      <c r="F448" s="43">
        <v>527464</v>
      </c>
      <c r="G448" s="43">
        <v>176353</v>
      </c>
      <c r="H448" s="89" t="s">
        <v>147</v>
      </c>
      <c r="I448" s="125">
        <v>43812</v>
      </c>
      <c r="K448" s="140">
        <v>0</v>
      </c>
      <c r="L448" s="140">
        <v>2</v>
      </c>
      <c r="M448" s="140">
        <v>2</v>
      </c>
      <c r="N448" s="140">
        <v>4</v>
      </c>
      <c r="O448" s="140">
        <v>2</v>
      </c>
      <c r="Q448" s="89" t="s">
        <v>1439</v>
      </c>
      <c r="R448" s="43" t="s">
        <v>316</v>
      </c>
      <c r="S448" s="125">
        <v>43503</v>
      </c>
      <c r="T448" s="117">
        <v>43637</v>
      </c>
      <c r="U448" s="43" t="s">
        <v>329</v>
      </c>
      <c r="V448" s="43" t="s">
        <v>317</v>
      </c>
      <c r="X448" s="43" t="s">
        <v>318</v>
      </c>
      <c r="Y448" s="43" t="s">
        <v>319</v>
      </c>
      <c r="Z448" s="43" t="s">
        <v>320</v>
      </c>
      <c r="AA448" s="43" t="s">
        <v>340</v>
      </c>
      <c r="AB448" s="144">
        <v>4.0000001899898104E-3</v>
      </c>
      <c r="AC448" s="125">
        <v>43812</v>
      </c>
      <c r="AD448" s="43" t="s">
        <v>329</v>
      </c>
      <c r="AF448" s="43" t="s">
        <v>75</v>
      </c>
      <c r="AG448" s="43" t="s">
        <v>322</v>
      </c>
      <c r="AJ448" s="140">
        <v>0</v>
      </c>
      <c r="AK448" s="140">
        <v>0</v>
      </c>
      <c r="AL448" s="140">
        <v>0</v>
      </c>
      <c r="AM448" s="140">
        <v>0</v>
      </c>
      <c r="AN448" s="140">
        <v>0</v>
      </c>
      <c r="AO448" s="140">
        <v>2</v>
      </c>
      <c r="AP448" s="140">
        <v>0</v>
      </c>
      <c r="AQ448" s="140">
        <v>0</v>
      </c>
      <c r="AR448" s="140">
        <v>0</v>
      </c>
      <c r="AS448" s="140">
        <v>0</v>
      </c>
      <c r="AT448" s="140">
        <v>0</v>
      </c>
      <c r="AU448" s="140">
        <v>0</v>
      </c>
      <c r="AV448" s="140">
        <v>2</v>
      </c>
      <c r="AW448" s="140">
        <v>0</v>
      </c>
      <c r="AX448" s="140">
        <v>0</v>
      </c>
      <c r="AY448" s="140">
        <v>0</v>
      </c>
      <c r="AZ448" s="140">
        <v>0</v>
      </c>
      <c r="BA448" s="140">
        <v>0</v>
      </c>
      <c r="BB448" s="140">
        <v>0</v>
      </c>
      <c r="BC448" s="140">
        <v>0</v>
      </c>
      <c r="BD448" s="140">
        <v>0</v>
      </c>
      <c r="BE448" s="140">
        <v>0</v>
      </c>
      <c r="BF448" s="140">
        <v>0</v>
      </c>
      <c r="BG448" s="140">
        <v>0</v>
      </c>
      <c r="BH448" s="140">
        <v>0</v>
      </c>
      <c r="BI448" s="140">
        <v>0</v>
      </c>
      <c r="BJ448" s="140">
        <v>0</v>
      </c>
      <c r="BK448" s="140">
        <v>0</v>
      </c>
      <c r="BL448" s="140">
        <v>0</v>
      </c>
      <c r="BM448" s="140">
        <v>0</v>
      </c>
      <c r="BN448" s="140">
        <v>0</v>
      </c>
      <c r="BO448" s="140">
        <v>0</v>
      </c>
      <c r="BQ448" s="89"/>
      <c r="BU448" s="89"/>
      <c r="BX448" s="43">
        <v>14</v>
      </c>
      <c r="BZ448" s="90">
        <f t="shared" si="37"/>
        <v>1</v>
      </c>
      <c r="CA448" s="90">
        <f t="shared" si="37"/>
        <v>1</v>
      </c>
      <c r="CT448" s="90">
        <f t="shared" si="31"/>
        <v>2</v>
      </c>
      <c r="CU448" s="90">
        <f t="shared" si="32"/>
        <v>2</v>
      </c>
    </row>
    <row r="449" spans="1:99" ht="12" customHeight="1">
      <c r="A449" s="43">
        <v>7122</v>
      </c>
      <c r="B449" s="89" t="s">
        <v>813</v>
      </c>
      <c r="C449" s="89" t="s">
        <v>1440</v>
      </c>
      <c r="D449" s="89" t="s">
        <v>1441</v>
      </c>
      <c r="F449" s="43">
        <v>527141</v>
      </c>
      <c r="G449" s="43">
        <v>177027</v>
      </c>
      <c r="H449" s="89" t="s">
        <v>177</v>
      </c>
      <c r="I449" s="125">
        <v>43921</v>
      </c>
      <c r="K449" s="140">
        <v>2</v>
      </c>
      <c r="L449" s="140">
        <v>1</v>
      </c>
      <c r="M449" s="140">
        <v>-1</v>
      </c>
      <c r="N449" s="140">
        <v>1</v>
      </c>
      <c r="O449" s="140">
        <v>-1</v>
      </c>
      <c r="Q449" s="89" t="s">
        <v>1442</v>
      </c>
      <c r="R449" s="43" t="s">
        <v>316</v>
      </c>
      <c r="S449" s="125">
        <v>43522</v>
      </c>
      <c r="T449" s="117">
        <v>43578</v>
      </c>
      <c r="U449" s="43" t="s">
        <v>329</v>
      </c>
      <c r="V449" s="43" t="s">
        <v>317</v>
      </c>
      <c r="X449" s="43" t="s">
        <v>318</v>
      </c>
      <c r="Y449" s="43" t="s">
        <v>319</v>
      </c>
      <c r="Z449" s="43" t="s">
        <v>320</v>
      </c>
      <c r="AA449" s="43" t="s">
        <v>22</v>
      </c>
      <c r="AB449" s="144">
        <v>2.0999999716877899E-2</v>
      </c>
      <c r="AC449" s="125">
        <v>43921</v>
      </c>
      <c r="AD449" s="43" t="s">
        <v>329</v>
      </c>
      <c r="AF449" s="43" t="s">
        <v>75</v>
      </c>
      <c r="AG449" s="43" t="s">
        <v>322</v>
      </c>
      <c r="AJ449" s="140">
        <v>0</v>
      </c>
      <c r="AK449" s="140">
        <v>0</v>
      </c>
      <c r="AL449" s="140">
        <v>0</v>
      </c>
      <c r="AM449" s="140">
        <v>0</v>
      </c>
      <c r="AN449" s="140">
        <v>-1</v>
      </c>
      <c r="AO449" s="140">
        <v>0</v>
      </c>
      <c r="AP449" s="140">
        <v>0</v>
      </c>
      <c r="AQ449" s="140">
        <v>-1</v>
      </c>
      <c r="AR449" s="140">
        <v>1</v>
      </c>
      <c r="AS449" s="140">
        <v>0</v>
      </c>
      <c r="AT449" s="140">
        <v>0</v>
      </c>
      <c r="AU449" s="140">
        <v>-1</v>
      </c>
      <c r="AV449" s="140">
        <v>0</v>
      </c>
      <c r="AW449" s="140">
        <v>0</v>
      </c>
      <c r="AX449" s="140">
        <v>-1</v>
      </c>
      <c r="AY449" s="140">
        <v>0</v>
      </c>
      <c r="AZ449" s="140">
        <v>0</v>
      </c>
      <c r="BA449" s="140">
        <v>0</v>
      </c>
      <c r="BB449" s="140">
        <v>0</v>
      </c>
      <c r="BC449" s="140">
        <v>0</v>
      </c>
      <c r="BD449" s="140">
        <v>0</v>
      </c>
      <c r="BE449" s="140">
        <v>0</v>
      </c>
      <c r="BF449" s="140">
        <v>1</v>
      </c>
      <c r="BG449" s="140">
        <v>0</v>
      </c>
      <c r="BH449" s="140">
        <v>0</v>
      </c>
      <c r="BI449" s="140">
        <v>0</v>
      </c>
      <c r="BJ449" s="140">
        <v>0</v>
      </c>
      <c r="BK449" s="140">
        <v>0</v>
      </c>
      <c r="BL449" s="140">
        <v>0</v>
      </c>
      <c r="BM449" s="140">
        <v>0</v>
      </c>
      <c r="BN449" s="140">
        <v>0</v>
      </c>
      <c r="BO449" s="140">
        <v>0</v>
      </c>
      <c r="BQ449" s="89"/>
      <c r="BU449" s="89"/>
      <c r="BX449" s="43">
        <v>14</v>
      </c>
      <c r="BZ449" s="90">
        <f t="shared" si="37"/>
        <v>-0.5</v>
      </c>
      <c r="CA449" s="90">
        <f t="shared" si="37"/>
        <v>-0.5</v>
      </c>
      <c r="CT449" s="90">
        <f t="shared" si="31"/>
        <v>-1</v>
      </c>
      <c r="CU449" s="90">
        <f t="shared" si="32"/>
        <v>-1</v>
      </c>
    </row>
    <row r="450" spans="1:99" ht="12" customHeight="1">
      <c r="A450" s="43">
        <v>7123</v>
      </c>
      <c r="B450" s="89" t="s">
        <v>813</v>
      </c>
      <c r="C450" s="89" t="s">
        <v>1443</v>
      </c>
      <c r="D450" s="89" t="s">
        <v>1444</v>
      </c>
      <c r="E450" s="89" t="s">
        <v>758</v>
      </c>
      <c r="F450" s="43">
        <v>527344</v>
      </c>
      <c r="G450" s="43">
        <v>171444</v>
      </c>
      <c r="H450" s="89" t="s">
        <v>141</v>
      </c>
      <c r="I450" s="125">
        <v>43726</v>
      </c>
      <c r="K450" s="140">
        <v>0</v>
      </c>
      <c r="L450" s="140">
        <v>2</v>
      </c>
      <c r="M450" s="140">
        <v>2</v>
      </c>
      <c r="N450" s="140">
        <v>3</v>
      </c>
      <c r="O450" s="140">
        <v>2</v>
      </c>
      <c r="Q450" s="89" t="s">
        <v>1445</v>
      </c>
      <c r="R450" s="43" t="s">
        <v>316</v>
      </c>
      <c r="S450" s="125">
        <v>43514</v>
      </c>
      <c r="T450" s="117">
        <v>43570</v>
      </c>
      <c r="U450" s="43" t="s">
        <v>329</v>
      </c>
      <c r="V450" s="43" t="s">
        <v>317</v>
      </c>
      <c r="X450" s="43" t="s">
        <v>318</v>
      </c>
      <c r="Y450" s="43" t="s">
        <v>319</v>
      </c>
      <c r="Z450" s="43" t="s">
        <v>320</v>
      </c>
      <c r="AA450" s="43" t="s">
        <v>20</v>
      </c>
      <c r="AB450" s="144">
        <v>7.0000002160668399E-3</v>
      </c>
      <c r="AC450" s="125">
        <v>43726</v>
      </c>
      <c r="AD450" s="43" t="s">
        <v>329</v>
      </c>
      <c r="AF450" s="43" t="s">
        <v>75</v>
      </c>
      <c r="AG450" s="43" t="s">
        <v>322</v>
      </c>
      <c r="AJ450" s="140">
        <v>0</v>
      </c>
      <c r="AK450" s="140">
        <v>0</v>
      </c>
      <c r="AL450" s="140">
        <v>0</v>
      </c>
      <c r="AM450" s="140">
        <v>0</v>
      </c>
      <c r="AN450" s="140">
        <v>0</v>
      </c>
      <c r="AO450" s="140">
        <v>1</v>
      </c>
      <c r="AP450" s="140">
        <v>1</v>
      </c>
      <c r="AQ450" s="140">
        <v>0</v>
      </c>
      <c r="AR450" s="140">
        <v>0</v>
      </c>
      <c r="AS450" s="140">
        <v>0</v>
      </c>
      <c r="AT450" s="140">
        <v>0</v>
      </c>
      <c r="AU450" s="140">
        <v>0</v>
      </c>
      <c r="AV450" s="140">
        <v>1</v>
      </c>
      <c r="AW450" s="140">
        <v>1</v>
      </c>
      <c r="AX450" s="140">
        <v>0</v>
      </c>
      <c r="AY450" s="140">
        <v>0</v>
      </c>
      <c r="AZ450" s="140">
        <v>0</v>
      </c>
      <c r="BA450" s="140">
        <v>0</v>
      </c>
      <c r="BB450" s="140">
        <v>0</v>
      </c>
      <c r="BC450" s="140">
        <v>0</v>
      </c>
      <c r="BD450" s="140">
        <v>0</v>
      </c>
      <c r="BE450" s="140">
        <v>0</v>
      </c>
      <c r="BF450" s="140">
        <v>0</v>
      </c>
      <c r="BG450" s="140">
        <v>0</v>
      </c>
      <c r="BH450" s="140">
        <v>0</v>
      </c>
      <c r="BI450" s="140">
        <v>0</v>
      </c>
      <c r="BJ450" s="140">
        <v>0</v>
      </c>
      <c r="BK450" s="140">
        <v>0</v>
      </c>
      <c r="BL450" s="140">
        <v>0</v>
      </c>
      <c r="BM450" s="140">
        <v>0</v>
      </c>
      <c r="BN450" s="140">
        <v>0</v>
      </c>
      <c r="BO450" s="140">
        <v>0</v>
      </c>
      <c r="BQ450" s="89"/>
      <c r="BU450" s="89"/>
      <c r="BX450" s="43">
        <v>13</v>
      </c>
      <c r="BZ450" s="90">
        <f>M450</f>
        <v>2</v>
      </c>
      <c r="CT450" s="90">
        <f t="shared" ref="CT450:CT513" si="38">SUM(BZ450:CD450)</f>
        <v>2</v>
      </c>
      <c r="CU450" s="90">
        <f t="shared" ref="CU450:CU513" si="39">SUM(BZ450:CI450)</f>
        <v>2</v>
      </c>
    </row>
    <row r="451" spans="1:99" ht="12" customHeight="1">
      <c r="A451" s="43">
        <v>7123</v>
      </c>
      <c r="B451" s="89" t="s">
        <v>813</v>
      </c>
      <c r="C451" s="89" t="s">
        <v>1443</v>
      </c>
      <c r="D451" s="89" t="s">
        <v>1444</v>
      </c>
      <c r="E451" s="89" t="s">
        <v>59</v>
      </c>
      <c r="F451" s="43">
        <v>527344</v>
      </c>
      <c r="G451" s="43">
        <v>171444</v>
      </c>
      <c r="H451" s="89" t="s">
        <v>141</v>
      </c>
      <c r="I451" s="125">
        <v>43726</v>
      </c>
      <c r="K451" s="140">
        <v>1</v>
      </c>
      <c r="L451" s="140">
        <v>1</v>
      </c>
      <c r="M451" s="140">
        <v>0</v>
      </c>
      <c r="N451" s="140">
        <v>3</v>
      </c>
      <c r="O451" s="140">
        <v>2</v>
      </c>
      <c r="Q451" s="89" t="s">
        <v>1445</v>
      </c>
      <c r="R451" s="43" t="s">
        <v>316</v>
      </c>
      <c r="S451" s="125">
        <v>43514</v>
      </c>
      <c r="T451" s="117">
        <v>43570</v>
      </c>
      <c r="U451" s="43" t="s">
        <v>329</v>
      </c>
      <c r="V451" s="43" t="s">
        <v>317</v>
      </c>
      <c r="X451" s="43" t="s">
        <v>318</v>
      </c>
      <c r="Y451" s="43" t="s">
        <v>319</v>
      </c>
      <c r="Z451" s="43" t="s">
        <v>320</v>
      </c>
      <c r="AA451" s="43" t="s">
        <v>353</v>
      </c>
      <c r="AB451" s="144">
        <v>6.0000000521540598E-3</v>
      </c>
      <c r="AC451" s="125">
        <v>43726</v>
      </c>
      <c r="AD451" s="43" t="s">
        <v>329</v>
      </c>
      <c r="AF451" s="43" t="s">
        <v>75</v>
      </c>
      <c r="AG451" s="43" t="s">
        <v>322</v>
      </c>
      <c r="AJ451" s="140">
        <v>0</v>
      </c>
      <c r="AK451" s="140">
        <v>0</v>
      </c>
      <c r="AL451" s="140">
        <v>0</v>
      </c>
      <c r="AM451" s="140">
        <v>0</v>
      </c>
      <c r="AN451" s="140">
        <v>0</v>
      </c>
      <c r="AO451" s="140">
        <v>0</v>
      </c>
      <c r="AP451" s="140">
        <v>0</v>
      </c>
      <c r="AQ451" s="140">
        <v>1</v>
      </c>
      <c r="AR451" s="140">
        <v>-1</v>
      </c>
      <c r="AS451" s="140">
        <v>0</v>
      </c>
      <c r="AT451" s="140">
        <v>0</v>
      </c>
      <c r="AU451" s="140">
        <v>0</v>
      </c>
      <c r="AV451" s="140">
        <v>0</v>
      </c>
      <c r="AW451" s="140">
        <v>0</v>
      </c>
      <c r="AX451" s="140">
        <v>1</v>
      </c>
      <c r="AY451" s="140">
        <v>0</v>
      </c>
      <c r="AZ451" s="140">
        <v>0</v>
      </c>
      <c r="BA451" s="140">
        <v>0</v>
      </c>
      <c r="BB451" s="140">
        <v>0</v>
      </c>
      <c r="BC451" s="140">
        <v>0</v>
      </c>
      <c r="BD451" s="140">
        <v>0</v>
      </c>
      <c r="BE451" s="140">
        <v>0</v>
      </c>
      <c r="BF451" s="140">
        <v>-1</v>
      </c>
      <c r="BG451" s="140">
        <v>0</v>
      </c>
      <c r="BH451" s="140">
        <v>0</v>
      </c>
      <c r="BI451" s="140">
        <v>0</v>
      </c>
      <c r="BJ451" s="140">
        <v>0</v>
      </c>
      <c r="BK451" s="140">
        <v>0</v>
      </c>
      <c r="BL451" s="140">
        <v>0</v>
      </c>
      <c r="BM451" s="140">
        <v>0</v>
      </c>
      <c r="BN451" s="140">
        <v>0</v>
      </c>
      <c r="BO451" s="140">
        <v>0</v>
      </c>
      <c r="BQ451" s="89"/>
      <c r="BU451" s="89"/>
      <c r="BX451" s="43">
        <v>13</v>
      </c>
      <c r="BZ451" s="90">
        <f>M451</f>
        <v>0</v>
      </c>
      <c r="CT451" s="90">
        <f t="shared" si="38"/>
        <v>0</v>
      </c>
      <c r="CU451" s="90">
        <f t="shared" si="39"/>
        <v>0</v>
      </c>
    </row>
    <row r="452" spans="1:99" ht="12" customHeight="1">
      <c r="A452" s="43">
        <v>7133</v>
      </c>
      <c r="B452" s="89" t="s">
        <v>813</v>
      </c>
      <c r="C452" s="89" t="s">
        <v>1446</v>
      </c>
      <c r="D452" s="89" t="s">
        <v>1447</v>
      </c>
      <c r="F452" s="43">
        <v>525906</v>
      </c>
      <c r="G452" s="43">
        <v>175010</v>
      </c>
      <c r="H452" s="89" t="s">
        <v>170</v>
      </c>
      <c r="I452" s="125">
        <v>43780</v>
      </c>
      <c r="K452" s="140">
        <v>1</v>
      </c>
      <c r="L452" s="140">
        <v>2</v>
      </c>
      <c r="M452" s="140">
        <v>1</v>
      </c>
      <c r="N452" s="140">
        <v>3</v>
      </c>
      <c r="O452" s="140">
        <v>2</v>
      </c>
      <c r="Q452" s="89" t="s">
        <v>1448</v>
      </c>
      <c r="R452" s="43" t="s">
        <v>316</v>
      </c>
      <c r="S452" s="125">
        <v>43543</v>
      </c>
      <c r="T452" s="117">
        <v>43607</v>
      </c>
      <c r="U452" s="43" t="s">
        <v>329</v>
      </c>
      <c r="V452" s="43" t="s">
        <v>317</v>
      </c>
      <c r="X452" s="43" t="s">
        <v>318</v>
      </c>
      <c r="Y452" s="43" t="s">
        <v>319</v>
      </c>
      <c r="Z452" s="43" t="s">
        <v>320</v>
      </c>
      <c r="AA452" s="43" t="s">
        <v>340</v>
      </c>
      <c r="AB452" s="144">
        <v>4.0000001899898104E-3</v>
      </c>
      <c r="AC452" s="125">
        <v>43780</v>
      </c>
      <c r="AD452" s="43" t="s">
        <v>329</v>
      </c>
      <c r="AF452" s="43" t="s">
        <v>75</v>
      </c>
      <c r="AG452" s="43" t="s">
        <v>322</v>
      </c>
      <c r="AJ452" s="140">
        <v>0</v>
      </c>
      <c r="AK452" s="140">
        <v>0</v>
      </c>
      <c r="AL452" s="140">
        <v>0</v>
      </c>
      <c r="AM452" s="140">
        <v>0</v>
      </c>
      <c r="AN452" s="140">
        <v>0</v>
      </c>
      <c r="AO452" s="140">
        <v>2</v>
      </c>
      <c r="AP452" s="140">
        <v>-1</v>
      </c>
      <c r="AQ452" s="140">
        <v>0</v>
      </c>
      <c r="AR452" s="140">
        <v>0</v>
      </c>
      <c r="AS452" s="140">
        <v>0</v>
      </c>
      <c r="AT452" s="140">
        <v>0</v>
      </c>
      <c r="AU452" s="140">
        <v>0</v>
      </c>
      <c r="AV452" s="140">
        <v>2</v>
      </c>
      <c r="AW452" s="140">
        <v>-1</v>
      </c>
      <c r="AX452" s="140">
        <v>0</v>
      </c>
      <c r="AY452" s="140">
        <v>0</v>
      </c>
      <c r="AZ452" s="140">
        <v>0</v>
      </c>
      <c r="BA452" s="140">
        <v>0</v>
      </c>
      <c r="BB452" s="140">
        <v>0</v>
      </c>
      <c r="BC452" s="140">
        <v>0</v>
      </c>
      <c r="BD452" s="140">
        <v>0</v>
      </c>
      <c r="BE452" s="140">
        <v>0</v>
      </c>
      <c r="BF452" s="140">
        <v>0</v>
      </c>
      <c r="BG452" s="140">
        <v>0</v>
      </c>
      <c r="BH452" s="140">
        <v>0</v>
      </c>
      <c r="BI452" s="140">
        <v>0</v>
      </c>
      <c r="BJ452" s="140">
        <v>0</v>
      </c>
      <c r="BK452" s="140">
        <v>0</v>
      </c>
      <c r="BL452" s="140">
        <v>0</v>
      </c>
      <c r="BM452" s="140">
        <v>0</v>
      </c>
      <c r="BN452" s="140">
        <v>0</v>
      </c>
      <c r="BO452" s="140">
        <v>0</v>
      </c>
      <c r="BQ452" s="89"/>
      <c r="BR452" s="43" t="s">
        <v>329</v>
      </c>
      <c r="BU452" s="89"/>
      <c r="BX452" s="43">
        <v>14</v>
      </c>
      <c r="BZ452" s="90">
        <f t="shared" ref="BZ452:CA454" si="40">$M452/2</f>
        <v>0.5</v>
      </c>
      <c r="CA452" s="90">
        <f t="shared" si="40"/>
        <v>0.5</v>
      </c>
      <c r="CT452" s="90">
        <f t="shared" si="38"/>
        <v>1</v>
      </c>
      <c r="CU452" s="90">
        <f t="shared" si="39"/>
        <v>1</v>
      </c>
    </row>
    <row r="453" spans="1:99" ht="12" customHeight="1">
      <c r="A453" s="43">
        <v>7133</v>
      </c>
      <c r="B453" s="89" t="s">
        <v>813</v>
      </c>
      <c r="C453" s="89" t="s">
        <v>1446</v>
      </c>
      <c r="D453" s="89" t="s">
        <v>1447</v>
      </c>
      <c r="F453" s="43">
        <v>525906</v>
      </c>
      <c r="G453" s="43">
        <v>175010</v>
      </c>
      <c r="H453" s="89" t="s">
        <v>170</v>
      </c>
      <c r="I453" s="125">
        <v>43780</v>
      </c>
      <c r="K453" s="140">
        <v>0</v>
      </c>
      <c r="L453" s="140">
        <v>1</v>
      </c>
      <c r="M453" s="140">
        <v>1</v>
      </c>
      <c r="N453" s="140">
        <v>3</v>
      </c>
      <c r="O453" s="140">
        <v>2</v>
      </c>
      <c r="Q453" s="89" t="s">
        <v>1448</v>
      </c>
      <c r="R453" s="43" t="s">
        <v>316</v>
      </c>
      <c r="S453" s="125">
        <v>43543</v>
      </c>
      <c r="T453" s="117">
        <v>43607</v>
      </c>
      <c r="U453" s="43" t="s">
        <v>329</v>
      </c>
      <c r="V453" s="43" t="s">
        <v>317</v>
      </c>
      <c r="X453" s="43" t="s">
        <v>318</v>
      </c>
      <c r="Y453" s="43" t="s">
        <v>319</v>
      </c>
      <c r="Z453" s="43" t="s">
        <v>320</v>
      </c>
      <c r="AA453" s="43" t="s">
        <v>321</v>
      </c>
      <c r="AB453" s="144">
        <v>3.0000000260770299E-3</v>
      </c>
      <c r="AC453" s="125">
        <v>43780</v>
      </c>
      <c r="AD453" s="43" t="s">
        <v>329</v>
      </c>
      <c r="AF453" s="43" t="s">
        <v>75</v>
      </c>
      <c r="AG453" s="43" t="s">
        <v>322</v>
      </c>
      <c r="AJ453" s="140">
        <v>0</v>
      </c>
      <c r="AK453" s="140">
        <v>0</v>
      </c>
      <c r="AL453" s="140">
        <v>0</v>
      </c>
      <c r="AM453" s="140">
        <v>0</v>
      </c>
      <c r="AN453" s="140">
        <v>0</v>
      </c>
      <c r="AO453" s="140">
        <v>0</v>
      </c>
      <c r="AP453" s="140">
        <v>1</v>
      </c>
      <c r="AQ453" s="140">
        <v>0</v>
      </c>
      <c r="AR453" s="140">
        <v>0</v>
      </c>
      <c r="AS453" s="140">
        <v>0</v>
      </c>
      <c r="AT453" s="140">
        <v>0</v>
      </c>
      <c r="AU453" s="140">
        <v>0</v>
      </c>
      <c r="AV453" s="140">
        <v>0</v>
      </c>
      <c r="AW453" s="140">
        <v>1</v>
      </c>
      <c r="AX453" s="140">
        <v>0</v>
      </c>
      <c r="AY453" s="140">
        <v>0</v>
      </c>
      <c r="AZ453" s="140">
        <v>0</v>
      </c>
      <c r="BA453" s="140">
        <v>0</v>
      </c>
      <c r="BB453" s="140">
        <v>0</v>
      </c>
      <c r="BC453" s="140">
        <v>0</v>
      </c>
      <c r="BD453" s="140">
        <v>0</v>
      </c>
      <c r="BE453" s="140">
        <v>0</v>
      </c>
      <c r="BF453" s="140">
        <v>0</v>
      </c>
      <c r="BG453" s="140">
        <v>0</v>
      </c>
      <c r="BH453" s="140">
        <v>0</v>
      </c>
      <c r="BI453" s="140">
        <v>0</v>
      </c>
      <c r="BJ453" s="140">
        <v>0</v>
      </c>
      <c r="BK453" s="140">
        <v>0</v>
      </c>
      <c r="BL453" s="140">
        <v>0</v>
      </c>
      <c r="BM453" s="140">
        <v>0</v>
      </c>
      <c r="BN453" s="140">
        <v>0</v>
      </c>
      <c r="BO453" s="140">
        <v>0</v>
      </c>
      <c r="BQ453" s="89"/>
      <c r="BR453" s="43" t="s">
        <v>329</v>
      </c>
      <c r="BU453" s="89"/>
      <c r="BX453" s="43">
        <v>14</v>
      </c>
      <c r="BZ453" s="90">
        <f t="shared" si="40"/>
        <v>0.5</v>
      </c>
      <c r="CA453" s="90">
        <f t="shared" si="40"/>
        <v>0.5</v>
      </c>
      <c r="CT453" s="90">
        <f t="shared" si="38"/>
        <v>1</v>
      </c>
      <c r="CU453" s="90">
        <f t="shared" si="39"/>
        <v>1</v>
      </c>
    </row>
    <row r="454" spans="1:99" ht="12" customHeight="1">
      <c r="A454" s="43">
        <v>7139</v>
      </c>
      <c r="B454" s="89" t="s">
        <v>813</v>
      </c>
      <c r="C454" s="89" t="s">
        <v>1449</v>
      </c>
      <c r="D454" s="89" t="s">
        <v>1450</v>
      </c>
      <c r="F454" s="43">
        <v>524123</v>
      </c>
      <c r="G454" s="43">
        <v>175170</v>
      </c>
      <c r="H454" s="89" t="s">
        <v>178</v>
      </c>
      <c r="I454" s="125">
        <v>43921</v>
      </c>
      <c r="K454" s="140">
        <v>1</v>
      </c>
      <c r="L454" s="140">
        <v>5</v>
      </c>
      <c r="M454" s="140">
        <v>4</v>
      </c>
      <c r="N454" s="140">
        <v>5</v>
      </c>
      <c r="O454" s="140">
        <v>4</v>
      </c>
      <c r="Q454" s="89" t="s">
        <v>1451</v>
      </c>
      <c r="R454" s="43" t="s">
        <v>316</v>
      </c>
      <c r="S454" s="125">
        <v>43532</v>
      </c>
      <c r="T454" s="117">
        <v>43700</v>
      </c>
      <c r="U454" s="43" t="s">
        <v>329</v>
      </c>
      <c r="V454" s="43" t="s">
        <v>317</v>
      </c>
      <c r="X454" s="43" t="s">
        <v>318</v>
      </c>
      <c r="Y454" s="43" t="s">
        <v>348</v>
      </c>
      <c r="Z454" s="43" t="s">
        <v>320</v>
      </c>
      <c r="AA454" s="43" t="s">
        <v>20</v>
      </c>
      <c r="AB454" s="144">
        <v>3.20000015199184E-2</v>
      </c>
      <c r="AC454" s="125">
        <v>43921</v>
      </c>
      <c r="AD454" s="43" t="s">
        <v>329</v>
      </c>
      <c r="AF454" s="43" t="s">
        <v>75</v>
      </c>
      <c r="AG454" s="43" t="s">
        <v>322</v>
      </c>
      <c r="AJ454" s="140">
        <v>0</v>
      </c>
      <c r="AK454" s="140">
        <v>0</v>
      </c>
      <c r="AL454" s="140">
        <v>0</v>
      </c>
      <c r="AM454" s="140">
        <v>0</v>
      </c>
      <c r="AN454" s="140">
        <v>0</v>
      </c>
      <c r="AO454" s="140">
        <v>1</v>
      </c>
      <c r="AP454" s="140">
        <v>2</v>
      </c>
      <c r="AQ454" s="140">
        <v>2</v>
      </c>
      <c r="AR454" s="140">
        <v>0</v>
      </c>
      <c r="AS454" s="140">
        <v>-1</v>
      </c>
      <c r="AT454" s="140">
        <v>0</v>
      </c>
      <c r="AU454" s="140">
        <v>0</v>
      </c>
      <c r="AV454" s="140">
        <v>1</v>
      </c>
      <c r="AW454" s="140">
        <v>2</v>
      </c>
      <c r="AX454" s="140">
        <v>2</v>
      </c>
      <c r="AY454" s="140">
        <v>0</v>
      </c>
      <c r="AZ454" s="140">
        <v>0</v>
      </c>
      <c r="BA454" s="140">
        <v>0</v>
      </c>
      <c r="BB454" s="140">
        <v>0</v>
      </c>
      <c r="BC454" s="140">
        <v>0</v>
      </c>
      <c r="BD454" s="140">
        <v>0</v>
      </c>
      <c r="BE454" s="140">
        <v>0</v>
      </c>
      <c r="BF454" s="140">
        <v>0</v>
      </c>
      <c r="BG454" s="140">
        <v>-1</v>
      </c>
      <c r="BH454" s="140">
        <v>0</v>
      </c>
      <c r="BI454" s="140">
        <v>0</v>
      </c>
      <c r="BJ454" s="140">
        <v>0</v>
      </c>
      <c r="BK454" s="140">
        <v>0</v>
      </c>
      <c r="BL454" s="140">
        <v>0</v>
      </c>
      <c r="BM454" s="140">
        <v>0</v>
      </c>
      <c r="BN454" s="140">
        <v>0</v>
      </c>
      <c r="BO454" s="140">
        <v>0</v>
      </c>
      <c r="BQ454" s="89"/>
      <c r="BU454" s="89"/>
      <c r="BX454" s="43">
        <v>14</v>
      </c>
      <c r="BZ454" s="90">
        <f t="shared" si="40"/>
        <v>2</v>
      </c>
      <c r="CA454" s="90">
        <f t="shared" si="40"/>
        <v>2</v>
      </c>
      <c r="CT454" s="90">
        <f t="shared" si="38"/>
        <v>4</v>
      </c>
      <c r="CU454" s="90">
        <f t="shared" si="39"/>
        <v>4</v>
      </c>
    </row>
    <row r="455" spans="1:99" ht="12" customHeight="1">
      <c r="A455" s="43">
        <v>7140</v>
      </c>
      <c r="B455" s="89" t="s">
        <v>813</v>
      </c>
      <c r="C455" s="89" t="s">
        <v>1452</v>
      </c>
      <c r="D455" s="89" t="s">
        <v>1453</v>
      </c>
      <c r="F455" s="43">
        <v>526129</v>
      </c>
      <c r="G455" s="43">
        <v>172841</v>
      </c>
      <c r="H455" s="89" t="s">
        <v>168</v>
      </c>
      <c r="I455" s="125">
        <v>43678</v>
      </c>
      <c r="K455" s="140">
        <v>1</v>
      </c>
      <c r="L455" s="140">
        <v>2</v>
      </c>
      <c r="M455" s="140">
        <v>1</v>
      </c>
      <c r="N455" s="140">
        <v>2</v>
      </c>
      <c r="O455" s="140">
        <v>1</v>
      </c>
      <c r="Q455" s="89" t="s">
        <v>1454</v>
      </c>
      <c r="R455" s="43" t="s">
        <v>316</v>
      </c>
      <c r="S455" s="125">
        <v>43545</v>
      </c>
      <c r="T455" s="117">
        <v>43664</v>
      </c>
      <c r="U455" s="43" t="s">
        <v>329</v>
      </c>
      <c r="V455" s="43" t="s">
        <v>317</v>
      </c>
      <c r="X455" s="43" t="s">
        <v>318</v>
      </c>
      <c r="Y455" s="43" t="s">
        <v>348</v>
      </c>
      <c r="Z455" s="43" t="s">
        <v>320</v>
      </c>
      <c r="AA455" s="43" t="s">
        <v>321</v>
      </c>
      <c r="AB455" s="144">
        <v>4.0000001899898104E-3</v>
      </c>
      <c r="AC455" s="125">
        <v>43678</v>
      </c>
      <c r="AD455" s="43" t="s">
        <v>329</v>
      </c>
      <c r="AF455" s="43" t="s">
        <v>75</v>
      </c>
      <c r="AG455" s="43" t="s">
        <v>322</v>
      </c>
      <c r="AJ455" s="140">
        <v>0</v>
      </c>
      <c r="AK455" s="140">
        <v>0</v>
      </c>
      <c r="AL455" s="140">
        <v>0</v>
      </c>
      <c r="AM455" s="140">
        <v>0</v>
      </c>
      <c r="AN455" s="140">
        <v>0</v>
      </c>
      <c r="AO455" s="140">
        <v>2</v>
      </c>
      <c r="AP455" s="140">
        <v>0</v>
      </c>
      <c r="AQ455" s="140">
        <v>-1</v>
      </c>
      <c r="AR455" s="140">
        <v>0</v>
      </c>
      <c r="AS455" s="140">
        <v>0</v>
      </c>
      <c r="AT455" s="140">
        <v>0</v>
      </c>
      <c r="AU455" s="140">
        <v>0</v>
      </c>
      <c r="AV455" s="140">
        <v>2</v>
      </c>
      <c r="AW455" s="140">
        <v>0</v>
      </c>
      <c r="AX455" s="140">
        <v>-1</v>
      </c>
      <c r="AY455" s="140">
        <v>0</v>
      </c>
      <c r="AZ455" s="140">
        <v>0</v>
      </c>
      <c r="BA455" s="140">
        <v>0</v>
      </c>
      <c r="BB455" s="140">
        <v>0</v>
      </c>
      <c r="BC455" s="140">
        <v>0</v>
      </c>
      <c r="BD455" s="140">
        <v>0</v>
      </c>
      <c r="BE455" s="140">
        <v>0</v>
      </c>
      <c r="BF455" s="140">
        <v>0</v>
      </c>
      <c r="BG455" s="140">
        <v>0</v>
      </c>
      <c r="BH455" s="140">
        <v>0</v>
      </c>
      <c r="BI455" s="140">
        <v>0</v>
      </c>
      <c r="BJ455" s="140">
        <v>0</v>
      </c>
      <c r="BK455" s="140">
        <v>0</v>
      </c>
      <c r="BL455" s="140">
        <v>0</v>
      </c>
      <c r="BM455" s="140">
        <v>0</v>
      </c>
      <c r="BN455" s="140">
        <v>0</v>
      </c>
      <c r="BO455" s="140">
        <v>0</v>
      </c>
      <c r="BQ455" s="89"/>
      <c r="BU455" s="89"/>
      <c r="BX455" s="43">
        <v>13</v>
      </c>
      <c r="BZ455" s="90">
        <f>M455</f>
        <v>1</v>
      </c>
      <c r="CT455" s="90">
        <f t="shared" si="38"/>
        <v>1</v>
      </c>
      <c r="CU455" s="90">
        <f t="shared" si="39"/>
        <v>1</v>
      </c>
    </row>
    <row r="456" spans="1:99" ht="12" customHeight="1">
      <c r="A456" s="43">
        <v>7151</v>
      </c>
      <c r="B456" s="89" t="s">
        <v>813</v>
      </c>
      <c r="C456" s="89" t="s">
        <v>1455</v>
      </c>
      <c r="D456" s="89" t="s">
        <v>1456</v>
      </c>
      <c r="F456" s="43">
        <v>528927</v>
      </c>
      <c r="G456" s="43">
        <v>173545</v>
      </c>
      <c r="H456" s="89" t="s">
        <v>138</v>
      </c>
      <c r="I456" s="125">
        <v>43724</v>
      </c>
      <c r="K456" s="140">
        <v>0</v>
      </c>
      <c r="L456" s="140">
        <v>1</v>
      </c>
      <c r="M456" s="140">
        <v>1</v>
      </c>
      <c r="N456" s="140">
        <v>1</v>
      </c>
      <c r="O456" s="140">
        <v>1</v>
      </c>
      <c r="Q456" s="89" t="s">
        <v>1457</v>
      </c>
      <c r="R456" s="43" t="s">
        <v>392</v>
      </c>
      <c r="S456" s="125">
        <v>43300</v>
      </c>
      <c r="T456" s="117">
        <v>43622</v>
      </c>
      <c r="U456" s="43" t="s">
        <v>329</v>
      </c>
      <c r="V456" s="43" t="s">
        <v>317</v>
      </c>
      <c r="X456" s="43" t="s">
        <v>318</v>
      </c>
      <c r="Y456" s="43" t="s">
        <v>361</v>
      </c>
      <c r="Z456" s="43" t="s">
        <v>320</v>
      </c>
      <c r="AA456" s="43" t="s">
        <v>353</v>
      </c>
      <c r="AB456" s="144">
        <v>1.60000007599592E-2</v>
      </c>
      <c r="AC456" s="125">
        <v>43724</v>
      </c>
      <c r="AD456" s="43" t="s">
        <v>329</v>
      </c>
      <c r="AF456" s="43" t="s">
        <v>75</v>
      </c>
      <c r="AG456" s="43" t="s">
        <v>322</v>
      </c>
      <c r="AJ456" s="140">
        <v>0</v>
      </c>
      <c r="AK456" s="140">
        <v>0</v>
      </c>
      <c r="AL456" s="140">
        <v>0</v>
      </c>
      <c r="AM456" s="140">
        <v>0</v>
      </c>
      <c r="AN456" s="140">
        <v>0</v>
      </c>
      <c r="AO456" s="140">
        <v>1</v>
      </c>
      <c r="AP456" s="140">
        <v>0</v>
      </c>
      <c r="AQ456" s="140">
        <v>0</v>
      </c>
      <c r="AR456" s="140">
        <v>0</v>
      </c>
      <c r="AS456" s="140">
        <v>0</v>
      </c>
      <c r="AT456" s="140">
        <v>0</v>
      </c>
      <c r="AU456" s="140">
        <v>0</v>
      </c>
      <c r="AV456" s="140">
        <v>1</v>
      </c>
      <c r="AW456" s="140">
        <v>0</v>
      </c>
      <c r="AX456" s="140">
        <v>0</v>
      </c>
      <c r="AY456" s="140">
        <v>0</v>
      </c>
      <c r="AZ456" s="140">
        <v>0</v>
      </c>
      <c r="BA456" s="140">
        <v>0</v>
      </c>
      <c r="BB456" s="140">
        <v>0</v>
      </c>
      <c r="BC456" s="140">
        <v>0</v>
      </c>
      <c r="BD456" s="140">
        <v>0</v>
      </c>
      <c r="BE456" s="140">
        <v>0</v>
      </c>
      <c r="BF456" s="140">
        <v>0</v>
      </c>
      <c r="BG456" s="140">
        <v>0</v>
      </c>
      <c r="BH456" s="140">
        <v>0</v>
      </c>
      <c r="BI456" s="140">
        <v>0</v>
      </c>
      <c r="BJ456" s="140">
        <v>0</v>
      </c>
      <c r="BK456" s="140">
        <v>0</v>
      </c>
      <c r="BL456" s="140">
        <v>0</v>
      </c>
      <c r="BM456" s="140">
        <v>0</v>
      </c>
      <c r="BN456" s="140">
        <v>0</v>
      </c>
      <c r="BO456" s="140">
        <v>0</v>
      </c>
      <c r="BQ456" s="89"/>
      <c r="BU456" s="89"/>
      <c r="BX456" s="43">
        <v>2</v>
      </c>
      <c r="BZ456" s="90">
        <f>M456</f>
        <v>1</v>
      </c>
      <c r="CT456" s="90">
        <f t="shared" si="38"/>
        <v>1</v>
      </c>
      <c r="CU456" s="90">
        <f t="shared" si="39"/>
        <v>1</v>
      </c>
    </row>
    <row r="457" spans="1:99" ht="12" customHeight="1">
      <c r="A457" s="43">
        <v>7158</v>
      </c>
      <c r="B457" s="89" t="s">
        <v>813</v>
      </c>
      <c r="C457" s="89" t="s">
        <v>1458</v>
      </c>
      <c r="D457" s="89" t="s">
        <v>1459</v>
      </c>
      <c r="F457" s="43">
        <v>526237</v>
      </c>
      <c r="G457" s="43">
        <v>173943</v>
      </c>
      <c r="H457" s="89" t="s">
        <v>179</v>
      </c>
      <c r="I457" s="125">
        <v>43663</v>
      </c>
      <c r="K457" s="140">
        <v>1</v>
      </c>
      <c r="L457" s="140">
        <v>3</v>
      </c>
      <c r="M457" s="140">
        <v>2</v>
      </c>
      <c r="N457" s="140">
        <v>3</v>
      </c>
      <c r="O457" s="140">
        <v>2</v>
      </c>
      <c r="Q457" s="89" t="s">
        <v>1460</v>
      </c>
      <c r="R457" s="43" t="s">
        <v>316</v>
      </c>
      <c r="S457" s="125">
        <v>43556</v>
      </c>
      <c r="T457" s="117">
        <v>43626</v>
      </c>
      <c r="U457" s="43" t="s">
        <v>329</v>
      </c>
      <c r="V457" s="43" t="s">
        <v>317</v>
      </c>
      <c r="X457" s="43" t="s">
        <v>318</v>
      </c>
      <c r="Y457" s="43" t="s">
        <v>361</v>
      </c>
      <c r="Z457" s="43" t="s">
        <v>320</v>
      </c>
      <c r="AA457" s="43" t="s">
        <v>353</v>
      </c>
      <c r="AB457" s="144">
        <v>1.7999999225139601E-2</v>
      </c>
      <c r="AC457" s="125">
        <v>43663</v>
      </c>
      <c r="AD457" s="43" t="s">
        <v>329</v>
      </c>
      <c r="AF457" s="43" t="s">
        <v>75</v>
      </c>
      <c r="AG457" s="43" t="s">
        <v>322</v>
      </c>
      <c r="AJ457" s="140">
        <v>0</v>
      </c>
      <c r="AK457" s="140">
        <v>0</v>
      </c>
      <c r="AL457" s="140">
        <v>0</v>
      </c>
      <c r="AM457" s="140">
        <v>0</v>
      </c>
      <c r="AN457" s="140">
        <v>0</v>
      </c>
      <c r="AO457" s="140">
        <v>2</v>
      </c>
      <c r="AP457" s="140">
        <v>1</v>
      </c>
      <c r="AQ457" s="140">
        <v>-1</v>
      </c>
      <c r="AR457" s="140">
        <v>0</v>
      </c>
      <c r="AS457" s="140">
        <v>0</v>
      </c>
      <c r="AT457" s="140">
        <v>0</v>
      </c>
      <c r="AU457" s="140">
        <v>0</v>
      </c>
      <c r="AV457" s="140">
        <v>2</v>
      </c>
      <c r="AW457" s="140">
        <v>1</v>
      </c>
      <c r="AX457" s="140">
        <v>0</v>
      </c>
      <c r="AY457" s="140">
        <v>0</v>
      </c>
      <c r="AZ457" s="140">
        <v>0</v>
      </c>
      <c r="BA457" s="140">
        <v>0</v>
      </c>
      <c r="BB457" s="140">
        <v>0</v>
      </c>
      <c r="BC457" s="140">
        <v>0</v>
      </c>
      <c r="BD457" s="140">
        <v>0</v>
      </c>
      <c r="BE457" s="140">
        <v>-1</v>
      </c>
      <c r="BF457" s="140">
        <v>0</v>
      </c>
      <c r="BG457" s="140">
        <v>0</v>
      </c>
      <c r="BH457" s="140">
        <v>0</v>
      </c>
      <c r="BI457" s="140">
        <v>0</v>
      </c>
      <c r="BJ457" s="140">
        <v>0</v>
      </c>
      <c r="BK457" s="140">
        <v>0</v>
      </c>
      <c r="BL457" s="140">
        <v>0</v>
      </c>
      <c r="BM457" s="140">
        <v>0</v>
      </c>
      <c r="BN457" s="140">
        <v>0</v>
      </c>
      <c r="BO457" s="140">
        <v>0</v>
      </c>
      <c r="BQ457" s="89"/>
      <c r="BU457" s="89"/>
      <c r="BX457" s="43">
        <v>2</v>
      </c>
      <c r="BZ457" s="90">
        <f>M457</f>
        <v>2</v>
      </c>
      <c r="CT457" s="90">
        <f t="shared" si="38"/>
        <v>2</v>
      </c>
      <c r="CU457" s="90">
        <f t="shared" si="39"/>
        <v>2</v>
      </c>
    </row>
    <row r="458" spans="1:99" ht="12" customHeight="1">
      <c r="A458" s="43">
        <v>7159</v>
      </c>
      <c r="B458" s="89" t="s">
        <v>813</v>
      </c>
      <c r="C458" s="89" t="s">
        <v>1461</v>
      </c>
      <c r="D458" s="89" t="s">
        <v>1462</v>
      </c>
      <c r="F458" s="43">
        <v>527166</v>
      </c>
      <c r="G458" s="43">
        <v>171490</v>
      </c>
      <c r="H458" s="89" t="s">
        <v>141</v>
      </c>
      <c r="I458" s="125">
        <v>43760</v>
      </c>
      <c r="K458" s="140">
        <v>1</v>
      </c>
      <c r="L458" s="140">
        <v>4</v>
      </c>
      <c r="M458" s="140">
        <v>3</v>
      </c>
      <c r="N458" s="140">
        <v>4</v>
      </c>
      <c r="O458" s="140">
        <v>3</v>
      </c>
      <c r="Q458" s="89" t="s">
        <v>1463</v>
      </c>
      <c r="R458" s="43" t="s">
        <v>316</v>
      </c>
      <c r="S458" s="125">
        <v>43588</v>
      </c>
      <c r="T458" s="117">
        <v>43649</v>
      </c>
      <c r="U458" s="43" t="s">
        <v>329</v>
      </c>
      <c r="V458" s="43" t="s">
        <v>317</v>
      </c>
      <c r="X458" s="43" t="s">
        <v>318</v>
      </c>
      <c r="Y458" s="43" t="s">
        <v>348</v>
      </c>
      <c r="Z458" s="43" t="s">
        <v>320</v>
      </c>
      <c r="AA458" s="43" t="s">
        <v>20</v>
      </c>
      <c r="AB458" s="144">
        <v>1.30000002682209E-2</v>
      </c>
      <c r="AC458" s="125">
        <v>43760</v>
      </c>
      <c r="AD458" s="43" t="s">
        <v>329</v>
      </c>
      <c r="AF458" s="43" t="s">
        <v>75</v>
      </c>
      <c r="AG458" s="43" t="s">
        <v>322</v>
      </c>
      <c r="AJ458" s="140">
        <v>0</v>
      </c>
      <c r="AK458" s="140">
        <v>0</v>
      </c>
      <c r="AL458" s="140">
        <v>0</v>
      </c>
      <c r="AM458" s="140">
        <v>0</v>
      </c>
      <c r="AN458" s="140">
        <v>1</v>
      </c>
      <c r="AO458" s="140">
        <v>1</v>
      </c>
      <c r="AP458" s="140">
        <v>1</v>
      </c>
      <c r="AQ458" s="140">
        <v>1</v>
      </c>
      <c r="AR458" s="140">
        <v>0</v>
      </c>
      <c r="AS458" s="140">
        <v>-1</v>
      </c>
      <c r="AT458" s="140">
        <v>0</v>
      </c>
      <c r="AU458" s="140">
        <v>1</v>
      </c>
      <c r="AV458" s="140">
        <v>1</v>
      </c>
      <c r="AW458" s="140">
        <v>1</v>
      </c>
      <c r="AX458" s="140">
        <v>1</v>
      </c>
      <c r="AY458" s="140">
        <v>0</v>
      </c>
      <c r="AZ458" s="140">
        <v>0</v>
      </c>
      <c r="BA458" s="140">
        <v>0</v>
      </c>
      <c r="BB458" s="140">
        <v>0</v>
      </c>
      <c r="BC458" s="140">
        <v>0</v>
      </c>
      <c r="BD458" s="140">
        <v>0</v>
      </c>
      <c r="BE458" s="140">
        <v>0</v>
      </c>
      <c r="BF458" s="140">
        <v>0</v>
      </c>
      <c r="BG458" s="140">
        <v>-1</v>
      </c>
      <c r="BH458" s="140">
        <v>0</v>
      </c>
      <c r="BI458" s="140">
        <v>0</v>
      </c>
      <c r="BJ458" s="140">
        <v>0</v>
      </c>
      <c r="BK458" s="140">
        <v>0</v>
      </c>
      <c r="BL458" s="140">
        <v>0</v>
      </c>
      <c r="BM458" s="140">
        <v>0</v>
      </c>
      <c r="BN458" s="140">
        <v>0</v>
      </c>
      <c r="BO458" s="140">
        <v>0</v>
      </c>
      <c r="BQ458" s="89"/>
      <c r="BU458" s="89"/>
      <c r="BX458" s="43">
        <v>14</v>
      </c>
      <c r="BZ458" s="90">
        <f t="shared" ref="BZ458:CA475" si="41">$M458/2</f>
        <v>1.5</v>
      </c>
      <c r="CA458" s="90">
        <f t="shared" si="41"/>
        <v>1.5</v>
      </c>
      <c r="CT458" s="90">
        <f t="shared" si="38"/>
        <v>3</v>
      </c>
      <c r="CU458" s="90">
        <f t="shared" si="39"/>
        <v>3</v>
      </c>
    </row>
    <row r="459" spans="1:99" ht="12" customHeight="1">
      <c r="A459" s="43">
        <v>7165</v>
      </c>
      <c r="B459" s="89" t="s">
        <v>813</v>
      </c>
      <c r="C459" s="89" t="s">
        <v>1464</v>
      </c>
      <c r="D459" s="89" t="s">
        <v>1465</v>
      </c>
      <c r="F459" s="43">
        <v>528584</v>
      </c>
      <c r="G459" s="43">
        <v>173976</v>
      </c>
      <c r="H459" s="89" t="s">
        <v>138</v>
      </c>
      <c r="I459" s="125">
        <v>43784</v>
      </c>
      <c r="K459" s="140">
        <v>0</v>
      </c>
      <c r="L459" s="140">
        <v>1</v>
      </c>
      <c r="M459" s="140">
        <v>1</v>
      </c>
      <c r="N459" s="140">
        <v>1</v>
      </c>
      <c r="O459" s="140">
        <v>1</v>
      </c>
      <c r="Q459" s="89" t="s">
        <v>1466</v>
      </c>
      <c r="R459" s="43" t="s">
        <v>316</v>
      </c>
      <c r="S459" s="125">
        <v>43614</v>
      </c>
      <c r="T459" s="117">
        <v>43728</v>
      </c>
      <c r="U459" s="43" t="s">
        <v>329</v>
      </c>
      <c r="V459" s="43" t="s">
        <v>317</v>
      </c>
      <c r="X459" s="43" t="s">
        <v>318</v>
      </c>
      <c r="Y459" s="43" t="s">
        <v>379</v>
      </c>
      <c r="Z459" s="43" t="s">
        <v>320</v>
      </c>
      <c r="AA459" s="43" t="s">
        <v>340</v>
      </c>
      <c r="AB459" s="144">
        <v>4.9999998882412902E-3</v>
      </c>
      <c r="AC459" s="125">
        <v>43784</v>
      </c>
      <c r="AD459" s="43" t="s">
        <v>329</v>
      </c>
      <c r="AF459" s="43" t="s">
        <v>75</v>
      </c>
      <c r="AG459" s="43" t="s">
        <v>322</v>
      </c>
      <c r="AJ459" s="140">
        <v>0</v>
      </c>
      <c r="AK459" s="140">
        <v>0</v>
      </c>
      <c r="AL459" s="140">
        <v>0</v>
      </c>
      <c r="AM459" s="140">
        <v>0</v>
      </c>
      <c r="AN459" s="140">
        <v>0</v>
      </c>
      <c r="AO459" s="140">
        <v>1</v>
      </c>
      <c r="AP459" s="140">
        <v>0</v>
      </c>
      <c r="AQ459" s="140">
        <v>0</v>
      </c>
      <c r="AR459" s="140">
        <v>0</v>
      </c>
      <c r="AS459" s="140">
        <v>0</v>
      </c>
      <c r="AT459" s="140">
        <v>0</v>
      </c>
      <c r="AU459" s="140">
        <v>0</v>
      </c>
      <c r="AV459" s="140">
        <v>1</v>
      </c>
      <c r="AW459" s="140">
        <v>0</v>
      </c>
      <c r="AX459" s="140">
        <v>0</v>
      </c>
      <c r="AY459" s="140">
        <v>0</v>
      </c>
      <c r="AZ459" s="140">
        <v>0</v>
      </c>
      <c r="BA459" s="140">
        <v>0</v>
      </c>
      <c r="BB459" s="140">
        <v>0</v>
      </c>
      <c r="BC459" s="140">
        <v>0</v>
      </c>
      <c r="BD459" s="140">
        <v>0</v>
      </c>
      <c r="BE459" s="140">
        <v>0</v>
      </c>
      <c r="BF459" s="140">
        <v>0</v>
      </c>
      <c r="BG459" s="140">
        <v>0</v>
      </c>
      <c r="BH459" s="140">
        <v>0</v>
      </c>
      <c r="BI459" s="140">
        <v>0</v>
      </c>
      <c r="BJ459" s="140">
        <v>0</v>
      </c>
      <c r="BK459" s="140">
        <v>0</v>
      </c>
      <c r="BL459" s="140">
        <v>0</v>
      </c>
      <c r="BM459" s="140">
        <v>0</v>
      </c>
      <c r="BN459" s="140">
        <v>0</v>
      </c>
      <c r="BO459" s="140">
        <v>0</v>
      </c>
      <c r="BQ459" s="89"/>
      <c r="BU459" s="89"/>
      <c r="BX459" s="43">
        <v>14</v>
      </c>
      <c r="BZ459" s="90">
        <f t="shared" si="41"/>
        <v>0.5</v>
      </c>
      <c r="CA459" s="90">
        <f t="shared" si="41"/>
        <v>0.5</v>
      </c>
      <c r="CT459" s="90">
        <f t="shared" si="38"/>
        <v>1</v>
      </c>
      <c r="CU459" s="90">
        <f t="shared" si="39"/>
        <v>1</v>
      </c>
    </row>
    <row r="460" spans="1:99" ht="12" customHeight="1">
      <c r="A460" s="43">
        <v>7175</v>
      </c>
      <c r="B460" s="89" t="s">
        <v>813</v>
      </c>
      <c r="C460" s="89" t="s">
        <v>1467</v>
      </c>
      <c r="D460" s="89" t="s">
        <v>1468</v>
      </c>
      <c r="F460" s="43">
        <v>524134</v>
      </c>
      <c r="G460" s="43">
        <v>173447</v>
      </c>
      <c r="H460" s="89" t="s">
        <v>180</v>
      </c>
      <c r="I460" s="125">
        <v>43836</v>
      </c>
      <c r="K460" s="140">
        <v>0</v>
      </c>
      <c r="L460" s="140">
        <v>1</v>
      </c>
      <c r="M460" s="140">
        <v>1</v>
      </c>
      <c r="N460" s="140">
        <v>1</v>
      </c>
      <c r="O460" s="140">
        <v>1</v>
      </c>
      <c r="Q460" s="89" t="s">
        <v>1469</v>
      </c>
      <c r="R460" s="43" t="s">
        <v>316</v>
      </c>
      <c r="S460" s="125">
        <v>43565</v>
      </c>
      <c r="T460" s="117">
        <v>43620</v>
      </c>
      <c r="U460" s="43" t="s">
        <v>329</v>
      </c>
      <c r="V460" s="43" t="s">
        <v>317</v>
      </c>
      <c r="X460" s="43" t="s">
        <v>413</v>
      </c>
      <c r="Y460" s="43" t="s">
        <v>361</v>
      </c>
      <c r="Z460" s="43" t="s">
        <v>320</v>
      </c>
      <c r="AA460" s="43" t="s">
        <v>353</v>
      </c>
      <c r="AB460" s="144">
        <v>2.19999998807907E-2</v>
      </c>
      <c r="AC460" s="125">
        <v>43836</v>
      </c>
      <c r="AD460" s="43" t="s">
        <v>329</v>
      </c>
      <c r="AF460" s="43" t="s">
        <v>75</v>
      </c>
      <c r="AG460" s="43" t="s">
        <v>322</v>
      </c>
      <c r="AJ460" s="140">
        <v>0</v>
      </c>
      <c r="AK460" s="140">
        <v>0</v>
      </c>
      <c r="AL460" s="140">
        <v>0</v>
      </c>
      <c r="AM460" s="140">
        <v>0</v>
      </c>
      <c r="AN460" s="140">
        <v>0</v>
      </c>
      <c r="AO460" s="140">
        <v>0</v>
      </c>
      <c r="AP460" s="140">
        <v>1</v>
      </c>
      <c r="AQ460" s="140">
        <v>0</v>
      </c>
      <c r="AR460" s="140">
        <v>0</v>
      </c>
      <c r="AS460" s="140">
        <v>0</v>
      </c>
      <c r="AT460" s="140">
        <v>0</v>
      </c>
      <c r="AU460" s="140">
        <v>0</v>
      </c>
      <c r="AV460" s="140">
        <v>0</v>
      </c>
      <c r="AW460" s="140">
        <v>0</v>
      </c>
      <c r="AX460" s="140">
        <v>0</v>
      </c>
      <c r="AY460" s="140">
        <v>0</v>
      </c>
      <c r="AZ460" s="140">
        <v>0</v>
      </c>
      <c r="BA460" s="140">
        <v>0</v>
      </c>
      <c r="BB460" s="140">
        <v>0</v>
      </c>
      <c r="BC460" s="140">
        <v>0</v>
      </c>
      <c r="BD460" s="140">
        <v>1</v>
      </c>
      <c r="BE460" s="140">
        <v>0</v>
      </c>
      <c r="BF460" s="140">
        <v>0</v>
      </c>
      <c r="BG460" s="140">
        <v>0</v>
      </c>
      <c r="BH460" s="140">
        <v>0</v>
      </c>
      <c r="BI460" s="140">
        <v>0</v>
      </c>
      <c r="BJ460" s="140">
        <v>0</v>
      </c>
      <c r="BK460" s="140">
        <v>0</v>
      </c>
      <c r="BL460" s="140">
        <v>0</v>
      </c>
      <c r="BM460" s="140">
        <v>0</v>
      </c>
      <c r="BN460" s="140">
        <v>0</v>
      </c>
      <c r="BO460" s="140">
        <v>0</v>
      </c>
      <c r="BQ460" s="89"/>
      <c r="BU460" s="89"/>
      <c r="BX460" s="43">
        <v>3</v>
      </c>
      <c r="BZ460" s="90">
        <f t="shared" si="41"/>
        <v>0.5</v>
      </c>
      <c r="CA460" s="90">
        <f t="shared" si="41"/>
        <v>0.5</v>
      </c>
      <c r="CT460" s="90">
        <f t="shared" si="38"/>
        <v>1</v>
      </c>
      <c r="CU460" s="90">
        <f t="shared" si="39"/>
        <v>1</v>
      </c>
    </row>
    <row r="461" spans="1:99" ht="12" customHeight="1">
      <c r="A461" s="43">
        <v>7183</v>
      </c>
      <c r="B461" s="89" t="s">
        <v>813</v>
      </c>
      <c r="C461" s="89" t="s">
        <v>1470</v>
      </c>
      <c r="D461" s="89" t="s">
        <v>1471</v>
      </c>
      <c r="F461" s="43">
        <v>528633</v>
      </c>
      <c r="G461" s="43">
        <v>176345</v>
      </c>
      <c r="H461" s="89" t="s">
        <v>148</v>
      </c>
      <c r="I461" s="125">
        <v>43921</v>
      </c>
      <c r="K461" s="140">
        <v>0</v>
      </c>
      <c r="L461" s="140">
        <v>1</v>
      </c>
      <c r="M461" s="140">
        <v>1</v>
      </c>
      <c r="N461" s="140">
        <v>1</v>
      </c>
      <c r="O461" s="140">
        <v>1</v>
      </c>
      <c r="Q461" s="89" t="s">
        <v>1472</v>
      </c>
      <c r="R461" s="43" t="s">
        <v>316</v>
      </c>
      <c r="S461" s="125">
        <v>43602</v>
      </c>
      <c r="T461" s="117">
        <v>43675</v>
      </c>
      <c r="U461" s="43" t="s">
        <v>329</v>
      </c>
      <c r="V461" s="43" t="s">
        <v>317</v>
      </c>
      <c r="X461" s="43" t="s">
        <v>318</v>
      </c>
      <c r="Y461" s="43" t="s">
        <v>379</v>
      </c>
      <c r="Z461" s="43" t="s">
        <v>320</v>
      </c>
      <c r="AA461" s="43" t="s">
        <v>340</v>
      </c>
      <c r="AB461" s="144">
        <v>4.0000001899898104E-3</v>
      </c>
      <c r="AC461" s="125">
        <v>43921</v>
      </c>
      <c r="AD461" s="43" t="s">
        <v>329</v>
      </c>
      <c r="AF461" s="43" t="s">
        <v>75</v>
      </c>
      <c r="AG461" s="43" t="s">
        <v>322</v>
      </c>
      <c r="AJ461" s="140">
        <v>0</v>
      </c>
      <c r="AK461" s="140">
        <v>0</v>
      </c>
      <c r="AL461" s="140">
        <v>0</v>
      </c>
      <c r="AM461" s="140">
        <v>0</v>
      </c>
      <c r="AN461" s="140">
        <v>0</v>
      </c>
      <c r="AO461" s="140">
        <v>0</v>
      </c>
      <c r="AP461" s="140">
        <v>1</v>
      </c>
      <c r="AQ461" s="140">
        <v>0</v>
      </c>
      <c r="AR461" s="140">
        <v>0</v>
      </c>
      <c r="AS461" s="140">
        <v>0</v>
      </c>
      <c r="AT461" s="140">
        <v>0</v>
      </c>
      <c r="AU461" s="140">
        <v>0</v>
      </c>
      <c r="AV461" s="140">
        <v>0</v>
      </c>
      <c r="AW461" s="140">
        <v>1</v>
      </c>
      <c r="AX461" s="140">
        <v>0</v>
      </c>
      <c r="AY461" s="140">
        <v>0</v>
      </c>
      <c r="AZ461" s="140">
        <v>0</v>
      </c>
      <c r="BA461" s="140">
        <v>0</v>
      </c>
      <c r="BB461" s="140">
        <v>0</v>
      </c>
      <c r="BC461" s="140">
        <v>0</v>
      </c>
      <c r="BD461" s="140">
        <v>0</v>
      </c>
      <c r="BE461" s="140">
        <v>0</v>
      </c>
      <c r="BF461" s="140">
        <v>0</v>
      </c>
      <c r="BG461" s="140">
        <v>0</v>
      </c>
      <c r="BH461" s="140">
        <v>0</v>
      </c>
      <c r="BI461" s="140">
        <v>0</v>
      </c>
      <c r="BJ461" s="140">
        <v>0</v>
      </c>
      <c r="BK461" s="140">
        <v>0</v>
      </c>
      <c r="BL461" s="140">
        <v>0</v>
      </c>
      <c r="BM461" s="140">
        <v>0</v>
      </c>
      <c r="BN461" s="140">
        <v>0</v>
      </c>
      <c r="BO461" s="140">
        <v>0</v>
      </c>
      <c r="BQ461" s="89"/>
      <c r="BU461" s="89"/>
      <c r="BX461" s="43">
        <v>14</v>
      </c>
      <c r="BZ461" s="90">
        <f t="shared" si="41"/>
        <v>0.5</v>
      </c>
      <c r="CA461" s="90">
        <f t="shared" si="41"/>
        <v>0.5</v>
      </c>
      <c r="CT461" s="90">
        <f t="shared" si="38"/>
        <v>1</v>
      </c>
      <c r="CU461" s="90">
        <f t="shared" si="39"/>
        <v>1</v>
      </c>
    </row>
    <row r="462" spans="1:99" ht="12" customHeight="1">
      <c r="A462" s="43">
        <v>7189</v>
      </c>
      <c r="B462" s="89" t="s">
        <v>813</v>
      </c>
      <c r="C462" s="89" t="s">
        <v>1473</v>
      </c>
      <c r="D462" s="89" t="s">
        <v>1474</v>
      </c>
      <c r="F462" s="43">
        <v>528643</v>
      </c>
      <c r="G462" s="43">
        <v>176384</v>
      </c>
      <c r="H462" s="89" t="s">
        <v>148</v>
      </c>
      <c r="I462" s="125">
        <v>43921</v>
      </c>
      <c r="K462" s="140">
        <v>0</v>
      </c>
      <c r="L462" s="140">
        <v>1</v>
      </c>
      <c r="M462" s="140">
        <v>1</v>
      </c>
      <c r="N462" s="140">
        <v>1</v>
      </c>
      <c r="O462" s="140">
        <v>1</v>
      </c>
      <c r="Q462" s="89" t="s">
        <v>1475</v>
      </c>
      <c r="R462" s="43" t="s">
        <v>316</v>
      </c>
      <c r="S462" s="125">
        <v>43640</v>
      </c>
      <c r="T462" s="117">
        <v>43707</v>
      </c>
      <c r="U462" s="43" t="s">
        <v>329</v>
      </c>
      <c r="V462" s="43" t="s">
        <v>317</v>
      </c>
      <c r="X462" s="43" t="s">
        <v>318</v>
      </c>
      <c r="Y462" s="43" t="s">
        <v>379</v>
      </c>
      <c r="Z462" s="43" t="s">
        <v>320</v>
      </c>
      <c r="AA462" s="43" t="s">
        <v>340</v>
      </c>
      <c r="AB462" s="144">
        <v>3.0000000260770299E-3</v>
      </c>
      <c r="AC462" s="125">
        <v>43921</v>
      </c>
      <c r="AD462" s="43" t="s">
        <v>329</v>
      </c>
      <c r="AF462" s="43" t="s">
        <v>75</v>
      </c>
      <c r="AG462" s="43" t="s">
        <v>322</v>
      </c>
      <c r="AJ462" s="140">
        <v>0</v>
      </c>
      <c r="AK462" s="140">
        <v>0</v>
      </c>
      <c r="AL462" s="140">
        <v>0</v>
      </c>
      <c r="AM462" s="140">
        <v>0</v>
      </c>
      <c r="AN462" s="140">
        <v>0</v>
      </c>
      <c r="AO462" s="140">
        <v>0</v>
      </c>
      <c r="AP462" s="140">
        <v>1</v>
      </c>
      <c r="AQ462" s="140">
        <v>0</v>
      </c>
      <c r="AR462" s="140">
        <v>0</v>
      </c>
      <c r="AS462" s="140">
        <v>0</v>
      </c>
      <c r="AT462" s="140">
        <v>0</v>
      </c>
      <c r="AU462" s="140">
        <v>0</v>
      </c>
      <c r="AV462" s="140">
        <v>0</v>
      </c>
      <c r="AW462" s="140">
        <v>1</v>
      </c>
      <c r="AX462" s="140">
        <v>0</v>
      </c>
      <c r="AY462" s="140">
        <v>0</v>
      </c>
      <c r="AZ462" s="140">
        <v>0</v>
      </c>
      <c r="BA462" s="140">
        <v>0</v>
      </c>
      <c r="BB462" s="140">
        <v>0</v>
      </c>
      <c r="BC462" s="140">
        <v>0</v>
      </c>
      <c r="BD462" s="140">
        <v>0</v>
      </c>
      <c r="BE462" s="140">
        <v>0</v>
      </c>
      <c r="BF462" s="140">
        <v>0</v>
      </c>
      <c r="BG462" s="140">
        <v>0</v>
      </c>
      <c r="BH462" s="140">
        <v>0</v>
      </c>
      <c r="BI462" s="140">
        <v>0</v>
      </c>
      <c r="BJ462" s="140">
        <v>0</v>
      </c>
      <c r="BK462" s="140">
        <v>0</v>
      </c>
      <c r="BL462" s="140">
        <v>0</v>
      </c>
      <c r="BM462" s="140">
        <v>0</v>
      </c>
      <c r="BN462" s="140">
        <v>0</v>
      </c>
      <c r="BO462" s="140">
        <v>0</v>
      </c>
      <c r="BQ462" s="89"/>
      <c r="BU462" s="89"/>
      <c r="BX462" s="43">
        <v>14</v>
      </c>
      <c r="BZ462" s="90">
        <f t="shared" si="41"/>
        <v>0.5</v>
      </c>
      <c r="CA462" s="90">
        <f t="shared" si="41"/>
        <v>0.5</v>
      </c>
      <c r="CT462" s="90">
        <f t="shared" si="38"/>
        <v>1</v>
      </c>
      <c r="CU462" s="90">
        <f t="shared" si="39"/>
        <v>1</v>
      </c>
    </row>
    <row r="463" spans="1:99" ht="12" customHeight="1">
      <c r="A463" s="43">
        <v>7200</v>
      </c>
      <c r="B463" s="89" t="s">
        <v>813</v>
      </c>
      <c r="C463" s="89" t="s">
        <v>1476</v>
      </c>
      <c r="D463" s="89" t="s">
        <v>1477</v>
      </c>
      <c r="F463" s="43">
        <v>528359</v>
      </c>
      <c r="G463" s="43">
        <v>172944</v>
      </c>
      <c r="H463" s="89" t="s">
        <v>167</v>
      </c>
      <c r="I463" s="125">
        <v>43860</v>
      </c>
      <c r="K463" s="140">
        <v>0</v>
      </c>
      <c r="L463" s="140">
        <v>2</v>
      </c>
      <c r="M463" s="140">
        <v>2</v>
      </c>
      <c r="N463" s="140">
        <v>2</v>
      </c>
      <c r="O463" s="140">
        <v>2</v>
      </c>
      <c r="Q463" s="89" t="s">
        <v>1478</v>
      </c>
      <c r="R463" s="43" t="s">
        <v>620</v>
      </c>
      <c r="S463" s="125">
        <v>43654</v>
      </c>
      <c r="T463" s="117">
        <v>43706</v>
      </c>
      <c r="U463" s="43" t="s">
        <v>329</v>
      </c>
      <c r="V463" s="43" t="s">
        <v>317</v>
      </c>
      <c r="X463" s="43" t="s">
        <v>318</v>
      </c>
      <c r="Y463" s="43" t="s">
        <v>336</v>
      </c>
      <c r="Z463" s="43" t="s">
        <v>320</v>
      </c>
      <c r="AA463" s="43" t="s">
        <v>30</v>
      </c>
      <c r="AB463" s="144">
        <v>7.0000002160668399E-3</v>
      </c>
      <c r="AC463" s="125">
        <v>43860</v>
      </c>
      <c r="AD463" s="43" t="s">
        <v>329</v>
      </c>
      <c r="AF463" s="43" t="s">
        <v>75</v>
      </c>
      <c r="AG463" s="43" t="s">
        <v>322</v>
      </c>
      <c r="AJ463" s="140">
        <v>0</v>
      </c>
      <c r="AK463" s="140">
        <v>0</v>
      </c>
      <c r="AL463" s="140">
        <v>0</v>
      </c>
      <c r="AM463" s="140">
        <v>0</v>
      </c>
      <c r="AN463" s="140">
        <v>2</v>
      </c>
      <c r="AO463" s="140">
        <v>0</v>
      </c>
      <c r="AP463" s="140">
        <v>0</v>
      </c>
      <c r="AQ463" s="140">
        <v>0</v>
      </c>
      <c r="AR463" s="140">
        <v>0</v>
      </c>
      <c r="AS463" s="140">
        <v>0</v>
      </c>
      <c r="AT463" s="140">
        <v>0</v>
      </c>
      <c r="AU463" s="140">
        <v>2</v>
      </c>
      <c r="AV463" s="140">
        <v>0</v>
      </c>
      <c r="AW463" s="140">
        <v>0</v>
      </c>
      <c r="AX463" s="140">
        <v>0</v>
      </c>
      <c r="AY463" s="140">
        <v>0</v>
      </c>
      <c r="AZ463" s="140">
        <v>0</v>
      </c>
      <c r="BA463" s="140">
        <v>0</v>
      </c>
      <c r="BB463" s="140">
        <v>0</v>
      </c>
      <c r="BC463" s="140">
        <v>0</v>
      </c>
      <c r="BD463" s="140">
        <v>0</v>
      </c>
      <c r="BE463" s="140">
        <v>0</v>
      </c>
      <c r="BF463" s="140">
        <v>0</v>
      </c>
      <c r="BG463" s="140">
        <v>0</v>
      </c>
      <c r="BH463" s="140">
        <v>0</v>
      </c>
      <c r="BI463" s="140">
        <v>0</v>
      </c>
      <c r="BJ463" s="140">
        <v>0</v>
      </c>
      <c r="BK463" s="140">
        <v>0</v>
      </c>
      <c r="BL463" s="140">
        <v>0</v>
      </c>
      <c r="BM463" s="140">
        <v>0</v>
      </c>
      <c r="BN463" s="140">
        <v>0</v>
      </c>
      <c r="BO463" s="140">
        <v>0</v>
      </c>
      <c r="BQ463" s="89"/>
      <c r="BU463" s="89"/>
      <c r="BX463" s="43">
        <v>14</v>
      </c>
      <c r="BZ463" s="90">
        <f t="shared" si="41"/>
        <v>1</v>
      </c>
      <c r="CA463" s="90">
        <f t="shared" si="41"/>
        <v>1</v>
      </c>
      <c r="CT463" s="90">
        <f t="shared" si="38"/>
        <v>2</v>
      </c>
      <c r="CU463" s="90">
        <f t="shared" si="39"/>
        <v>2</v>
      </c>
    </row>
    <row r="464" spans="1:99" ht="12" customHeight="1">
      <c r="A464" s="43">
        <v>7204</v>
      </c>
      <c r="B464" s="89" t="s">
        <v>813</v>
      </c>
      <c r="C464" s="89" t="s">
        <v>1479</v>
      </c>
      <c r="D464" s="89" t="s">
        <v>1480</v>
      </c>
      <c r="F464" s="43">
        <v>528657</v>
      </c>
      <c r="G464" s="43">
        <v>172323</v>
      </c>
      <c r="H464" s="89" t="s">
        <v>167</v>
      </c>
      <c r="I464" s="125">
        <v>43921</v>
      </c>
      <c r="K464" s="140">
        <v>0</v>
      </c>
      <c r="L464" s="140">
        <v>7</v>
      </c>
      <c r="M464" s="140">
        <v>7</v>
      </c>
      <c r="N464" s="140">
        <v>7</v>
      </c>
      <c r="O464" s="140">
        <v>7</v>
      </c>
      <c r="Q464" s="89" t="s">
        <v>1481</v>
      </c>
      <c r="R464" s="43" t="s">
        <v>316</v>
      </c>
      <c r="S464" s="125">
        <v>43665</v>
      </c>
      <c r="T464" s="117">
        <v>43726</v>
      </c>
      <c r="U464" s="43" t="s">
        <v>329</v>
      </c>
      <c r="V464" s="43" t="s">
        <v>317</v>
      </c>
      <c r="X464" s="43" t="s">
        <v>318</v>
      </c>
      <c r="Y464" s="43" t="s">
        <v>319</v>
      </c>
      <c r="Z464" s="43" t="s">
        <v>320</v>
      </c>
      <c r="AA464" s="43" t="s">
        <v>36</v>
      </c>
      <c r="AB464" s="144">
        <v>4.6000000089407002E-2</v>
      </c>
      <c r="AC464" s="125">
        <v>43921</v>
      </c>
      <c r="AD464" s="43" t="s">
        <v>329</v>
      </c>
      <c r="AF464" s="43" t="s">
        <v>75</v>
      </c>
      <c r="AG464" s="43" t="s">
        <v>322</v>
      </c>
      <c r="AJ464" s="140">
        <v>0</v>
      </c>
      <c r="AK464" s="140">
        <v>0</v>
      </c>
      <c r="AL464" s="140">
        <v>0</v>
      </c>
      <c r="AM464" s="140">
        <v>0</v>
      </c>
      <c r="AN464" s="140">
        <v>0</v>
      </c>
      <c r="AO464" s="140">
        <v>1</v>
      </c>
      <c r="AP464" s="140">
        <v>4</v>
      </c>
      <c r="AQ464" s="140">
        <v>2</v>
      </c>
      <c r="AR464" s="140">
        <v>0</v>
      </c>
      <c r="AS464" s="140">
        <v>0</v>
      </c>
      <c r="AT464" s="140">
        <v>0</v>
      </c>
      <c r="AU464" s="140">
        <v>0</v>
      </c>
      <c r="AV464" s="140">
        <v>1</v>
      </c>
      <c r="AW464" s="140">
        <v>4</v>
      </c>
      <c r="AX464" s="140">
        <v>2</v>
      </c>
      <c r="AY464" s="140">
        <v>0</v>
      </c>
      <c r="AZ464" s="140">
        <v>0</v>
      </c>
      <c r="BA464" s="140">
        <v>0</v>
      </c>
      <c r="BB464" s="140">
        <v>0</v>
      </c>
      <c r="BC464" s="140">
        <v>0</v>
      </c>
      <c r="BD464" s="140">
        <v>0</v>
      </c>
      <c r="BE464" s="140">
        <v>0</v>
      </c>
      <c r="BF464" s="140">
        <v>0</v>
      </c>
      <c r="BG464" s="140">
        <v>0</v>
      </c>
      <c r="BH464" s="140">
        <v>0</v>
      </c>
      <c r="BI464" s="140">
        <v>0</v>
      </c>
      <c r="BJ464" s="140">
        <v>0</v>
      </c>
      <c r="BK464" s="140">
        <v>0</v>
      </c>
      <c r="BL464" s="140">
        <v>0</v>
      </c>
      <c r="BM464" s="140">
        <v>0</v>
      </c>
      <c r="BN464" s="140">
        <v>0</v>
      </c>
      <c r="BO464" s="140">
        <v>0</v>
      </c>
      <c r="BQ464" s="89"/>
      <c r="BU464" s="89"/>
      <c r="BX464" s="43">
        <v>14</v>
      </c>
      <c r="BZ464" s="90">
        <f t="shared" si="41"/>
        <v>3.5</v>
      </c>
      <c r="CA464" s="90">
        <f t="shared" si="41"/>
        <v>3.5</v>
      </c>
      <c r="CT464" s="90">
        <f t="shared" si="38"/>
        <v>7</v>
      </c>
      <c r="CU464" s="90">
        <f t="shared" si="39"/>
        <v>7</v>
      </c>
    </row>
    <row r="465" spans="1:99" ht="12" customHeight="1">
      <c r="A465" s="43">
        <v>7209</v>
      </c>
      <c r="B465" s="89" t="s">
        <v>813</v>
      </c>
      <c r="C465" s="89" t="s">
        <v>1482</v>
      </c>
      <c r="D465" s="89" t="s">
        <v>1483</v>
      </c>
      <c r="F465" s="43">
        <v>524271</v>
      </c>
      <c r="G465" s="43">
        <v>174853</v>
      </c>
      <c r="H465" s="89" t="s">
        <v>169</v>
      </c>
      <c r="I465" s="125">
        <v>43908</v>
      </c>
      <c r="K465" s="140">
        <v>0</v>
      </c>
      <c r="L465" s="140">
        <v>1</v>
      </c>
      <c r="M465" s="140">
        <v>1</v>
      </c>
      <c r="N465" s="140">
        <v>1</v>
      </c>
      <c r="O465" s="140">
        <v>1</v>
      </c>
      <c r="Q465" s="89" t="s">
        <v>1484</v>
      </c>
      <c r="R465" s="43" t="s">
        <v>316</v>
      </c>
      <c r="S465" s="125">
        <v>43670</v>
      </c>
      <c r="T465" s="117">
        <v>43793</v>
      </c>
      <c r="U465" s="43" t="s">
        <v>329</v>
      </c>
      <c r="V465" s="43" t="s">
        <v>317</v>
      </c>
      <c r="X465" s="43" t="s">
        <v>413</v>
      </c>
      <c r="Y465" s="43" t="s">
        <v>361</v>
      </c>
      <c r="Z465" s="43" t="s">
        <v>320</v>
      </c>
      <c r="AA465" s="43" t="s">
        <v>353</v>
      </c>
      <c r="AB465" s="144">
        <v>1.09999999403954E-2</v>
      </c>
      <c r="AC465" s="125">
        <v>43908</v>
      </c>
      <c r="AD465" s="43" t="s">
        <v>329</v>
      </c>
      <c r="AF465" s="43" t="s">
        <v>75</v>
      </c>
      <c r="AG465" s="43" t="s">
        <v>322</v>
      </c>
      <c r="AJ465" s="140">
        <v>0</v>
      </c>
      <c r="AK465" s="140">
        <v>0</v>
      </c>
      <c r="AL465" s="140">
        <v>0</v>
      </c>
      <c r="AM465" s="140">
        <v>0</v>
      </c>
      <c r="AN465" s="140">
        <v>0</v>
      </c>
      <c r="AO465" s="140">
        <v>0</v>
      </c>
      <c r="AP465" s="140">
        <v>0</v>
      </c>
      <c r="AQ465" s="140">
        <v>1</v>
      </c>
      <c r="AR465" s="140">
        <v>0</v>
      </c>
      <c r="AS465" s="140">
        <v>0</v>
      </c>
      <c r="AT465" s="140">
        <v>0</v>
      </c>
      <c r="AU465" s="140">
        <v>0</v>
      </c>
      <c r="AV465" s="140">
        <v>0</v>
      </c>
      <c r="AW465" s="140">
        <v>0</v>
      </c>
      <c r="AX465" s="140">
        <v>0</v>
      </c>
      <c r="AY465" s="140">
        <v>0</v>
      </c>
      <c r="AZ465" s="140">
        <v>0</v>
      </c>
      <c r="BA465" s="140">
        <v>0</v>
      </c>
      <c r="BB465" s="140">
        <v>0</v>
      </c>
      <c r="BC465" s="140">
        <v>0</v>
      </c>
      <c r="BD465" s="140">
        <v>0</v>
      </c>
      <c r="BE465" s="140">
        <v>1</v>
      </c>
      <c r="BF465" s="140">
        <v>0</v>
      </c>
      <c r="BG465" s="140">
        <v>0</v>
      </c>
      <c r="BH465" s="140">
        <v>0</v>
      </c>
      <c r="BI465" s="140">
        <v>0</v>
      </c>
      <c r="BJ465" s="140">
        <v>0</v>
      </c>
      <c r="BK465" s="140">
        <v>0</v>
      </c>
      <c r="BL465" s="140">
        <v>0</v>
      </c>
      <c r="BM465" s="140">
        <v>0</v>
      </c>
      <c r="BN465" s="140">
        <v>0</v>
      </c>
      <c r="BO465" s="140">
        <v>0</v>
      </c>
      <c r="BQ465" s="89"/>
      <c r="BU465" s="89"/>
      <c r="BX465" s="43">
        <v>3</v>
      </c>
      <c r="BZ465" s="90">
        <f t="shared" si="41"/>
        <v>0.5</v>
      </c>
      <c r="CA465" s="90">
        <f t="shared" si="41"/>
        <v>0.5</v>
      </c>
      <c r="CT465" s="90">
        <f t="shared" si="38"/>
        <v>1</v>
      </c>
      <c r="CU465" s="90">
        <f t="shared" si="39"/>
        <v>1</v>
      </c>
    </row>
    <row r="466" spans="1:99" ht="12" customHeight="1">
      <c r="A466" s="43">
        <v>7214</v>
      </c>
      <c r="B466" s="89" t="s">
        <v>813</v>
      </c>
      <c r="C466" s="89" t="s">
        <v>1485</v>
      </c>
      <c r="D466" s="89" t="s">
        <v>1486</v>
      </c>
      <c r="F466" s="43">
        <v>528816</v>
      </c>
      <c r="G466" s="43">
        <v>174167</v>
      </c>
      <c r="H466" s="89" t="s">
        <v>138</v>
      </c>
      <c r="I466" s="125">
        <v>43887</v>
      </c>
      <c r="K466" s="140">
        <v>1</v>
      </c>
      <c r="L466" s="140">
        <v>2</v>
      </c>
      <c r="M466" s="140">
        <v>1</v>
      </c>
      <c r="N466" s="140">
        <v>3</v>
      </c>
      <c r="O466" s="140">
        <v>2</v>
      </c>
      <c r="Q466" s="89" t="s">
        <v>1487</v>
      </c>
      <c r="R466" s="43" t="s">
        <v>316</v>
      </c>
      <c r="S466" s="125">
        <v>43679</v>
      </c>
      <c r="T466" s="117">
        <v>43801</v>
      </c>
      <c r="U466" s="43" t="s">
        <v>329</v>
      </c>
      <c r="V466" s="43" t="s">
        <v>317</v>
      </c>
      <c r="X466" s="43" t="s">
        <v>318</v>
      </c>
      <c r="Y466" s="43" t="s">
        <v>319</v>
      </c>
      <c r="Z466" s="43" t="s">
        <v>320</v>
      </c>
      <c r="AA466" s="43" t="s">
        <v>321</v>
      </c>
      <c r="AB466" s="144">
        <v>4.0000001899898104E-3</v>
      </c>
      <c r="AC466" s="125">
        <v>43887</v>
      </c>
      <c r="AD466" s="43" t="s">
        <v>329</v>
      </c>
      <c r="AF466" s="43" t="s">
        <v>75</v>
      </c>
      <c r="AG466" s="43" t="s">
        <v>322</v>
      </c>
      <c r="AJ466" s="140">
        <v>0</v>
      </c>
      <c r="AK466" s="140">
        <v>0</v>
      </c>
      <c r="AL466" s="140">
        <v>0</v>
      </c>
      <c r="AM466" s="140">
        <v>0</v>
      </c>
      <c r="AN466" s="140">
        <v>0</v>
      </c>
      <c r="AO466" s="140">
        <v>2</v>
      </c>
      <c r="AP466" s="140">
        <v>-1</v>
      </c>
      <c r="AQ466" s="140">
        <v>0</v>
      </c>
      <c r="AR466" s="140">
        <v>0</v>
      </c>
      <c r="AS466" s="140">
        <v>0</v>
      </c>
      <c r="AT466" s="140">
        <v>0</v>
      </c>
      <c r="AU466" s="140">
        <v>0</v>
      </c>
      <c r="AV466" s="140">
        <v>2</v>
      </c>
      <c r="AW466" s="140">
        <v>-1</v>
      </c>
      <c r="AX466" s="140">
        <v>0</v>
      </c>
      <c r="AY466" s="140">
        <v>0</v>
      </c>
      <c r="AZ466" s="140">
        <v>0</v>
      </c>
      <c r="BA466" s="140">
        <v>0</v>
      </c>
      <c r="BB466" s="140">
        <v>0</v>
      </c>
      <c r="BC466" s="140">
        <v>0</v>
      </c>
      <c r="BD466" s="140">
        <v>0</v>
      </c>
      <c r="BE466" s="140">
        <v>0</v>
      </c>
      <c r="BF466" s="140">
        <v>0</v>
      </c>
      <c r="BG466" s="140">
        <v>0</v>
      </c>
      <c r="BH466" s="140">
        <v>0</v>
      </c>
      <c r="BI466" s="140">
        <v>0</v>
      </c>
      <c r="BJ466" s="140">
        <v>0</v>
      </c>
      <c r="BK466" s="140">
        <v>0</v>
      </c>
      <c r="BL466" s="140">
        <v>0</v>
      </c>
      <c r="BM466" s="140">
        <v>0</v>
      </c>
      <c r="BN466" s="140">
        <v>0</v>
      </c>
      <c r="BO466" s="140">
        <v>0</v>
      </c>
      <c r="BQ466" s="89"/>
      <c r="BU466" s="89"/>
      <c r="BX466" s="43">
        <v>14</v>
      </c>
      <c r="BZ466" s="90">
        <f t="shared" si="41"/>
        <v>0.5</v>
      </c>
      <c r="CA466" s="90">
        <f t="shared" si="41"/>
        <v>0.5</v>
      </c>
      <c r="CT466" s="90">
        <f t="shared" si="38"/>
        <v>1</v>
      </c>
      <c r="CU466" s="90">
        <f t="shared" si="39"/>
        <v>1</v>
      </c>
    </row>
    <row r="467" spans="1:99" ht="12" customHeight="1">
      <c r="A467" s="43">
        <v>7214</v>
      </c>
      <c r="B467" s="89" t="s">
        <v>813</v>
      </c>
      <c r="C467" s="89" t="s">
        <v>1485</v>
      </c>
      <c r="D467" s="89" t="s">
        <v>1486</v>
      </c>
      <c r="F467" s="43">
        <v>528816</v>
      </c>
      <c r="G467" s="43">
        <v>174167</v>
      </c>
      <c r="H467" s="89" t="s">
        <v>138</v>
      </c>
      <c r="I467" s="125">
        <v>43887</v>
      </c>
      <c r="K467" s="140">
        <v>0</v>
      </c>
      <c r="L467" s="140">
        <v>1</v>
      </c>
      <c r="M467" s="140">
        <v>1</v>
      </c>
      <c r="N467" s="140">
        <v>3</v>
      </c>
      <c r="O467" s="140">
        <v>2</v>
      </c>
      <c r="Q467" s="89" t="s">
        <v>1487</v>
      </c>
      <c r="R467" s="43" t="s">
        <v>316</v>
      </c>
      <c r="S467" s="125">
        <v>43679</v>
      </c>
      <c r="T467" s="117">
        <v>43801</v>
      </c>
      <c r="U467" s="43" t="s">
        <v>329</v>
      </c>
      <c r="V467" s="43" t="s">
        <v>317</v>
      </c>
      <c r="X467" s="43" t="s">
        <v>318</v>
      </c>
      <c r="Y467" s="43" t="s">
        <v>319</v>
      </c>
      <c r="Z467" s="43" t="s">
        <v>320</v>
      </c>
      <c r="AA467" s="43" t="s">
        <v>30</v>
      </c>
      <c r="AB467" s="144">
        <v>2.0000000949949E-3</v>
      </c>
      <c r="AC467" s="125">
        <v>43887</v>
      </c>
      <c r="AD467" s="43" t="s">
        <v>329</v>
      </c>
      <c r="AF467" s="43" t="s">
        <v>75</v>
      </c>
      <c r="AG467" s="43" t="s">
        <v>322</v>
      </c>
      <c r="AJ467" s="140">
        <v>0</v>
      </c>
      <c r="AK467" s="140">
        <v>0</v>
      </c>
      <c r="AL467" s="140">
        <v>0</v>
      </c>
      <c r="AM467" s="140">
        <v>0</v>
      </c>
      <c r="AN467" s="140">
        <v>1</v>
      </c>
      <c r="AO467" s="140">
        <v>0</v>
      </c>
      <c r="AP467" s="140">
        <v>0</v>
      </c>
      <c r="AQ467" s="140">
        <v>0</v>
      </c>
      <c r="AR467" s="140">
        <v>0</v>
      </c>
      <c r="AS467" s="140">
        <v>0</v>
      </c>
      <c r="AT467" s="140">
        <v>0</v>
      </c>
      <c r="AU467" s="140">
        <v>1</v>
      </c>
      <c r="AV467" s="140">
        <v>0</v>
      </c>
      <c r="AW467" s="140">
        <v>0</v>
      </c>
      <c r="AX467" s="140">
        <v>0</v>
      </c>
      <c r="AY467" s="140">
        <v>0</v>
      </c>
      <c r="AZ467" s="140">
        <v>0</v>
      </c>
      <c r="BA467" s="140">
        <v>0</v>
      </c>
      <c r="BB467" s="140">
        <v>0</v>
      </c>
      <c r="BC467" s="140">
        <v>0</v>
      </c>
      <c r="BD467" s="140">
        <v>0</v>
      </c>
      <c r="BE467" s="140">
        <v>0</v>
      </c>
      <c r="BF467" s="140">
        <v>0</v>
      </c>
      <c r="BG467" s="140">
        <v>0</v>
      </c>
      <c r="BH467" s="140">
        <v>0</v>
      </c>
      <c r="BI467" s="140">
        <v>0</v>
      </c>
      <c r="BJ467" s="140">
        <v>0</v>
      </c>
      <c r="BK467" s="140">
        <v>0</v>
      </c>
      <c r="BL467" s="140">
        <v>0</v>
      </c>
      <c r="BM467" s="140">
        <v>0</v>
      </c>
      <c r="BN467" s="140">
        <v>0</v>
      </c>
      <c r="BO467" s="140">
        <v>0</v>
      </c>
      <c r="BQ467" s="89"/>
      <c r="BU467" s="89"/>
      <c r="BX467" s="43">
        <v>14</v>
      </c>
      <c r="BZ467" s="90">
        <f t="shared" si="41"/>
        <v>0.5</v>
      </c>
      <c r="CA467" s="90">
        <f t="shared" si="41"/>
        <v>0.5</v>
      </c>
      <c r="CT467" s="90">
        <f t="shared" si="38"/>
        <v>1</v>
      </c>
      <c r="CU467" s="90">
        <f t="shared" si="39"/>
        <v>1</v>
      </c>
    </row>
    <row r="468" spans="1:99" ht="12" customHeight="1">
      <c r="A468" s="43">
        <v>7225</v>
      </c>
      <c r="B468" s="89" t="s">
        <v>813</v>
      </c>
      <c r="C468" s="89" t="s">
        <v>1488</v>
      </c>
      <c r="D468" s="89" t="s">
        <v>1489</v>
      </c>
      <c r="F468" s="43">
        <v>527240</v>
      </c>
      <c r="G468" s="43">
        <v>175812</v>
      </c>
      <c r="H468" s="89" t="s">
        <v>147</v>
      </c>
      <c r="I468" s="125">
        <v>43921</v>
      </c>
      <c r="K468" s="140">
        <v>1</v>
      </c>
      <c r="L468" s="140">
        <v>2</v>
      </c>
      <c r="M468" s="140">
        <v>1</v>
      </c>
      <c r="N468" s="140">
        <v>2</v>
      </c>
      <c r="O468" s="140">
        <v>1</v>
      </c>
      <c r="Q468" s="89" t="s">
        <v>1490</v>
      </c>
      <c r="R468" s="43" t="s">
        <v>316</v>
      </c>
      <c r="S468" s="125">
        <v>43690</v>
      </c>
      <c r="T468" s="117">
        <v>43728</v>
      </c>
      <c r="U468" s="43" t="s">
        <v>329</v>
      </c>
      <c r="V468" s="43" t="s">
        <v>317</v>
      </c>
      <c r="X468" s="43" t="s">
        <v>318</v>
      </c>
      <c r="Y468" s="43" t="s">
        <v>348</v>
      </c>
      <c r="Z468" s="43" t="s">
        <v>320</v>
      </c>
      <c r="AA468" s="43" t="s">
        <v>20</v>
      </c>
      <c r="AB468" s="144">
        <v>1.7000000923872001E-2</v>
      </c>
      <c r="AC468" s="125">
        <v>43921</v>
      </c>
      <c r="AD468" s="43" t="s">
        <v>329</v>
      </c>
      <c r="AF468" s="43" t="s">
        <v>75</v>
      </c>
      <c r="AG468" s="43" t="s">
        <v>322</v>
      </c>
      <c r="AJ468" s="140">
        <v>0</v>
      </c>
      <c r="AK468" s="140">
        <v>0</v>
      </c>
      <c r="AL468" s="140">
        <v>0</v>
      </c>
      <c r="AM468" s="140">
        <v>0</v>
      </c>
      <c r="AN468" s="140">
        <v>0</v>
      </c>
      <c r="AO468" s="140">
        <v>0</v>
      </c>
      <c r="AP468" s="140">
        <v>0</v>
      </c>
      <c r="AQ468" s="140">
        <v>2</v>
      </c>
      <c r="AR468" s="140">
        <v>0</v>
      </c>
      <c r="AS468" s="140">
        <v>-1</v>
      </c>
      <c r="AT468" s="140">
        <v>0</v>
      </c>
      <c r="AU468" s="140">
        <v>0</v>
      </c>
      <c r="AV468" s="140">
        <v>0</v>
      </c>
      <c r="AW468" s="140">
        <v>0</v>
      </c>
      <c r="AX468" s="140">
        <v>2</v>
      </c>
      <c r="AY468" s="140">
        <v>0</v>
      </c>
      <c r="AZ468" s="140">
        <v>0</v>
      </c>
      <c r="BA468" s="140">
        <v>0</v>
      </c>
      <c r="BB468" s="140">
        <v>0</v>
      </c>
      <c r="BC468" s="140">
        <v>0</v>
      </c>
      <c r="BD468" s="140">
        <v>0</v>
      </c>
      <c r="BE468" s="140">
        <v>0</v>
      </c>
      <c r="BF468" s="140">
        <v>0</v>
      </c>
      <c r="BG468" s="140">
        <v>-1</v>
      </c>
      <c r="BH468" s="140">
        <v>0</v>
      </c>
      <c r="BI468" s="140">
        <v>0</v>
      </c>
      <c r="BJ468" s="140">
        <v>0</v>
      </c>
      <c r="BK468" s="140">
        <v>0</v>
      </c>
      <c r="BL468" s="140">
        <v>0</v>
      </c>
      <c r="BM468" s="140">
        <v>0</v>
      </c>
      <c r="BN468" s="140">
        <v>0</v>
      </c>
      <c r="BO468" s="140">
        <v>0</v>
      </c>
      <c r="BQ468" s="89"/>
      <c r="BU468" s="89"/>
      <c r="BX468" s="43">
        <v>14</v>
      </c>
      <c r="BZ468" s="90">
        <f t="shared" si="41"/>
        <v>0.5</v>
      </c>
      <c r="CA468" s="90">
        <f t="shared" si="41"/>
        <v>0.5</v>
      </c>
      <c r="CT468" s="90">
        <f t="shared" si="38"/>
        <v>1</v>
      </c>
      <c r="CU468" s="90">
        <f t="shared" si="39"/>
        <v>1</v>
      </c>
    </row>
    <row r="469" spans="1:99" ht="12" customHeight="1">
      <c r="A469" s="43">
        <v>7230</v>
      </c>
      <c r="B469" s="89" t="s">
        <v>813</v>
      </c>
      <c r="C469" s="89" t="s">
        <v>1491</v>
      </c>
      <c r="D469" s="89" t="s">
        <v>1492</v>
      </c>
      <c r="F469" s="43">
        <v>527163</v>
      </c>
      <c r="G469" s="43">
        <v>171564</v>
      </c>
      <c r="H469" s="89" t="s">
        <v>141</v>
      </c>
      <c r="I469" s="125">
        <v>43865</v>
      </c>
      <c r="K469" s="140">
        <v>2</v>
      </c>
      <c r="L469" s="140">
        <v>1</v>
      </c>
      <c r="M469" s="140">
        <v>-1</v>
      </c>
      <c r="N469" s="140">
        <v>1</v>
      </c>
      <c r="O469" s="140">
        <v>-1</v>
      </c>
      <c r="Q469" s="89" t="s">
        <v>1493</v>
      </c>
      <c r="R469" s="43" t="s">
        <v>316</v>
      </c>
      <c r="S469" s="125">
        <v>43691</v>
      </c>
      <c r="T469" s="117">
        <v>43740</v>
      </c>
      <c r="U469" s="43" t="s">
        <v>329</v>
      </c>
      <c r="V469" s="43" t="s">
        <v>317</v>
      </c>
      <c r="X469" s="43" t="s">
        <v>318</v>
      </c>
      <c r="Y469" s="43" t="s">
        <v>348</v>
      </c>
      <c r="Z469" s="43" t="s">
        <v>320</v>
      </c>
      <c r="AA469" s="43" t="s">
        <v>22</v>
      </c>
      <c r="AB469" s="144">
        <v>1.2000000104308101E-2</v>
      </c>
      <c r="AC469" s="125">
        <v>43865</v>
      </c>
      <c r="AD469" s="43" t="s">
        <v>329</v>
      </c>
      <c r="AF469" s="43" t="s">
        <v>75</v>
      </c>
      <c r="AG469" s="43" t="s">
        <v>322</v>
      </c>
      <c r="AJ469" s="140">
        <v>0</v>
      </c>
      <c r="AK469" s="140">
        <v>0</v>
      </c>
      <c r="AL469" s="140">
        <v>0</v>
      </c>
      <c r="AM469" s="140">
        <v>0</v>
      </c>
      <c r="AN469" s="140">
        <v>0</v>
      </c>
      <c r="AO469" s="140">
        <v>-1</v>
      </c>
      <c r="AP469" s="140">
        <v>-1</v>
      </c>
      <c r="AQ469" s="140">
        <v>0</v>
      </c>
      <c r="AR469" s="140">
        <v>0</v>
      </c>
      <c r="AS469" s="140">
        <v>1</v>
      </c>
      <c r="AT469" s="140">
        <v>0</v>
      </c>
      <c r="AU469" s="140">
        <v>0</v>
      </c>
      <c r="AV469" s="140">
        <v>-1</v>
      </c>
      <c r="AW469" s="140">
        <v>-1</v>
      </c>
      <c r="AX469" s="140">
        <v>0</v>
      </c>
      <c r="AY469" s="140">
        <v>0</v>
      </c>
      <c r="AZ469" s="140">
        <v>0</v>
      </c>
      <c r="BA469" s="140">
        <v>0</v>
      </c>
      <c r="BB469" s="140">
        <v>0</v>
      </c>
      <c r="BC469" s="140">
        <v>0</v>
      </c>
      <c r="BD469" s="140">
        <v>0</v>
      </c>
      <c r="BE469" s="140">
        <v>0</v>
      </c>
      <c r="BF469" s="140">
        <v>0</v>
      </c>
      <c r="BG469" s="140">
        <v>1</v>
      </c>
      <c r="BH469" s="140">
        <v>0</v>
      </c>
      <c r="BI469" s="140">
        <v>0</v>
      </c>
      <c r="BJ469" s="140">
        <v>0</v>
      </c>
      <c r="BK469" s="140">
        <v>0</v>
      </c>
      <c r="BL469" s="140">
        <v>0</v>
      </c>
      <c r="BM469" s="140">
        <v>0</v>
      </c>
      <c r="BN469" s="140">
        <v>0</v>
      </c>
      <c r="BO469" s="140">
        <v>0</v>
      </c>
      <c r="BQ469" s="89"/>
      <c r="BU469" s="89"/>
      <c r="BX469" s="43">
        <v>14</v>
      </c>
      <c r="BZ469" s="90">
        <f t="shared" si="41"/>
        <v>-0.5</v>
      </c>
      <c r="CA469" s="90">
        <f t="shared" si="41"/>
        <v>-0.5</v>
      </c>
      <c r="CT469" s="90">
        <f t="shared" si="38"/>
        <v>-1</v>
      </c>
      <c r="CU469" s="90">
        <f t="shared" si="39"/>
        <v>-1</v>
      </c>
    </row>
    <row r="470" spans="1:99" ht="12" customHeight="1">
      <c r="A470" s="43">
        <v>7237</v>
      </c>
      <c r="B470" s="89" t="s">
        <v>813</v>
      </c>
      <c r="C470" s="89" t="s">
        <v>1494</v>
      </c>
      <c r="D470" s="89" t="s">
        <v>1495</v>
      </c>
      <c r="F470" s="43">
        <v>526940</v>
      </c>
      <c r="G470" s="43">
        <v>175221</v>
      </c>
      <c r="H470" s="89" t="s">
        <v>170</v>
      </c>
      <c r="I470" s="125">
        <v>43819</v>
      </c>
      <c r="K470" s="140">
        <v>0</v>
      </c>
      <c r="L470" s="140">
        <v>1</v>
      </c>
      <c r="M470" s="140">
        <v>1</v>
      </c>
      <c r="N470" s="140">
        <v>2</v>
      </c>
      <c r="O470" s="140">
        <v>2</v>
      </c>
      <c r="Q470" s="89" t="s">
        <v>1496</v>
      </c>
      <c r="R470" s="43" t="s">
        <v>316</v>
      </c>
      <c r="S470" s="125">
        <v>43712</v>
      </c>
      <c r="T470" s="117">
        <v>43770</v>
      </c>
      <c r="U470" s="43" t="s">
        <v>329</v>
      </c>
      <c r="V470" s="43" t="s">
        <v>317</v>
      </c>
      <c r="X470" s="43" t="s">
        <v>318</v>
      </c>
      <c r="Y470" s="43" t="s">
        <v>319</v>
      </c>
      <c r="Z470" s="43" t="s">
        <v>320</v>
      </c>
      <c r="AA470" s="43" t="s">
        <v>30</v>
      </c>
      <c r="AB470" s="144">
        <v>3.0000000260770299E-3</v>
      </c>
      <c r="AC470" s="125">
        <v>43819</v>
      </c>
      <c r="AD470" s="43" t="s">
        <v>329</v>
      </c>
      <c r="AF470" s="43" t="s">
        <v>75</v>
      </c>
      <c r="AG470" s="43" t="s">
        <v>322</v>
      </c>
      <c r="AJ470" s="140">
        <v>0</v>
      </c>
      <c r="AK470" s="140">
        <v>0</v>
      </c>
      <c r="AL470" s="140">
        <v>0</v>
      </c>
      <c r="AM470" s="140">
        <v>0</v>
      </c>
      <c r="AN470" s="140">
        <v>1</v>
      </c>
      <c r="AO470" s="140">
        <v>0</v>
      </c>
      <c r="AP470" s="140">
        <v>0</v>
      </c>
      <c r="AQ470" s="140">
        <v>0</v>
      </c>
      <c r="AR470" s="140">
        <v>0</v>
      </c>
      <c r="AS470" s="140">
        <v>0</v>
      </c>
      <c r="AT470" s="140">
        <v>0</v>
      </c>
      <c r="AU470" s="140">
        <v>1</v>
      </c>
      <c r="AV470" s="140">
        <v>0</v>
      </c>
      <c r="AW470" s="140">
        <v>0</v>
      </c>
      <c r="AX470" s="140">
        <v>0</v>
      </c>
      <c r="AY470" s="140">
        <v>0</v>
      </c>
      <c r="AZ470" s="140">
        <v>0</v>
      </c>
      <c r="BA470" s="140">
        <v>0</v>
      </c>
      <c r="BB470" s="140">
        <v>0</v>
      </c>
      <c r="BC470" s="140">
        <v>0</v>
      </c>
      <c r="BD470" s="140">
        <v>0</v>
      </c>
      <c r="BE470" s="140">
        <v>0</v>
      </c>
      <c r="BF470" s="140">
        <v>0</v>
      </c>
      <c r="BG470" s="140">
        <v>0</v>
      </c>
      <c r="BH470" s="140">
        <v>0</v>
      </c>
      <c r="BI470" s="140">
        <v>0</v>
      </c>
      <c r="BJ470" s="140">
        <v>0</v>
      </c>
      <c r="BK470" s="140">
        <v>0</v>
      </c>
      <c r="BL470" s="140">
        <v>0</v>
      </c>
      <c r="BM470" s="140">
        <v>0</v>
      </c>
      <c r="BN470" s="140">
        <v>0</v>
      </c>
      <c r="BO470" s="140">
        <v>0</v>
      </c>
      <c r="BQ470" s="89"/>
      <c r="BU470" s="89"/>
      <c r="BX470" s="43">
        <v>14</v>
      </c>
      <c r="BZ470" s="90">
        <f t="shared" si="41"/>
        <v>0.5</v>
      </c>
      <c r="CA470" s="90">
        <f t="shared" si="41"/>
        <v>0.5</v>
      </c>
      <c r="CT470" s="90">
        <f t="shared" si="38"/>
        <v>1</v>
      </c>
      <c r="CU470" s="90">
        <f t="shared" si="39"/>
        <v>1</v>
      </c>
    </row>
    <row r="471" spans="1:99" ht="12" customHeight="1">
      <c r="A471" s="43">
        <v>7237</v>
      </c>
      <c r="B471" s="89" t="s">
        <v>813</v>
      </c>
      <c r="C471" s="89" t="s">
        <v>1494</v>
      </c>
      <c r="D471" s="89" t="s">
        <v>1495</v>
      </c>
      <c r="F471" s="43">
        <v>526940</v>
      </c>
      <c r="G471" s="43">
        <v>175221</v>
      </c>
      <c r="H471" s="89" t="s">
        <v>170</v>
      </c>
      <c r="I471" s="125">
        <v>43819</v>
      </c>
      <c r="K471" s="140">
        <v>0</v>
      </c>
      <c r="L471" s="140">
        <v>1</v>
      </c>
      <c r="M471" s="140">
        <v>1</v>
      </c>
      <c r="N471" s="140">
        <v>2</v>
      </c>
      <c r="O471" s="140">
        <v>2</v>
      </c>
      <c r="Q471" s="89" t="s">
        <v>1496</v>
      </c>
      <c r="R471" s="43" t="s">
        <v>316</v>
      </c>
      <c r="S471" s="125">
        <v>43712</v>
      </c>
      <c r="T471" s="117">
        <v>43770</v>
      </c>
      <c r="U471" s="43" t="s">
        <v>329</v>
      </c>
      <c r="V471" s="43" t="s">
        <v>317</v>
      </c>
      <c r="X471" s="43" t="s">
        <v>318</v>
      </c>
      <c r="Y471" s="43" t="s">
        <v>319</v>
      </c>
      <c r="Z471" s="43" t="s">
        <v>320</v>
      </c>
      <c r="AA471" s="43" t="s">
        <v>340</v>
      </c>
      <c r="AB471" s="144">
        <v>4.9999998882412902E-3</v>
      </c>
      <c r="AC471" s="125">
        <v>43819</v>
      </c>
      <c r="AD471" s="43" t="s">
        <v>329</v>
      </c>
      <c r="AF471" s="43" t="s">
        <v>75</v>
      </c>
      <c r="AG471" s="43" t="s">
        <v>322</v>
      </c>
      <c r="AJ471" s="140">
        <v>0</v>
      </c>
      <c r="AK471" s="140">
        <v>0</v>
      </c>
      <c r="AL471" s="140">
        <v>0</v>
      </c>
      <c r="AM471" s="140">
        <v>0</v>
      </c>
      <c r="AN471" s="140">
        <v>0</v>
      </c>
      <c r="AO471" s="140">
        <v>1</v>
      </c>
      <c r="AP471" s="140">
        <v>0</v>
      </c>
      <c r="AQ471" s="140">
        <v>0</v>
      </c>
      <c r="AR471" s="140">
        <v>0</v>
      </c>
      <c r="AS471" s="140">
        <v>0</v>
      </c>
      <c r="AT471" s="140">
        <v>0</v>
      </c>
      <c r="AU471" s="140">
        <v>0</v>
      </c>
      <c r="AV471" s="140">
        <v>1</v>
      </c>
      <c r="AW471" s="140">
        <v>0</v>
      </c>
      <c r="AX471" s="140">
        <v>0</v>
      </c>
      <c r="AY471" s="140">
        <v>0</v>
      </c>
      <c r="AZ471" s="140">
        <v>0</v>
      </c>
      <c r="BA471" s="140">
        <v>0</v>
      </c>
      <c r="BB471" s="140">
        <v>0</v>
      </c>
      <c r="BC471" s="140">
        <v>0</v>
      </c>
      <c r="BD471" s="140">
        <v>0</v>
      </c>
      <c r="BE471" s="140">
        <v>0</v>
      </c>
      <c r="BF471" s="140">
        <v>0</v>
      </c>
      <c r="BG471" s="140">
        <v>0</v>
      </c>
      <c r="BH471" s="140">
        <v>0</v>
      </c>
      <c r="BI471" s="140">
        <v>0</v>
      </c>
      <c r="BJ471" s="140">
        <v>0</v>
      </c>
      <c r="BK471" s="140">
        <v>0</v>
      </c>
      <c r="BL471" s="140">
        <v>0</v>
      </c>
      <c r="BM471" s="140">
        <v>0</v>
      </c>
      <c r="BN471" s="140">
        <v>0</v>
      </c>
      <c r="BO471" s="140">
        <v>0</v>
      </c>
      <c r="BQ471" s="89"/>
      <c r="BU471" s="89"/>
      <c r="BX471" s="43">
        <v>14</v>
      </c>
      <c r="BZ471" s="90">
        <f t="shared" si="41"/>
        <v>0.5</v>
      </c>
      <c r="CA471" s="90">
        <f t="shared" si="41"/>
        <v>0.5</v>
      </c>
      <c r="CT471" s="90">
        <f t="shared" si="38"/>
        <v>1</v>
      </c>
      <c r="CU471" s="90">
        <f t="shared" si="39"/>
        <v>1</v>
      </c>
    </row>
    <row r="472" spans="1:99" ht="12" customHeight="1">
      <c r="A472" s="43">
        <v>7255</v>
      </c>
      <c r="B472" s="89" t="s">
        <v>813</v>
      </c>
      <c r="C472" s="89" t="s">
        <v>1497</v>
      </c>
      <c r="D472" s="89" t="s">
        <v>1498</v>
      </c>
      <c r="F472" s="43">
        <v>527569</v>
      </c>
      <c r="G472" s="43">
        <v>175159</v>
      </c>
      <c r="H472" s="89" t="s">
        <v>174</v>
      </c>
      <c r="I472" s="125">
        <v>43921</v>
      </c>
      <c r="K472" s="140">
        <v>0</v>
      </c>
      <c r="L472" s="140">
        <v>1</v>
      </c>
      <c r="M472" s="140">
        <v>1</v>
      </c>
      <c r="N472" s="140">
        <v>1</v>
      </c>
      <c r="O472" s="140">
        <v>1</v>
      </c>
      <c r="Q472" s="89" t="s">
        <v>1499</v>
      </c>
      <c r="R472" s="43" t="s">
        <v>316</v>
      </c>
      <c r="S472" s="125">
        <v>43728</v>
      </c>
      <c r="T472" s="117">
        <v>43854</v>
      </c>
      <c r="U472" s="43" t="s">
        <v>329</v>
      </c>
      <c r="V472" s="43" t="s">
        <v>317</v>
      </c>
      <c r="X472" s="43" t="s">
        <v>318</v>
      </c>
      <c r="Y472" s="43" t="s">
        <v>319</v>
      </c>
      <c r="Z472" s="43" t="s">
        <v>320</v>
      </c>
      <c r="AA472" s="43" t="s">
        <v>340</v>
      </c>
      <c r="AB472" s="144">
        <v>3.0000000260770299E-3</v>
      </c>
      <c r="AC472" s="125">
        <v>43921</v>
      </c>
      <c r="AD472" s="43" t="s">
        <v>329</v>
      </c>
      <c r="AF472" s="43" t="s">
        <v>75</v>
      </c>
      <c r="AG472" s="43" t="s">
        <v>322</v>
      </c>
      <c r="AJ472" s="140">
        <v>0</v>
      </c>
      <c r="AK472" s="140">
        <v>0</v>
      </c>
      <c r="AL472" s="140">
        <v>0</v>
      </c>
      <c r="AM472" s="140">
        <v>0</v>
      </c>
      <c r="AN472" s="140">
        <v>0</v>
      </c>
      <c r="AO472" s="140">
        <v>1</v>
      </c>
      <c r="AP472" s="140">
        <v>0</v>
      </c>
      <c r="AQ472" s="140">
        <v>0</v>
      </c>
      <c r="AR472" s="140">
        <v>0</v>
      </c>
      <c r="AS472" s="140">
        <v>0</v>
      </c>
      <c r="AT472" s="140">
        <v>0</v>
      </c>
      <c r="AU472" s="140">
        <v>0</v>
      </c>
      <c r="AV472" s="140">
        <v>1</v>
      </c>
      <c r="AW472" s="140">
        <v>0</v>
      </c>
      <c r="AX472" s="140">
        <v>0</v>
      </c>
      <c r="AY472" s="140">
        <v>0</v>
      </c>
      <c r="AZ472" s="140">
        <v>0</v>
      </c>
      <c r="BA472" s="140">
        <v>0</v>
      </c>
      <c r="BB472" s="140">
        <v>0</v>
      </c>
      <c r="BC472" s="140">
        <v>0</v>
      </c>
      <c r="BD472" s="140">
        <v>0</v>
      </c>
      <c r="BE472" s="140">
        <v>0</v>
      </c>
      <c r="BF472" s="140">
        <v>0</v>
      </c>
      <c r="BG472" s="140">
        <v>0</v>
      </c>
      <c r="BH472" s="140">
        <v>0</v>
      </c>
      <c r="BI472" s="140">
        <v>0</v>
      </c>
      <c r="BJ472" s="140">
        <v>0</v>
      </c>
      <c r="BK472" s="140">
        <v>0</v>
      </c>
      <c r="BL472" s="140">
        <v>0</v>
      </c>
      <c r="BM472" s="140">
        <v>0</v>
      </c>
      <c r="BN472" s="140">
        <v>0</v>
      </c>
      <c r="BO472" s="140">
        <v>0</v>
      </c>
      <c r="BP472" s="43" t="s">
        <v>139</v>
      </c>
      <c r="BQ472" s="89"/>
      <c r="BU472" s="89"/>
      <c r="BX472" s="43">
        <v>14</v>
      </c>
      <c r="BZ472" s="90">
        <f t="shared" si="41"/>
        <v>0.5</v>
      </c>
      <c r="CA472" s="90">
        <f t="shared" si="41"/>
        <v>0.5</v>
      </c>
      <c r="CT472" s="90">
        <f t="shared" si="38"/>
        <v>1</v>
      </c>
      <c r="CU472" s="90">
        <f t="shared" si="39"/>
        <v>1</v>
      </c>
    </row>
    <row r="473" spans="1:99" ht="12" customHeight="1">
      <c r="A473" s="43">
        <v>7261</v>
      </c>
      <c r="B473" s="89" t="s">
        <v>813</v>
      </c>
      <c r="C473" s="89" t="s">
        <v>1500</v>
      </c>
      <c r="D473" s="89" t="s">
        <v>1501</v>
      </c>
      <c r="F473" s="43">
        <v>526747</v>
      </c>
      <c r="G473" s="43">
        <v>174635</v>
      </c>
      <c r="H473" s="89" t="s">
        <v>179</v>
      </c>
      <c r="I473" s="125">
        <v>43888</v>
      </c>
      <c r="K473" s="140">
        <v>3</v>
      </c>
      <c r="L473" s="140">
        <v>2</v>
      </c>
      <c r="M473" s="140">
        <v>-1</v>
      </c>
      <c r="N473" s="140">
        <v>2</v>
      </c>
      <c r="O473" s="140">
        <v>-1</v>
      </c>
      <c r="Q473" s="89" t="s">
        <v>1502</v>
      </c>
      <c r="R473" s="43" t="s">
        <v>316</v>
      </c>
      <c r="S473" s="125">
        <v>43691</v>
      </c>
      <c r="T473" s="117">
        <v>43762</v>
      </c>
      <c r="U473" s="43" t="s">
        <v>329</v>
      </c>
      <c r="V473" s="43" t="s">
        <v>317</v>
      </c>
      <c r="X473" s="43" t="s">
        <v>318</v>
      </c>
      <c r="Y473" s="43" t="s">
        <v>348</v>
      </c>
      <c r="Z473" s="43" t="s">
        <v>320</v>
      </c>
      <c r="AA473" s="43" t="s">
        <v>636</v>
      </c>
      <c r="AB473" s="144">
        <v>8.9000001549720806E-2</v>
      </c>
      <c r="AC473" s="125">
        <v>43888</v>
      </c>
      <c r="AD473" s="43" t="s">
        <v>329</v>
      </c>
      <c r="AF473" s="43" t="s">
        <v>75</v>
      </c>
      <c r="AG473" s="43" t="s">
        <v>322</v>
      </c>
      <c r="AJ473" s="140">
        <v>0</v>
      </c>
      <c r="AK473" s="140">
        <v>0</v>
      </c>
      <c r="AL473" s="140">
        <v>0</v>
      </c>
      <c r="AM473" s="140">
        <v>0</v>
      </c>
      <c r="AN473" s="140">
        <v>0</v>
      </c>
      <c r="AO473" s="140">
        <v>-2</v>
      </c>
      <c r="AP473" s="140">
        <v>1</v>
      </c>
      <c r="AQ473" s="140">
        <v>0</v>
      </c>
      <c r="AR473" s="140">
        <v>-1</v>
      </c>
      <c r="AS473" s="140">
        <v>1</v>
      </c>
      <c r="AT473" s="140">
        <v>0</v>
      </c>
      <c r="AU473" s="140">
        <v>0</v>
      </c>
      <c r="AV473" s="140">
        <v>-2</v>
      </c>
      <c r="AW473" s="140">
        <v>1</v>
      </c>
      <c r="AX473" s="140">
        <v>0</v>
      </c>
      <c r="AY473" s="140">
        <v>-1</v>
      </c>
      <c r="AZ473" s="140">
        <v>1</v>
      </c>
      <c r="BA473" s="140">
        <v>0</v>
      </c>
      <c r="BB473" s="140">
        <v>0</v>
      </c>
      <c r="BC473" s="140">
        <v>0</v>
      </c>
      <c r="BD473" s="140">
        <v>0</v>
      </c>
      <c r="BE473" s="140">
        <v>0</v>
      </c>
      <c r="BF473" s="140">
        <v>0</v>
      </c>
      <c r="BG473" s="140">
        <v>0</v>
      </c>
      <c r="BH473" s="140">
        <v>0</v>
      </c>
      <c r="BI473" s="140">
        <v>0</v>
      </c>
      <c r="BJ473" s="140">
        <v>0</v>
      </c>
      <c r="BK473" s="140">
        <v>0</v>
      </c>
      <c r="BL473" s="140">
        <v>0</v>
      </c>
      <c r="BM473" s="140">
        <v>0</v>
      </c>
      <c r="BN473" s="140">
        <v>0</v>
      </c>
      <c r="BO473" s="140">
        <v>0</v>
      </c>
      <c r="BQ473" s="89"/>
      <c r="BU473" s="89"/>
      <c r="BX473" s="43">
        <v>14</v>
      </c>
      <c r="BZ473" s="90">
        <f t="shared" si="41"/>
        <v>-0.5</v>
      </c>
      <c r="CA473" s="90">
        <f t="shared" si="41"/>
        <v>-0.5</v>
      </c>
      <c r="CT473" s="90">
        <f t="shared" si="38"/>
        <v>-1</v>
      </c>
      <c r="CU473" s="90">
        <f t="shared" si="39"/>
        <v>-1</v>
      </c>
    </row>
    <row r="474" spans="1:99" ht="12" customHeight="1">
      <c r="A474" s="43">
        <v>7282</v>
      </c>
      <c r="B474" s="89" t="s">
        <v>813</v>
      </c>
      <c r="C474" s="89" t="s">
        <v>1503</v>
      </c>
      <c r="D474" s="89" t="s">
        <v>1504</v>
      </c>
      <c r="F474" s="43">
        <v>526085</v>
      </c>
      <c r="G474" s="43">
        <v>174651</v>
      </c>
      <c r="H474" s="89" t="s">
        <v>170</v>
      </c>
      <c r="I474" s="125">
        <v>43893</v>
      </c>
      <c r="K474" s="140">
        <v>2</v>
      </c>
      <c r="L474" s="140">
        <v>1</v>
      </c>
      <c r="M474" s="140">
        <v>-1</v>
      </c>
      <c r="N474" s="140">
        <v>1</v>
      </c>
      <c r="O474" s="140">
        <v>-1</v>
      </c>
      <c r="Q474" s="89" t="s">
        <v>1505</v>
      </c>
      <c r="R474" s="43" t="s">
        <v>316</v>
      </c>
      <c r="S474" s="125">
        <v>43781</v>
      </c>
      <c r="T474" s="117">
        <v>43837</v>
      </c>
      <c r="U474" s="43" t="s">
        <v>329</v>
      </c>
      <c r="V474" s="43" t="s">
        <v>317</v>
      </c>
      <c r="X474" s="43" t="s">
        <v>318</v>
      </c>
      <c r="Y474" s="43" t="s">
        <v>348</v>
      </c>
      <c r="Z474" s="43" t="s">
        <v>320</v>
      </c>
      <c r="AA474" s="43" t="s">
        <v>22</v>
      </c>
      <c r="AB474" s="144">
        <v>1.4000000432133701E-2</v>
      </c>
      <c r="AC474" s="125">
        <v>43893</v>
      </c>
      <c r="AD474" s="43" t="s">
        <v>329</v>
      </c>
      <c r="AF474" s="43" t="s">
        <v>75</v>
      </c>
      <c r="AG474" s="43" t="s">
        <v>322</v>
      </c>
      <c r="AJ474" s="140">
        <v>0</v>
      </c>
      <c r="AK474" s="140">
        <v>0</v>
      </c>
      <c r="AL474" s="140">
        <v>0</v>
      </c>
      <c r="AM474" s="140">
        <v>0</v>
      </c>
      <c r="AN474" s="140">
        <v>0</v>
      </c>
      <c r="AO474" s="140">
        <v>-1</v>
      </c>
      <c r="AP474" s="140">
        <v>0</v>
      </c>
      <c r="AQ474" s="140">
        <v>0</v>
      </c>
      <c r="AR474" s="140">
        <v>-1</v>
      </c>
      <c r="AS474" s="140">
        <v>1</v>
      </c>
      <c r="AT474" s="140">
        <v>0</v>
      </c>
      <c r="AU474" s="140">
        <v>0</v>
      </c>
      <c r="AV474" s="140">
        <v>-1</v>
      </c>
      <c r="AW474" s="140">
        <v>0</v>
      </c>
      <c r="AX474" s="140">
        <v>0</v>
      </c>
      <c r="AY474" s="140">
        <v>-1</v>
      </c>
      <c r="AZ474" s="140">
        <v>0</v>
      </c>
      <c r="BA474" s="140">
        <v>0</v>
      </c>
      <c r="BB474" s="140">
        <v>0</v>
      </c>
      <c r="BC474" s="140">
        <v>0</v>
      </c>
      <c r="BD474" s="140">
        <v>0</v>
      </c>
      <c r="BE474" s="140">
        <v>0</v>
      </c>
      <c r="BF474" s="140">
        <v>0</v>
      </c>
      <c r="BG474" s="140">
        <v>1</v>
      </c>
      <c r="BH474" s="140">
        <v>0</v>
      </c>
      <c r="BI474" s="140">
        <v>0</v>
      </c>
      <c r="BJ474" s="140">
        <v>0</v>
      </c>
      <c r="BK474" s="140">
        <v>0</v>
      </c>
      <c r="BL474" s="140">
        <v>0</v>
      </c>
      <c r="BM474" s="140">
        <v>0</v>
      </c>
      <c r="BN474" s="140">
        <v>0</v>
      </c>
      <c r="BO474" s="140">
        <v>0</v>
      </c>
      <c r="BQ474" s="89"/>
      <c r="BU474" s="89"/>
      <c r="BX474" s="43">
        <v>14</v>
      </c>
      <c r="BZ474" s="90">
        <f t="shared" si="41"/>
        <v>-0.5</v>
      </c>
      <c r="CA474" s="90">
        <f t="shared" si="41"/>
        <v>-0.5</v>
      </c>
      <c r="CT474" s="90">
        <f t="shared" si="38"/>
        <v>-1</v>
      </c>
      <c r="CU474" s="90">
        <f t="shared" si="39"/>
        <v>-1</v>
      </c>
    </row>
    <row r="475" spans="1:99" ht="12" customHeight="1">
      <c r="A475" s="43">
        <v>7286</v>
      </c>
      <c r="B475" s="89" t="s">
        <v>813</v>
      </c>
      <c r="C475" s="89" t="s">
        <v>1506</v>
      </c>
      <c r="D475" s="89" t="s">
        <v>1507</v>
      </c>
      <c r="F475" s="43">
        <v>523312</v>
      </c>
      <c r="G475" s="43">
        <v>173708</v>
      </c>
      <c r="H475" s="89" t="s">
        <v>149</v>
      </c>
      <c r="I475" s="125">
        <v>43921</v>
      </c>
      <c r="K475" s="140">
        <v>0</v>
      </c>
      <c r="L475" s="140">
        <v>1</v>
      </c>
      <c r="M475" s="140">
        <v>1</v>
      </c>
      <c r="N475" s="140">
        <v>1</v>
      </c>
      <c r="O475" s="140">
        <v>1</v>
      </c>
      <c r="Q475" s="89" t="s">
        <v>1508</v>
      </c>
      <c r="R475" s="43" t="s">
        <v>316</v>
      </c>
      <c r="S475" s="125">
        <v>43789</v>
      </c>
      <c r="T475" s="117">
        <v>43847</v>
      </c>
      <c r="U475" s="43" t="s">
        <v>329</v>
      </c>
      <c r="V475" s="43" t="s">
        <v>317</v>
      </c>
      <c r="X475" s="43" t="s">
        <v>318</v>
      </c>
      <c r="Y475" s="43" t="s">
        <v>336</v>
      </c>
      <c r="Z475" s="43" t="s">
        <v>320</v>
      </c>
      <c r="AA475" s="43" t="s">
        <v>36</v>
      </c>
      <c r="AB475" s="144">
        <v>1.09999999403954E-2</v>
      </c>
      <c r="AC475" s="125">
        <v>43921</v>
      </c>
      <c r="AD475" s="43" t="s">
        <v>329</v>
      </c>
      <c r="AF475" s="43" t="s">
        <v>75</v>
      </c>
      <c r="AG475" s="43" t="s">
        <v>322</v>
      </c>
      <c r="AJ475" s="140">
        <v>0</v>
      </c>
      <c r="AK475" s="140">
        <v>0</v>
      </c>
      <c r="AL475" s="140">
        <v>0</v>
      </c>
      <c r="AM475" s="140">
        <v>0</v>
      </c>
      <c r="AN475" s="140">
        <v>0</v>
      </c>
      <c r="AO475" s="140">
        <v>1</v>
      </c>
      <c r="AP475" s="140">
        <v>0</v>
      </c>
      <c r="AQ475" s="140">
        <v>0</v>
      </c>
      <c r="AR475" s="140">
        <v>0</v>
      </c>
      <c r="AS475" s="140">
        <v>0</v>
      </c>
      <c r="AT475" s="140">
        <v>0</v>
      </c>
      <c r="AU475" s="140">
        <v>0</v>
      </c>
      <c r="AV475" s="140">
        <v>1</v>
      </c>
      <c r="AW475" s="140">
        <v>0</v>
      </c>
      <c r="AX475" s="140">
        <v>0</v>
      </c>
      <c r="AY475" s="140">
        <v>0</v>
      </c>
      <c r="AZ475" s="140">
        <v>0</v>
      </c>
      <c r="BA475" s="140">
        <v>0</v>
      </c>
      <c r="BB475" s="140">
        <v>0</v>
      </c>
      <c r="BC475" s="140">
        <v>0</v>
      </c>
      <c r="BD475" s="140">
        <v>0</v>
      </c>
      <c r="BE475" s="140">
        <v>0</v>
      </c>
      <c r="BF475" s="140">
        <v>0</v>
      </c>
      <c r="BG475" s="140">
        <v>0</v>
      </c>
      <c r="BH475" s="140">
        <v>0</v>
      </c>
      <c r="BI475" s="140">
        <v>0</v>
      </c>
      <c r="BJ475" s="140">
        <v>0</v>
      </c>
      <c r="BK475" s="140">
        <v>0</v>
      </c>
      <c r="BL475" s="140">
        <v>0</v>
      </c>
      <c r="BM475" s="140">
        <v>0</v>
      </c>
      <c r="BN475" s="140">
        <v>0</v>
      </c>
      <c r="BO475" s="140">
        <v>0</v>
      </c>
      <c r="BQ475" s="89"/>
      <c r="BU475" s="89"/>
      <c r="BX475" s="43">
        <v>14</v>
      </c>
      <c r="BZ475" s="90">
        <f t="shared" si="41"/>
        <v>0.5</v>
      </c>
      <c r="CA475" s="90">
        <f t="shared" si="41"/>
        <v>0.5</v>
      </c>
      <c r="CT475" s="90">
        <f t="shared" si="38"/>
        <v>1</v>
      </c>
      <c r="CU475" s="90">
        <f t="shared" si="39"/>
        <v>1</v>
      </c>
    </row>
    <row r="476" spans="1:99" ht="12" customHeight="1">
      <c r="A476" s="43">
        <v>7370</v>
      </c>
      <c r="B476" s="89" t="s">
        <v>813</v>
      </c>
      <c r="C476" s="89" t="s">
        <v>1509</v>
      </c>
      <c r="D476" s="89" t="s">
        <v>1510</v>
      </c>
      <c r="F476" s="43">
        <v>524897</v>
      </c>
      <c r="G476" s="43">
        <v>173679</v>
      </c>
      <c r="H476" s="89" t="s">
        <v>176</v>
      </c>
      <c r="I476" s="125">
        <v>43555</v>
      </c>
      <c r="K476" s="140">
        <v>0</v>
      </c>
      <c r="L476" s="140">
        <v>1</v>
      </c>
      <c r="M476" s="140">
        <v>1</v>
      </c>
      <c r="N476" s="140">
        <v>1</v>
      </c>
      <c r="O476" s="140">
        <v>1</v>
      </c>
      <c r="Q476" s="89" t="s">
        <v>1511</v>
      </c>
      <c r="R476" s="43" t="s">
        <v>316</v>
      </c>
      <c r="S476" s="125">
        <v>42760</v>
      </c>
      <c r="T476" s="117">
        <v>42878</v>
      </c>
      <c r="V476" s="43" t="s">
        <v>317</v>
      </c>
      <c r="X476" s="43" t="s">
        <v>318</v>
      </c>
      <c r="Y476" s="43" t="s">
        <v>319</v>
      </c>
      <c r="Z476" s="43" t="s">
        <v>320</v>
      </c>
      <c r="AA476" s="43" t="s">
        <v>33</v>
      </c>
      <c r="AB476" s="144">
        <v>1.8999999389052401E-2</v>
      </c>
      <c r="AC476" s="125">
        <v>43555</v>
      </c>
      <c r="AF476" s="43" t="s">
        <v>75</v>
      </c>
      <c r="AG476" s="43" t="s">
        <v>322</v>
      </c>
      <c r="AJ476" s="140">
        <v>0</v>
      </c>
      <c r="AK476" s="140">
        <v>0</v>
      </c>
      <c r="AL476" s="140">
        <v>0</v>
      </c>
      <c r="AM476" s="140">
        <v>0</v>
      </c>
      <c r="AN476" s="140">
        <v>0</v>
      </c>
      <c r="AO476" s="140">
        <v>0</v>
      </c>
      <c r="AP476" s="140">
        <v>1</v>
      </c>
      <c r="AQ476" s="140">
        <v>0</v>
      </c>
      <c r="AR476" s="140">
        <v>0</v>
      </c>
      <c r="AS476" s="140">
        <v>0</v>
      </c>
      <c r="AT476" s="140">
        <v>0</v>
      </c>
      <c r="AU476" s="140">
        <v>0</v>
      </c>
      <c r="AV476" s="140">
        <v>0</v>
      </c>
      <c r="AW476" s="140">
        <v>0</v>
      </c>
      <c r="AX476" s="140">
        <v>0</v>
      </c>
      <c r="AY476" s="140">
        <v>0</v>
      </c>
      <c r="AZ476" s="140">
        <v>0</v>
      </c>
      <c r="BA476" s="140">
        <v>0</v>
      </c>
      <c r="BB476" s="140">
        <v>0</v>
      </c>
      <c r="BC476" s="140">
        <v>0</v>
      </c>
      <c r="BD476" s="140">
        <v>1</v>
      </c>
      <c r="BE476" s="140">
        <v>0</v>
      </c>
      <c r="BF476" s="140">
        <v>0</v>
      </c>
      <c r="BG476" s="140">
        <v>0</v>
      </c>
      <c r="BH476" s="140">
        <v>0</v>
      </c>
      <c r="BI476" s="140">
        <v>0</v>
      </c>
      <c r="BJ476" s="140">
        <v>0</v>
      </c>
      <c r="BK476" s="140">
        <v>0</v>
      </c>
      <c r="BL476" s="140">
        <v>0</v>
      </c>
      <c r="BM476" s="140">
        <v>0</v>
      </c>
      <c r="BN476" s="140">
        <v>0</v>
      </c>
      <c r="BO476" s="140">
        <v>0</v>
      </c>
      <c r="BX476" s="43">
        <v>13</v>
      </c>
      <c r="BZ476" s="90">
        <f>M476</f>
        <v>1</v>
      </c>
      <c r="CT476" s="90">
        <f t="shared" si="38"/>
        <v>1</v>
      </c>
      <c r="CU476" s="90">
        <f t="shared" si="39"/>
        <v>1</v>
      </c>
    </row>
    <row r="477" spans="1:99" ht="12" customHeight="1">
      <c r="A477" s="43">
        <v>7371</v>
      </c>
      <c r="B477" s="89" t="s">
        <v>813</v>
      </c>
      <c r="C477" s="89" t="s">
        <v>1512</v>
      </c>
      <c r="D477" s="89" t="s">
        <v>1513</v>
      </c>
      <c r="F477" s="43">
        <v>528660</v>
      </c>
      <c r="G477" s="43">
        <v>175992</v>
      </c>
      <c r="H477" s="89" t="s">
        <v>148</v>
      </c>
      <c r="I477" s="125">
        <v>43921</v>
      </c>
      <c r="K477" s="140">
        <v>0</v>
      </c>
      <c r="L477" s="140">
        <v>1</v>
      </c>
      <c r="M477" s="140">
        <v>1</v>
      </c>
      <c r="N477" s="140">
        <v>1</v>
      </c>
      <c r="O477" s="140">
        <v>1</v>
      </c>
      <c r="Q477" s="89" t="s">
        <v>1514</v>
      </c>
      <c r="R477" s="43" t="s">
        <v>316</v>
      </c>
      <c r="S477" s="125">
        <v>43398</v>
      </c>
      <c r="T477" s="117">
        <v>43454</v>
      </c>
      <c r="V477" s="43" t="s">
        <v>317</v>
      </c>
      <c r="X477" s="43" t="s">
        <v>318</v>
      </c>
      <c r="Y477" s="43" t="s">
        <v>361</v>
      </c>
      <c r="Z477" s="43" t="s">
        <v>320</v>
      </c>
      <c r="AA477" s="43" t="s">
        <v>353</v>
      </c>
      <c r="AB477" s="144">
        <v>1.4000000432133701E-2</v>
      </c>
      <c r="AC477" s="125">
        <v>43921</v>
      </c>
      <c r="AD477" s="43" t="s">
        <v>329</v>
      </c>
      <c r="AF477" s="43" t="s">
        <v>75</v>
      </c>
      <c r="AG477" s="43" t="s">
        <v>322</v>
      </c>
      <c r="AJ477" s="140">
        <v>0</v>
      </c>
      <c r="AK477" s="140">
        <v>0</v>
      </c>
      <c r="AL477" s="140">
        <v>0</v>
      </c>
      <c r="AM477" s="140">
        <v>0</v>
      </c>
      <c r="AN477" s="140">
        <v>0</v>
      </c>
      <c r="AO477" s="140">
        <v>0</v>
      </c>
      <c r="AP477" s="140">
        <v>0</v>
      </c>
      <c r="AQ477" s="140">
        <v>1</v>
      </c>
      <c r="AR477" s="140">
        <v>0</v>
      </c>
      <c r="AS477" s="140">
        <v>0</v>
      </c>
      <c r="AT477" s="140">
        <v>0</v>
      </c>
      <c r="AU477" s="140">
        <v>0</v>
      </c>
      <c r="AV477" s="140">
        <v>0</v>
      </c>
      <c r="AW477" s="140">
        <v>0</v>
      </c>
      <c r="AX477" s="140">
        <v>0</v>
      </c>
      <c r="AY477" s="140">
        <v>0</v>
      </c>
      <c r="AZ477" s="140">
        <v>0</v>
      </c>
      <c r="BA477" s="140">
        <v>0</v>
      </c>
      <c r="BB477" s="140">
        <v>0</v>
      </c>
      <c r="BC477" s="140">
        <v>0</v>
      </c>
      <c r="BD477" s="140">
        <v>0</v>
      </c>
      <c r="BE477" s="140">
        <v>1</v>
      </c>
      <c r="BF477" s="140">
        <v>0</v>
      </c>
      <c r="BG477" s="140">
        <v>0</v>
      </c>
      <c r="BH477" s="140">
        <v>0</v>
      </c>
      <c r="BI477" s="140">
        <v>0</v>
      </c>
      <c r="BJ477" s="140">
        <v>0</v>
      </c>
      <c r="BK477" s="140">
        <v>0</v>
      </c>
      <c r="BL477" s="140">
        <v>0</v>
      </c>
      <c r="BM477" s="140">
        <v>0</v>
      </c>
      <c r="BN477" s="140">
        <v>0</v>
      </c>
      <c r="BO477" s="140">
        <v>0</v>
      </c>
      <c r="BX477" s="43">
        <v>3</v>
      </c>
      <c r="BZ477" s="90">
        <f>$M477/2</f>
        <v>0.5</v>
      </c>
      <c r="CA477" s="90">
        <f>$M477/2</f>
        <v>0.5</v>
      </c>
      <c r="CT477" s="90">
        <f t="shared" si="38"/>
        <v>1</v>
      </c>
      <c r="CU477" s="90">
        <f t="shared" si="39"/>
        <v>1</v>
      </c>
    </row>
    <row r="478" spans="1:99" ht="12" customHeight="1">
      <c r="A478" s="43">
        <v>54</v>
      </c>
      <c r="B478" s="89" t="s">
        <v>1515</v>
      </c>
      <c r="C478" s="89" t="s">
        <v>1516</v>
      </c>
      <c r="D478" s="89" t="s">
        <v>1517</v>
      </c>
      <c r="F478" s="43">
        <v>527320</v>
      </c>
      <c r="G478" s="43">
        <v>177144</v>
      </c>
      <c r="H478" s="89" t="s">
        <v>177</v>
      </c>
      <c r="K478" s="140">
        <v>0</v>
      </c>
      <c r="L478" s="140">
        <v>5</v>
      </c>
      <c r="M478" s="140">
        <v>5</v>
      </c>
      <c r="N478" s="140">
        <v>5</v>
      </c>
      <c r="O478" s="140">
        <v>5</v>
      </c>
      <c r="Q478" s="89" t="s">
        <v>1518</v>
      </c>
      <c r="R478" s="43" t="s">
        <v>316</v>
      </c>
      <c r="S478" s="125">
        <v>42765</v>
      </c>
      <c r="T478" s="117">
        <v>43087</v>
      </c>
      <c r="V478" s="43" t="s">
        <v>317</v>
      </c>
      <c r="X478" s="43" t="s">
        <v>318</v>
      </c>
      <c r="Y478" s="43" t="s">
        <v>379</v>
      </c>
      <c r="Z478" s="43" t="s">
        <v>320</v>
      </c>
      <c r="AA478" s="43" t="s">
        <v>340</v>
      </c>
      <c r="AB478" s="144">
        <v>2.70000007003546E-2</v>
      </c>
      <c r="AF478" s="43" t="s">
        <v>75</v>
      </c>
      <c r="AG478" s="43" t="s">
        <v>322</v>
      </c>
      <c r="AJ478" s="140">
        <v>0</v>
      </c>
      <c r="AK478" s="140">
        <v>0</v>
      </c>
      <c r="AL478" s="140">
        <v>0</v>
      </c>
      <c r="AM478" s="140">
        <v>0</v>
      </c>
      <c r="AN478" s="140">
        <v>0</v>
      </c>
      <c r="AO478" s="140">
        <v>1</v>
      </c>
      <c r="AP478" s="140">
        <v>0</v>
      </c>
      <c r="AQ478" s="140">
        <v>4</v>
      </c>
      <c r="AR478" s="140">
        <v>0</v>
      </c>
      <c r="AS478" s="140">
        <v>0</v>
      </c>
      <c r="AT478" s="140">
        <v>0</v>
      </c>
      <c r="AU478" s="140">
        <v>0</v>
      </c>
      <c r="AV478" s="140">
        <v>1</v>
      </c>
      <c r="AW478" s="140">
        <v>0</v>
      </c>
      <c r="AX478" s="140">
        <v>4</v>
      </c>
      <c r="AY478" s="140">
        <v>0</v>
      </c>
      <c r="AZ478" s="140">
        <v>0</v>
      </c>
      <c r="BA478" s="140">
        <v>0</v>
      </c>
      <c r="BB478" s="140">
        <v>0</v>
      </c>
      <c r="BC478" s="140">
        <v>0</v>
      </c>
      <c r="BD478" s="140">
        <v>0</v>
      </c>
      <c r="BE478" s="140">
        <v>0</v>
      </c>
      <c r="BF478" s="140">
        <v>0</v>
      </c>
      <c r="BG478" s="140">
        <v>0</v>
      </c>
      <c r="BH478" s="140">
        <v>0</v>
      </c>
      <c r="BI478" s="140">
        <v>0</v>
      </c>
      <c r="BJ478" s="140">
        <v>0</v>
      </c>
      <c r="BK478" s="140">
        <v>0</v>
      </c>
      <c r="BL478" s="140">
        <v>0</v>
      </c>
      <c r="BM478" s="140">
        <v>0</v>
      </c>
      <c r="BN478" s="140">
        <v>0</v>
      </c>
      <c r="BO478" s="140">
        <v>0</v>
      </c>
      <c r="BV478" s="43" t="s">
        <v>329</v>
      </c>
      <c r="BX478" s="43">
        <v>15</v>
      </c>
      <c r="BZ478" s="90">
        <f>$M478/3</f>
        <v>1.6666666666666667</v>
      </c>
      <c r="CA478" s="90">
        <f>$M478/3</f>
        <v>1.6666666666666667</v>
      </c>
      <c r="CB478" s="90">
        <f>$M478/3</f>
        <v>1.6666666666666667</v>
      </c>
      <c r="CT478" s="90">
        <f t="shared" si="38"/>
        <v>5</v>
      </c>
      <c r="CU478" s="90">
        <f t="shared" si="39"/>
        <v>5</v>
      </c>
    </row>
    <row r="479" spans="1:99" ht="12" customHeight="1">
      <c r="A479" s="43">
        <v>179</v>
      </c>
      <c r="B479" s="89" t="s">
        <v>1515</v>
      </c>
      <c r="C479" s="89" t="s">
        <v>1519</v>
      </c>
      <c r="D479" s="89" t="s">
        <v>1520</v>
      </c>
      <c r="E479" s="89" t="s">
        <v>1521</v>
      </c>
      <c r="F479" s="43">
        <v>524331</v>
      </c>
      <c r="G479" s="43">
        <v>174522</v>
      </c>
      <c r="H479" s="89" t="s">
        <v>178</v>
      </c>
      <c r="K479" s="140">
        <v>0</v>
      </c>
      <c r="L479" s="140">
        <v>4</v>
      </c>
      <c r="M479" s="140">
        <v>4</v>
      </c>
      <c r="N479" s="140">
        <v>7</v>
      </c>
      <c r="O479" s="140">
        <v>7</v>
      </c>
      <c r="Q479" s="89" t="s">
        <v>1522</v>
      </c>
      <c r="R479" s="43" t="s">
        <v>392</v>
      </c>
      <c r="S479" s="125">
        <v>43243</v>
      </c>
      <c r="T479" s="117">
        <v>43756</v>
      </c>
      <c r="U479" s="43" t="s">
        <v>329</v>
      </c>
      <c r="V479" s="43" t="s">
        <v>317</v>
      </c>
      <c r="X479" s="43" t="s">
        <v>318</v>
      </c>
      <c r="Y479" s="43" t="s">
        <v>319</v>
      </c>
      <c r="Z479" s="43" t="s">
        <v>320</v>
      </c>
      <c r="AA479" s="43" t="s">
        <v>36</v>
      </c>
      <c r="AB479" s="144">
        <v>3.9000000804662698E-2</v>
      </c>
      <c r="AF479" s="43" t="s">
        <v>75</v>
      </c>
      <c r="AG479" s="43" t="s">
        <v>322</v>
      </c>
      <c r="AJ479" s="140">
        <v>0</v>
      </c>
      <c r="AK479" s="140">
        <v>0</v>
      </c>
      <c r="AL479" s="140">
        <v>0</v>
      </c>
      <c r="AM479" s="140">
        <v>0</v>
      </c>
      <c r="AN479" s="140">
        <v>0</v>
      </c>
      <c r="AO479" s="140">
        <v>1</v>
      </c>
      <c r="AP479" s="140">
        <v>2</v>
      </c>
      <c r="AQ479" s="140">
        <v>1</v>
      </c>
      <c r="AR479" s="140">
        <v>0</v>
      </c>
      <c r="AS479" s="140">
        <v>0</v>
      </c>
      <c r="AT479" s="140">
        <v>0</v>
      </c>
      <c r="AU479" s="140">
        <v>0</v>
      </c>
      <c r="AV479" s="140">
        <v>1</v>
      </c>
      <c r="AW479" s="140">
        <v>2</v>
      </c>
      <c r="AX479" s="140">
        <v>1</v>
      </c>
      <c r="AY479" s="140">
        <v>0</v>
      </c>
      <c r="AZ479" s="140">
        <v>0</v>
      </c>
      <c r="BA479" s="140">
        <v>0</v>
      </c>
      <c r="BB479" s="140">
        <v>0</v>
      </c>
      <c r="BC479" s="140">
        <v>0</v>
      </c>
      <c r="BD479" s="140">
        <v>0</v>
      </c>
      <c r="BE479" s="140">
        <v>0</v>
      </c>
      <c r="BF479" s="140">
        <v>0</v>
      </c>
      <c r="BG479" s="140">
        <v>0</v>
      </c>
      <c r="BH479" s="140">
        <v>0</v>
      </c>
      <c r="BI479" s="140">
        <v>0</v>
      </c>
      <c r="BJ479" s="140">
        <v>0</v>
      </c>
      <c r="BK479" s="140">
        <v>0</v>
      </c>
      <c r="BL479" s="140">
        <v>0</v>
      </c>
      <c r="BM479" s="140">
        <v>0</v>
      </c>
      <c r="BN479" s="140">
        <v>0</v>
      </c>
      <c r="BO479" s="140">
        <v>0</v>
      </c>
      <c r="BX479" s="43">
        <v>18</v>
      </c>
      <c r="CA479" s="90">
        <f t="shared" ref="CA479:CD480" si="42">$M479/4</f>
        <v>1</v>
      </c>
      <c r="CB479" s="90">
        <f t="shared" si="42"/>
        <v>1</v>
      </c>
      <c r="CC479" s="90">
        <f t="shared" si="42"/>
        <v>1</v>
      </c>
      <c r="CD479" s="90">
        <f t="shared" si="42"/>
        <v>1</v>
      </c>
      <c r="CT479" s="90">
        <f t="shared" si="38"/>
        <v>4</v>
      </c>
      <c r="CU479" s="90">
        <f t="shared" si="39"/>
        <v>4</v>
      </c>
    </row>
    <row r="480" spans="1:99" ht="12" customHeight="1">
      <c r="A480" s="43">
        <v>179</v>
      </c>
      <c r="B480" s="89" t="s">
        <v>1515</v>
      </c>
      <c r="C480" s="89" t="s">
        <v>1519</v>
      </c>
      <c r="D480" s="89" t="s">
        <v>1520</v>
      </c>
      <c r="E480" s="89" t="s">
        <v>1523</v>
      </c>
      <c r="F480" s="43">
        <v>524331</v>
      </c>
      <c r="G480" s="43">
        <v>174522</v>
      </c>
      <c r="H480" s="89" t="s">
        <v>178</v>
      </c>
      <c r="K480" s="140">
        <v>0</v>
      </c>
      <c r="L480" s="140">
        <v>3</v>
      </c>
      <c r="M480" s="140">
        <v>3</v>
      </c>
      <c r="N480" s="140">
        <v>7</v>
      </c>
      <c r="O480" s="140">
        <v>7</v>
      </c>
      <c r="Q480" s="89" t="s">
        <v>1522</v>
      </c>
      <c r="R480" s="43" t="s">
        <v>392</v>
      </c>
      <c r="S480" s="125">
        <v>43243</v>
      </c>
      <c r="T480" s="117">
        <v>43756</v>
      </c>
      <c r="U480" s="43" t="s">
        <v>329</v>
      </c>
      <c r="V480" s="43" t="s">
        <v>317</v>
      </c>
      <c r="X480" s="43" t="s">
        <v>318</v>
      </c>
      <c r="Y480" s="43" t="s">
        <v>319</v>
      </c>
      <c r="Z480" s="43" t="s">
        <v>320</v>
      </c>
      <c r="AA480" s="43" t="s">
        <v>353</v>
      </c>
      <c r="AB480" s="144">
        <v>3.9999999105930301E-2</v>
      </c>
      <c r="AF480" s="43" t="s">
        <v>75</v>
      </c>
      <c r="AG480" s="43" t="s">
        <v>322</v>
      </c>
      <c r="AJ480" s="140">
        <v>0</v>
      </c>
      <c r="AK480" s="140">
        <v>0</v>
      </c>
      <c r="AL480" s="140">
        <v>0</v>
      </c>
      <c r="AM480" s="140">
        <v>0</v>
      </c>
      <c r="AN480" s="140">
        <v>0</v>
      </c>
      <c r="AO480" s="140">
        <v>0</v>
      </c>
      <c r="AP480" s="140">
        <v>2</v>
      </c>
      <c r="AQ480" s="140">
        <v>1</v>
      </c>
      <c r="AR480" s="140">
        <v>0</v>
      </c>
      <c r="AS480" s="140">
        <v>0</v>
      </c>
      <c r="AT480" s="140">
        <v>0</v>
      </c>
      <c r="AU480" s="140">
        <v>0</v>
      </c>
      <c r="AV480" s="140">
        <v>0</v>
      </c>
      <c r="AW480" s="140">
        <v>0</v>
      </c>
      <c r="AX480" s="140">
        <v>0</v>
      </c>
      <c r="AY480" s="140">
        <v>0</v>
      </c>
      <c r="AZ480" s="140">
        <v>0</v>
      </c>
      <c r="BA480" s="140">
        <v>0</v>
      </c>
      <c r="BB480" s="140">
        <v>0</v>
      </c>
      <c r="BC480" s="140">
        <v>0</v>
      </c>
      <c r="BD480" s="140">
        <v>2</v>
      </c>
      <c r="BE480" s="140">
        <v>1</v>
      </c>
      <c r="BF480" s="140">
        <v>0</v>
      </c>
      <c r="BG480" s="140">
        <v>0</v>
      </c>
      <c r="BH480" s="140">
        <v>0</v>
      </c>
      <c r="BI480" s="140">
        <v>0</v>
      </c>
      <c r="BJ480" s="140">
        <v>0</v>
      </c>
      <c r="BK480" s="140">
        <v>0</v>
      </c>
      <c r="BL480" s="140">
        <v>0</v>
      </c>
      <c r="BM480" s="140">
        <v>0</v>
      </c>
      <c r="BN480" s="140">
        <v>0</v>
      </c>
      <c r="BO480" s="140">
        <v>0</v>
      </c>
      <c r="BX480" s="43">
        <v>18</v>
      </c>
      <c r="CA480" s="90">
        <f t="shared" si="42"/>
        <v>0.75</v>
      </c>
      <c r="CB480" s="90">
        <f t="shared" si="42"/>
        <v>0.75</v>
      </c>
      <c r="CC480" s="90">
        <f t="shared" si="42"/>
        <v>0.75</v>
      </c>
      <c r="CD480" s="90">
        <f t="shared" si="42"/>
        <v>0.75</v>
      </c>
      <c r="CT480" s="90">
        <f t="shared" si="38"/>
        <v>3</v>
      </c>
      <c r="CU480" s="90">
        <f t="shared" si="39"/>
        <v>3</v>
      </c>
    </row>
    <row r="481" spans="1:99" ht="12" customHeight="1">
      <c r="A481" s="43">
        <v>182</v>
      </c>
      <c r="B481" s="89" t="s">
        <v>1515</v>
      </c>
      <c r="C481" s="89" t="s">
        <v>1524</v>
      </c>
      <c r="D481" s="89" t="s">
        <v>1525</v>
      </c>
      <c r="F481" s="43">
        <v>526066</v>
      </c>
      <c r="G481" s="43">
        <v>172919</v>
      </c>
      <c r="H481" s="89" t="s">
        <v>168</v>
      </c>
      <c r="K481" s="140">
        <v>1</v>
      </c>
      <c r="L481" s="140">
        <v>3</v>
      </c>
      <c r="M481" s="140">
        <v>2</v>
      </c>
      <c r="N481" s="140">
        <v>4</v>
      </c>
      <c r="O481" s="140">
        <v>3</v>
      </c>
      <c r="Q481" s="89" t="s">
        <v>1526</v>
      </c>
      <c r="R481" s="43" t="s">
        <v>316</v>
      </c>
      <c r="S481" s="125">
        <v>43719</v>
      </c>
      <c r="T481" s="117">
        <v>43787</v>
      </c>
      <c r="U481" s="43" t="s">
        <v>329</v>
      </c>
      <c r="V481" s="43" t="s">
        <v>317</v>
      </c>
      <c r="X481" s="43" t="s">
        <v>318</v>
      </c>
      <c r="Y481" s="43" t="s">
        <v>319</v>
      </c>
      <c r="Z481" s="43" t="s">
        <v>320</v>
      </c>
      <c r="AA481" s="43" t="s">
        <v>321</v>
      </c>
      <c r="AB481" s="144">
        <v>2.19999998807907E-2</v>
      </c>
      <c r="AF481" s="43" t="s">
        <v>75</v>
      </c>
      <c r="AG481" s="43" t="s">
        <v>322</v>
      </c>
      <c r="AJ481" s="140">
        <v>0</v>
      </c>
      <c r="AK481" s="140">
        <v>0</v>
      </c>
      <c r="AL481" s="140">
        <v>0</v>
      </c>
      <c r="AM481" s="140">
        <v>0</v>
      </c>
      <c r="AN481" s="140">
        <v>0</v>
      </c>
      <c r="AO481" s="140">
        <v>0</v>
      </c>
      <c r="AP481" s="140">
        <v>3</v>
      </c>
      <c r="AQ481" s="140">
        <v>0</v>
      </c>
      <c r="AR481" s="140">
        <v>-1</v>
      </c>
      <c r="AS481" s="140">
        <v>0</v>
      </c>
      <c r="AT481" s="140">
        <v>0</v>
      </c>
      <c r="AU481" s="140">
        <v>0</v>
      </c>
      <c r="AV481" s="140">
        <v>0</v>
      </c>
      <c r="AW481" s="140">
        <v>3</v>
      </c>
      <c r="AX481" s="140">
        <v>0</v>
      </c>
      <c r="AY481" s="140">
        <v>-1</v>
      </c>
      <c r="AZ481" s="140">
        <v>0</v>
      </c>
      <c r="BA481" s="140">
        <v>0</v>
      </c>
      <c r="BB481" s="140">
        <v>0</v>
      </c>
      <c r="BC481" s="140">
        <v>0</v>
      </c>
      <c r="BD481" s="140">
        <v>0</v>
      </c>
      <c r="BE481" s="140">
        <v>0</v>
      </c>
      <c r="BF481" s="140">
        <v>0</v>
      </c>
      <c r="BG481" s="140">
        <v>0</v>
      </c>
      <c r="BH481" s="140">
        <v>0</v>
      </c>
      <c r="BI481" s="140">
        <v>0</v>
      </c>
      <c r="BJ481" s="140">
        <v>0</v>
      </c>
      <c r="BK481" s="140">
        <v>0</v>
      </c>
      <c r="BL481" s="140">
        <v>0</v>
      </c>
      <c r="BM481" s="140">
        <v>0</v>
      </c>
      <c r="BN481" s="140">
        <v>0</v>
      </c>
      <c r="BO481" s="140">
        <v>0</v>
      </c>
      <c r="BX481" s="43">
        <v>15</v>
      </c>
      <c r="BZ481" s="90">
        <f t="shared" ref="BZ481:CB482" si="43">$M481/3</f>
        <v>0.66666666666666663</v>
      </c>
      <c r="CA481" s="90">
        <f t="shared" si="43"/>
        <v>0.66666666666666663</v>
      </c>
      <c r="CB481" s="90">
        <f t="shared" si="43"/>
        <v>0.66666666666666663</v>
      </c>
      <c r="CT481" s="90">
        <f t="shared" si="38"/>
        <v>2</v>
      </c>
      <c r="CU481" s="90">
        <f t="shared" si="39"/>
        <v>2</v>
      </c>
    </row>
    <row r="482" spans="1:99" ht="12" customHeight="1">
      <c r="A482" s="43">
        <v>182</v>
      </c>
      <c r="B482" s="89" t="s">
        <v>1515</v>
      </c>
      <c r="C482" s="89" t="s">
        <v>1524</v>
      </c>
      <c r="D482" s="89" t="s">
        <v>1525</v>
      </c>
      <c r="F482" s="43">
        <v>526066</v>
      </c>
      <c r="G482" s="43">
        <v>172919</v>
      </c>
      <c r="H482" s="89" t="s">
        <v>168</v>
      </c>
      <c r="K482" s="140">
        <v>0</v>
      </c>
      <c r="L482" s="140">
        <v>1</v>
      </c>
      <c r="M482" s="140">
        <v>1</v>
      </c>
      <c r="N482" s="140">
        <v>4</v>
      </c>
      <c r="O482" s="140">
        <v>3</v>
      </c>
      <c r="Q482" s="89" t="s">
        <v>1526</v>
      </c>
      <c r="R482" s="43" t="s">
        <v>316</v>
      </c>
      <c r="S482" s="125">
        <v>43719</v>
      </c>
      <c r="T482" s="117">
        <v>43787</v>
      </c>
      <c r="U482" s="43" t="s">
        <v>329</v>
      </c>
      <c r="V482" s="43" t="s">
        <v>317</v>
      </c>
      <c r="X482" s="43" t="s">
        <v>318</v>
      </c>
      <c r="Y482" s="43" t="s">
        <v>319</v>
      </c>
      <c r="Z482" s="43" t="s">
        <v>320</v>
      </c>
      <c r="AA482" s="43" t="s">
        <v>33</v>
      </c>
      <c r="AB482" s="144">
        <v>7.0000002160668399E-3</v>
      </c>
      <c r="AF482" s="43" t="s">
        <v>75</v>
      </c>
      <c r="AG482" s="43" t="s">
        <v>322</v>
      </c>
      <c r="AJ482" s="140">
        <v>0</v>
      </c>
      <c r="AK482" s="140">
        <v>0</v>
      </c>
      <c r="AL482" s="140">
        <v>0</v>
      </c>
      <c r="AM482" s="140">
        <v>0</v>
      </c>
      <c r="AN482" s="140">
        <v>0</v>
      </c>
      <c r="AO482" s="140">
        <v>0</v>
      </c>
      <c r="AP482" s="140">
        <v>1</v>
      </c>
      <c r="AQ482" s="140">
        <v>0</v>
      </c>
      <c r="AR482" s="140">
        <v>0</v>
      </c>
      <c r="AS482" s="140">
        <v>0</v>
      </c>
      <c r="AT482" s="140">
        <v>0</v>
      </c>
      <c r="AU482" s="140">
        <v>0</v>
      </c>
      <c r="AV482" s="140">
        <v>0</v>
      </c>
      <c r="AW482" s="140">
        <v>1</v>
      </c>
      <c r="AX482" s="140">
        <v>0</v>
      </c>
      <c r="AY482" s="140">
        <v>0</v>
      </c>
      <c r="AZ482" s="140">
        <v>0</v>
      </c>
      <c r="BA482" s="140">
        <v>0</v>
      </c>
      <c r="BB482" s="140">
        <v>0</v>
      </c>
      <c r="BC482" s="140">
        <v>0</v>
      </c>
      <c r="BD482" s="140">
        <v>0</v>
      </c>
      <c r="BE482" s="140">
        <v>0</v>
      </c>
      <c r="BF482" s="140">
        <v>0</v>
      </c>
      <c r="BG482" s="140">
        <v>0</v>
      </c>
      <c r="BH482" s="140">
        <v>0</v>
      </c>
      <c r="BI482" s="140">
        <v>0</v>
      </c>
      <c r="BJ482" s="140">
        <v>0</v>
      </c>
      <c r="BK482" s="140">
        <v>0</v>
      </c>
      <c r="BL482" s="140">
        <v>0</v>
      </c>
      <c r="BM482" s="140">
        <v>0</v>
      </c>
      <c r="BN482" s="140">
        <v>0</v>
      </c>
      <c r="BO482" s="140">
        <v>0</v>
      </c>
      <c r="BX482" s="43">
        <v>15</v>
      </c>
      <c r="BZ482" s="90">
        <f t="shared" si="43"/>
        <v>0.33333333333333331</v>
      </c>
      <c r="CA482" s="90">
        <f t="shared" si="43"/>
        <v>0.33333333333333331</v>
      </c>
      <c r="CB482" s="90">
        <f t="shared" si="43"/>
        <v>0.33333333333333331</v>
      </c>
      <c r="CT482" s="90">
        <f t="shared" si="38"/>
        <v>1</v>
      </c>
      <c r="CU482" s="90">
        <f t="shared" si="39"/>
        <v>1</v>
      </c>
    </row>
    <row r="483" spans="1:99" ht="12" customHeight="1">
      <c r="A483" s="43">
        <v>211</v>
      </c>
      <c r="B483" s="89" t="s">
        <v>1515</v>
      </c>
      <c r="C483" s="89" t="s">
        <v>1527</v>
      </c>
      <c r="D483" s="89" t="s">
        <v>1528</v>
      </c>
      <c r="F483" s="43">
        <v>527282</v>
      </c>
      <c r="G483" s="43">
        <v>176235</v>
      </c>
      <c r="H483" s="89" t="s">
        <v>147</v>
      </c>
      <c r="K483" s="140">
        <v>0</v>
      </c>
      <c r="L483" s="140">
        <v>1</v>
      </c>
      <c r="M483" s="140">
        <v>1</v>
      </c>
      <c r="N483" s="140">
        <v>1</v>
      </c>
      <c r="O483" s="140">
        <v>1</v>
      </c>
      <c r="Q483" s="89" t="s">
        <v>1529</v>
      </c>
      <c r="R483" s="43" t="s">
        <v>316</v>
      </c>
      <c r="S483" s="125">
        <v>43804</v>
      </c>
      <c r="T483" s="117">
        <v>43837</v>
      </c>
      <c r="U483" s="43" t="s">
        <v>329</v>
      </c>
      <c r="V483" s="43" t="s">
        <v>317</v>
      </c>
      <c r="X483" s="43" t="s">
        <v>318</v>
      </c>
      <c r="Y483" s="43" t="s">
        <v>361</v>
      </c>
      <c r="Z483" s="43" t="s">
        <v>320</v>
      </c>
      <c r="AA483" s="43" t="s">
        <v>353</v>
      </c>
      <c r="AB483" s="144">
        <v>0.10700000077485999</v>
      </c>
      <c r="AF483" s="43" t="s">
        <v>75</v>
      </c>
      <c r="AG483" s="43" t="s">
        <v>322</v>
      </c>
      <c r="AJ483" s="140">
        <v>0</v>
      </c>
      <c r="AK483" s="140">
        <v>0</v>
      </c>
      <c r="AL483" s="140">
        <v>0</v>
      </c>
      <c r="AM483" s="140">
        <v>0</v>
      </c>
      <c r="AN483" s="140">
        <v>0</v>
      </c>
      <c r="AO483" s="140">
        <v>0</v>
      </c>
      <c r="AP483" s="140">
        <v>0</v>
      </c>
      <c r="AQ483" s="140">
        <v>1</v>
      </c>
      <c r="AR483" s="140">
        <v>0</v>
      </c>
      <c r="AS483" s="140">
        <v>0</v>
      </c>
      <c r="AT483" s="140">
        <v>0</v>
      </c>
      <c r="AU483" s="140">
        <v>0</v>
      </c>
      <c r="AV483" s="140">
        <v>0</v>
      </c>
      <c r="AW483" s="140">
        <v>0</v>
      </c>
      <c r="AX483" s="140">
        <v>0</v>
      </c>
      <c r="AY483" s="140">
        <v>0</v>
      </c>
      <c r="AZ483" s="140">
        <v>0</v>
      </c>
      <c r="BA483" s="140">
        <v>0</v>
      </c>
      <c r="BB483" s="140">
        <v>0</v>
      </c>
      <c r="BC483" s="140">
        <v>0</v>
      </c>
      <c r="BD483" s="140">
        <v>0</v>
      </c>
      <c r="BE483" s="140">
        <v>1</v>
      </c>
      <c r="BF483" s="140">
        <v>0</v>
      </c>
      <c r="BG483" s="140">
        <v>0</v>
      </c>
      <c r="BH483" s="140">
        <v>0</v>
      </c>
      <c r="BI483" s="140">
        <v>0</v>
      </c>
      <c r="BJ483" s="140">
        <v>0</v>
      </c>
      <c r="BK483" s="140">
        <v>0</v>
      </c>
      <c r="BL483" s="140">
        <v>0</v>
      </c>
      <c r="BM483" s="140">
        <v>0</v>
      </c>
      <c r="BN483" s="140">
        <v>0</v>
      </c>
      <c r="BO483" s="140">
        <v>0</v>
      </c>
      <c r="BX483" s="43">
        <v>6</v>
      </c>
      <c r="CA483" s="90">
        <f>$M483/4</f>
        <v>0.25</v>
      </c>
      <c r="CB483" s="90">
        <f>$M483/4</f>
        <v>0.25</v>
      </c>
      <c r="CC483" s="90">
        <f>$M483/4</f>
        <v>0.25</v>
      </c>
      <c r="CD483" s="90">
        <f>$M483/4</f>
        <v>0.25</v>
      </c>
      <c r="CT483" s="90">
        <f t="shared" si="38"/>
        <v>1</v>
      </c>
      <c r="CU483" s="90">
        <f t="shared" si="39"/>
        <v>1</v>
      </c>
    </row>
    <row r="484" spans="1:99" ht="12" customHeight="1">
      <c r="A484" s="43">
        <v>213</v>
      </c>
      <c r="B484" s="89" t="s">
        <v>1515</v>
      </c>
      <c r="C484" s="89" t="s">
        <v>1530</v>
      </c>
      <c r="D484" s="89" t="s">
        <v>1531</v>
      </c>
      <c r="F484" s="43">
        <v>523620</v>
      </c>
      <c r="G484" s="43">
        <v>175154</v>
      </c>
      <c r="H484" s="89" t="s">
        <v>169</v>
      </c>
      <c r="K484" s="140">
        <v>0</v>
      </c>
      <c r="L484" s="140">
        <v>1</v>
      </c>
      <c r="M484" s="140">
        <v>1</v>
      </c>
      <c r="N484" s="140">
        <v>1</v>
      </c>
      <c r="O484" s="140">
        <v>1</v>
      </c>
      <c r="Q484" s="89" t="s">
        <v>1532</v>
      </c>
      <c r="R484" s="43" t="s">
        <v>316</v>
      </c>
      <c r="S484" s="125">
        <v>42872</v>
      </c>
      <c r="T484" s="117">
        <v>42929</v>
      </c>
      <c r="V484" s="43" t="s">
        <v>317</v>
      </c>
      <c r="X484" s="43" t="s">
        <v>318</v>
      </c>
      <c r="Y484" s="43" t="s">
        <v>336</v>
      </c>
      <c r="Z484" s="43" t="s">
        <v>320</v>
      </c>
      <c r="AA484" s="43" t="s">
        <v>36</v>
      </c>
      <c r="AB484" s="144">
        <v>2.8000000864267301E-2</v>
      </c>
      <c r="AF484" s="43" t="s">
        <v>75</v>
      </c>
      <c r="AG484" s="43" t="s">
        <v>322</v>
      </c>
      <c r="AJ484" s="140">
        <v>0</v>
      </c>
      <c r="AK484" s="140">
        <v>0</v>
      </c>
      <c r="AL484" s="140">
        <v>0</v>
      </c>
      <c r="AM484" s="140">
        <v>0</v>
      </c>
      <c r="AN484" s="140">
        <v>0</v>
      </c>
      <c r="AO484" s="140">
        <v>0</v>
      </c>
      <c r="AP484" s="140">
        <v>1</v>
      </c>
      <c r="AQ484" s="140">
        <v>0</v>
      </c>
      <c r="AR484" s="140">
        <v>0</v>
      </c>
      <c r="AS484" s="140">
        <v>0</v>
      </c>
      <c r="AT484" s="140">
        <v>0</v>
      </c>
      <c r="AU484" s="140">
        <v>0</v>
      </c>
      <c r="AV484" s="140">
        <v>0</v>
      </c>
      <c r="AW484" s="140">
        <v>1</v>
      </c>
      <c r="AX484" s="140">
        <v>0</v>
      </c>
      <c r="AY484" s="140">
        <v>0</v>
      </c>
      <c r="AZ484" s="140">
        <v>0</v>
      </c>
      <c r="BA484" s="140">
        <v>0</v>
      </c>
      <c r="BB484" s="140">
        <v>0</v>
      </c>
      <c r="BC484" s="140">
        <v>0</v>
      </c>
      <c r="BD484" s="140">
        <v>0</v>
      </c>
      <c r="BE484" s="140">
        <v>0</v>
      </c>
      <c r="BF484" s="140">
        <v>0</v>
      </c>
      <c r="BG484" s="140">
        <v>0</v>
      </c>
      <c r="BH484" s="140">
        <v>0</v>
      </c>
      <c r="BI484" s="140">
        <v>0</v>
      </c>
      <c r="BJ484" s="140">
        <v>0</v>
      </c>
      <c r="BK484" s="140">
        <v>0</v>
      </c>
      <c r="BL484" s="140">
        <v>0</v>
      </c>
      <c r="BM484" s="140">
        <v>0</v>
      </c>
      <c r="BN484" s="140">
        <v>0</v>
      </c>
      <c r="BO484" s="140">
        <v>0</v>
      </c>
      <c r="BP484" s="43" t="s">
        <v>140</v>
      </c>
      <c r="BX484" s="43">
        <v>15</v>
      </c>
      <c r="BZ484" s="90">
        <f>$M484/3</f>
        <v>0.33333333333333331</v>
      </c>
      <c r="CA484" s="90">
        <f>$M484/3</f>
        <v>0.33333333333333331</v>
      </c>
      <c r="CB484" s="90">
        <f>$M484/3</f>
        <v>0.33333333333333331</v>
      </c>
      <c r="CT484" s="90">
        <f t="shared" si="38"/>
        <v>1</v>
      </c>
      <c r="CU484" s="90">
        <f t="shared" si="39"/>
        <v>1</v>
      </c>
    </row>
    <row r="485" spans="1:99" ht="12" customHeight="1">
      <c r="A485" s="43">
        <v>419</v>
      </c>
      <c r="B485" s="89" t="s">
        <v>1515</v>
      </c>
      <c r="C485" s="89" t="s">
        <v>1533</v>
      </c>
      <c r="D485" s="89" t="s">
        <v>1534</v>
      </c>
      <c r="F485" s="43">
        <v>527797</v>
      </c>
      <c r="G485" s="43">
        <v>172208</v>
      </c>
      <c r="H485" s="89" t="s">
        <v>141</v>
      </c>
      <c r="K485" s="140">
        <v>0</v>
      </c>
      <c r="L485" s="140">
        <v>4</v>
      </c>
      <c r="M485" s="140">
        <v>4</v>
      </c>
      <c r="N485" s="140">
        <v>4</v>
      </c>
      <c r="O485" s="140">
        <v>4</v>
      </c>
      <c r="Q485" s="89" t="s">
        <v>1535</v>
      </c>
      <c r="R485" s="43" t="s">
        <v>316</v>
      </c>
      <c r="S485" s="125">
        <v>42983</v>
      </c>
      <c r="T485" s="117">
        <v>43087</v>
      </c>
      <c r="V485" s="43" t="s">
        <v>317</v>
      </c>
      <c r="X485" s="43" t="s">
        <v>318</v>
      </c>
      <c r="Y485" s="43" t="s">
        <v>361</v>
      </c>
      <c r="Z485" s="43" t="s">
        <v>320</v>
      </c>
      <c r="AA485" s="43" t="s">
        <v>353</v>
      </c>
      <c r="AB485" s="144">
        <v>2.3000000044703501E-2</v>
      </c>
      <c r="AF485" s="43" t="s">
        <v>75</v>
      </c>
      <c r="AG485" s="43" t="s">
        <v>322</v>
      </c>
      <c r="AJ485" s="140">
        <v>0</v>
      </c>
      <c r="AK485" s="140">
        <v>0</v>
      </c>
      <c r="AL485" s="140">
        <v>0</v>
      </c>
      <c r="AM485" s="140">
        <v>0</v>
      </c>
      <c r="AN485" s="140">
        <v>0</v>
      </c>
      <c r="AO485" s="140">
        <v>1</v>
      </c>
      <c r="AP485" s="140">
        <v>2</v>
      </c>
      <c r="AQ485" s="140">
        <v>1</v>
      </c>
      <c r="AR485" s="140">
        <v>0</v>
      </c>
      <c r="AS485" s="140">
        <v>0</v>
      </c>
      <c r="AT485" s="140">
        <v>0</v>
      </c>
      <c r="AU485" s="140">
        <v>0</v>
      </c>
      <c r="AV485" s="140">
        <v>1</v>
      </c>
      <c r="AW485" s="140">
        <v>2</v>
      </c>
      <c r="AX485" s="140">
        <v>1</v>
      </c>
      <c r="AY485" s="140">
        <v>0</v>
      </c>
      <c r="AZ485" s="140">
        <v>0</v>
      </c>
      <c r="BA485" s="140">
        <v>0</v>
      </c>
      <c r="BB485" s="140">
        <v>0</v>
      </c>
      <c r="BC485" s="140">
        <v>0</v>
      </c>
      <c r="BD485" s="140">
        <v>0</v>
      </c>
      <c r="BE485" s="140">
        <v>0</v>
      </c>
      <c r="BF485" s="140">
        <v>0</v>
      </c>
      <c r="BG485" s="140">
        <v>0</v>
      </c>
      <c r="BH485" s="140">
        <v>0</v>
      </c>
      <c r="BI485" s="140">
        <v>0</v>
      </c>
      <c r="BJ485" s="140">
        <v>0</v>
      </c>
      <c r="BK485" s="140">
        <v>0</v>
      </c>
      <c r="BL485" s="140">
        <v>0</v>
      </c>
      <c r="BM485" s="140">
        <v>0</v>
      </c>
      <c r="BN485" s="140">
        <v>0</v>
      </c>
      <c r="BO485" s="140">
        <v>0</v>
      </c>
      <c r="BX485" s="43">
        <v>6</v>
      </c>
      <c r="CA485" s="90">
        <f>$M485/4</f>
        <v>1</v>
      </c>
      <c r="CB485" s="90">
        <f>$M485/4</f>
        <v>1</v>
      </c>
      <c r="CC485" s="90">
        <f>$M485/4</f>
        <v>1</v>
      </c>
      <c r="CD485" s="90">
        <f>$M485/4</f>
        <v>1</v>
      </c>
      <c r="CT485" s="90">
        <f t="shared" si="38"/>
        <v>4</v>
      </c>
      <c r="CU485" s="90">
        <f t="shared" si="39"/>
        <v>4</v>
      </c>
    </row>
    <row r="486" spans="1:99" ht="12" customHeight="1">
      <c r="A486" s="43">
        <v>455</v>
      </c>
      <c r="B486" s="89" t="s">
        <v>1515</v>
      </c>
      <c r="C486" s="89" t="s">
        <v>1536</v>
      </c>
      <c r="D486" s="89" t="s">
        <v>1537</v>
      </c>
      <c r="E486" s="89" t="s">
        <v>728</v>
      </c>
      <c r="F486" s="43">
        <v>527687</v>
      </c>
      <c r="G486" s="43">
        <v>171721</v>
      </c>
      <c r="H486" s="89" t="s">
        <v>141</v>
      </c>
      <c r="K486" s="140">
        <v>0</v>
      </c>
      <c r="L486" s="140">
        <v>3</v>
      </c>
      <c r="M486" s="140">
        <v>3</v>
      </c>
      <c r="N486" s="140">
        <v>4</v>
      </c>
      <c r="O486" s="140">
        <v>4</v>
      </c>
      <c r="Q486" s="89" t="s">
        <v>1538</v>
      </c>
      <c r="R486" s="43" t="s">
        <v>316</v>
      </c>
      <c r="S486" s="125">
        <v>43811</v>
      </c>
      <c r="T486" s="117">
        <v>43859</v>
      </c>
      <c r="U486" s="43" t="s">
        <v>329</v>
      </c>
      <c r="V486" s="43" t="s">
        <v>317</v>
      </c>
      <c r="X486" s="43" t="s">
        <v>318</v>
      </c>
      <c r="Y486" s="43" t="s">
        <v>319</v>
      </c>
      <c r="Z486" s="43" t="s">
        <v>320</v>
      </c>
      <c r="AA486" s="43" t="s">
        <v>36</v>
      </c>
      <c r="AB486" s="144">
        <v>7.0000002160668399E-3</v>
      </c>
      <c r="AF486" s="43" t="s">
        <v>75</v>
      </c>
      <c r="AG486" s="43" t="s">
        <v>322</v>
      </c>
      <c r="AJ486" s="140">
        <v>0</v>
      </c>
      <c r="AK486" s="140">
        <v>0</v>
      </c>
      <c r="AL486" s="140">
        <v>0</v>
      </c>
      <c r="AM486" s="140">
        <v>0</v>
      </c>
      <c r="AN486" s="140">
        <v>0</v>
      </c>
      <c r="AO486" s="140">
        <v>3</v>
      </c>
      <c r="AP486" s="140">
        <v>0</v>
      </c>
      <c r="AQ486" s="140">
        <v>0</v>
      </c>
      <c r="AR486" s="140">
        <v>0</v>
      </c>
      <c r="AS486" s="140">
        <v>0</v>
      </c>
      <c r="AT486" s="140">
        <v>0</v>
      </c>
      <c r="AU486" s="140">
        <v>0</v>
      </c>
      <c r="AV486" s="140">
        <v>3</v>
      </c>
      <c r="AW486" s="140">
        <v>0</v>
      </c>
      <c r="AX486" s="140">
        <v>0</v>
      </c>
      <c r="AY486" s="140">
        <v>0</v>
      </c>
      <c r="AZ486" s="140">
        <v>0</v>
      </c>
      <c r="BA486" s="140">
        <v>0</v>
      </c>
      <c r="BB486" s="140">
        <v>0</v>
      </c>
      <c r="BC486" s="140">
        <v>0</v>
      </c>
      <c r="BD486" s="140">
        <v>0</v>
      </c>
      <c r="BE486" s="140">
        <v>0</v>
      </c>
      <c r="BF486" s="140">
        <v>0</v>
      </c>
      <c r="BG486" s="140">
        <v>0</v>
      </c>
      <c r="BH486" s="140">
        <v>0</v>
      </c>
      <c r="BI486" s="140">
        <v>0</v>
      </c>
      <c r="BJ486" s="140">
        <v>0</v>
      </c>
      <c r="BK486" s="140">
        <v>0</v>
      </c>
      <c r="BL486" s="140">
        <v>0</v>
      </c>
      <c r="BM486" s="140">
        <v>0</v>
      </c>
      <c r="BN486" s="140">
        <v>0</v>
      </c>
      <c r="BO486" s="140">
        <v>0</v>
      </c>
      <c r="BX486" s="43">
        <v>15</v>
      </c>
      <c r="BZ486" s="90">
        <f t="shared" ref="BZ486:CB487" si="44">$M486/3</f>
        <v>1</v>
      </c>
      <c r="CA486" s="90">
        <f t="shared" si="44"/>
        <v>1</v>
      </c>
      <c r="CB486" s="90">
        <f t="shared" si="44"/>
        <v>1</v>
      </c>
      <c r="CT486" s="90">
        <f t="shared" si="38"/>
        <v>3</v>
      </c>
      <c r="CU486" s="90">
        <f t="shared" si="39"/>
        <v>3</v>
      </c>
    </row>
    <row r="487" spans="1:99" ht="12" customHeight="1">
      <c r="A487" s="43">
        <v>455</v>
      </c>
      <c r="B487" s="89" t="s">
        <v>1515</v>
      </c>
      <c r="C487" s="89" t="s">
        <v>1536</v>
      </c>
      <c r="D487" s="89" t="s">
        <v>1537</v>
      </c>
      <c r="E487" s="89" t="s">
        <v>730</v>
      </c>
      <c r="F487" s="43">
        <v>527687</v>
      </c>
      <c r="G487" s="43">
        <v>171721</v>
      </c>
      <c r="H487" s="89" t="s">
        <v>141</v>
      </c>
      <c r="K487" s="140">
        <v>0</v>
      </c>
      <c r="L487" s="140">
        <v>1</v>
      </c>
      <c r="M487" s="140">
        <v>1</v>
      </c>
      <c r="N487" s="140">
        <v>4</v>
      </c>
      <c r="O487" s="140">
        <v>4</v>
      </c>
      <c r="Q487" s="89" t="s">
        <v>1538</v>
      </c>
      <c r="R487" s="43" t="s">
        <v>316</v>
      </c>
      <c r="S487" s="125">
        <v>43811</v>
      </c>
      <c r="T487" s="117">
        <v>43859</v>
      </c>
      <c r="U487" s="43" t="s">
        <v>329</v>
      </c>
      <c r="V487" s="43" t="s">
        <v>317</v>
      </c>
      <c r="X487" s="43" t="s">
        <v>318</v>
      </c>
      <c r="Y487" s="43" t="s">
        <v>319</v>
      </c>
      <c r="Z487" s="43" t="s">
        <v>320</v>
      </c>
      <c r="AA487" s="43" t="s">
        <v>340</v>
      </c>
      <c r="AB487" s="144">
        <v>2.0000000949949E-3</v>
      </c>
      <c r="AF487" s="43" t="s">
        <v>75</v>
      </c>
      <c r="AG487" s="43" t="s">
        <v>322</v>
      </c>
      <c r="AJ487" s="140">
        <v>0</v>
      </c>
      <c r="AK487" s="140">
        <v>0</v>
      </c>
      <c r="AL487" s="140">
        <v>0</v>
      </c>
      <c r="AM487" s="140">
        <v>0</v>
      </c>
      <c r="AN487" s="140">
        <v>0</v>
      </c>
      <c r="AO487" s="140">
        <v>1</v>
      </c>
      <c r="AP487" s="140">
        <v>0</v>
      </c>
      <c r="AQ487" s="140">
        <v>0</v>
      </c>
      <c r="AR487" s="140">
        <v>0</v>
      </c>
      <c r="AS487" s="140">
        <v>0</v>
      </c>
      <c r="AT487" s="140">
        <v>0</v>
      </c>
      <c r="AU487" s="140">
        <v>0</v>
      </c>
      <c r="AV487" s="140">
        <v>1</v>
      </c>
      <c r="AW487" s="140">
        <v>0</v>
      </c>
      <c r="AX487" s="140">
        <v>0</v>
      </c>
      <c r="AY487" s="140">
        <v>0</v>
      </c>
      <c r="AZ487" s="140">
        <v>0</v>
      </c>
      <c r="BA487" s="140">
        <v>0</v>
      </c>
      <c r="BB487" s="140">
        <v>0</v>
      </c>
      <c r="BC487" s="140">
        <v>0</v>
      </c>
      <c r="BD487" s="140">
        <v>0</v>
      </c>
      <c r="BE487" s="140">
        <v>0</v>
      </c>
      <c r="BF487" s="140">
        <v>0</v>
      </c>
      <c r="BG487" s="140">
        <v>0</v>
      </c>
      <c r="BH487" s="140">
        <v>0</v>
      </c>
      <c r="BI487" s="140">
        <v>0</v>
      </c>
      <c r="BJ487" s="140">
        <v>0</v>
      </c>
      <c r="BK487" s="140">
        <v>0</v>
      </c>
      <c r="BL487" s="140">
        <v>0</v>
      </c>
      <c r="BM487" s="140">
        <v>0</v>
      </c>
      <c r="BN487" s="140">
        <v>0</v>
      </c>
      <c r="BO487" s="140">
        <v>0</v>
      </c>
      <c r="BX487" s="43">
        <v>15</v>
      </c>
      <c r="BZ487" s="90">
        <f t="shared" si="44"/>
        <v>0.33333333333333331</v>
      </c>
      <c r="CA487" s="90">
        <f t="shared" si="44"/>
        <v>0.33333333333333331</v>
      </c>
      <c r="CB487" s="90">
        <f t="shared" si="44"/>
        <v>0.33333333333333331</v>
      </c>
      <c r="CT487" s="90">
        <f t="shared" si="38"/>
        <v>1</v>
      </c>
      <c r="CU487" s="90">
        <f t="shared" si="39"/>
        <v>1</v>
      </c>
    </row>
    <row r="488" spans="1:99" ht="12" customHeight="1">
      <c r="A488" s="43">
        <v>464</v>
      </c>
      <c r="B488" s="89" t="s">
        <v>1515</v>
      </c>
      <c r="C488" s="89" t="s">
        <v>1539</v>
      </c>
      <c r="D488" s="89" t="s">
        <v>1540</v>
      </c>
      <c r="E488" s="89" t="s">
        <v>367</v>
      </c>
      <c r="F488" s="43">
        <v>529321</v>
      </c>
      <c r="G488" s="43">
        <v>177258</v>
      </c>
      <c r="H488" s="89" t="s">
        <v>148</v>
      </c>
      <c r="K488" s="140">
        <v>0</v>
      </c>
      <c r="L488" s="140">
        <v>42</v>
      </c>
      <c r="M488" s="140">
        <v>42</v>
      </c>
      <c r="N488" s="140">
        <v>307</v>
      </c>
      <c r="O488" s="140">
        <v>307</v>
      </c>
      <c r="P488" s="43" t="s">
        <v>329</v>
      </c>
      <c r="Q488" s="89" t="s">
        <v>1541</v>
      </c>
      <c r="R488" s="43" t="s">
        <v>392</v>
      </c>
      <c r="S488" s="125">
        <v>42338</v>
      </c>
      <c r="T488" s="117">
        <v>43552</v>
      </c>
      <c r="V488" s="43" t="s">
        <v>317</v>
      </c>
      <c r="X488" s="43" t="s">
        <v>318</v>
      </c>
      <c r="Y488" s="43" t="s">
        <v>361</v>
      </c>
      <c r="Z488" s="43" t="s">
        <v>361</v>
      </c>
      <c r="AA488" s="43" t="s">
        <v>320</v>
      </c>
      <c r="AB488" s="144">
        <v>3.9000000804662698E-2</v>
      </c>
      <c r="AF488" s="43" t="s">
        <v>75</v>
      </c>
      <c r="AG488" s="43" t="s">
        <v>322</v>
      </c>
      <c r="AH488" s="43" t="s">
        <v>1542</v>
      </c>
      <c r="AI488" s="43">
        <v>17320035</v>
      </c>
      <c r="AJ488" s="140">
        <v>0</v>
      </c>
      <c r="AK488" s="140">
        <v>38</v>
      </c>
      <c r="AL488" s="140">
        <v>0</v>
      </c>
      <c r="AM488" s="140">
        <v>4</v>
      </c>
      <c r="AN488" s="140">
        <v>0</v>
      </c>
      <c r="AO488" s="140">
        <v>10</v>
      </c>
      <c r="AP488" s="140">
        <v>21</v>
      </c>
      <c r="AQ488" s="140">
        <v>10</v>
      </c>
      <c r="AR488" s="140">
        <v>1</v>
      </c>
      <c r="AS488" s="140">
        <v>0</v>
      </c>
      <c r="AT488" s="140">
        <v>0</v>
      </c>
      <c r="AU488" s="140">
        <v>0</v>
      </c>
      <c r="AV488" s="140">
        <v>10</v>
      </c>
      <c r="AW488" s="140">
        <v>21</v>
      </c>
      <c r="AX488" s="140">
        <v>10</v>
      </c>
      <c r="AY488" s="140">
        <v>1</v>
      </c>
      <c r="AZ488" s="140">
        <v>0</v>
      </c>
      <c r="BA488" s="140">
        <v>0</v>
      </c>
      <c r="BB488" s="140">
        <v>0</v>
      </c>
      <c r="BC488" s="140">
        <v>0</v>
      </c>
      <c r="BD488" s="140">
        <v>0</v>
      </c>
      <c r="BE488" s="140">
        <v>0</v>
      </c>
      <c r="BF488" s="140">
        <v>0</v>
      </c>
      <c r="BG488" s="140">
        <v>0</v>
      </c>
      <c r="BH488" s="140">
        <v>0</v>
      </c>
      <c r="BI488" s="140">
        <v>0</v>
      </c>
      <c r="BJ488" s="140">
        <v>0</v>
      </c>
      <c r="BK488" s="140">
        <v>0</v>
      </c>
      <c r="BL488" s="140">
        <v>0</v>
      </c>
      <c r="BM488" s="140">
        <v>0</v>
      </c>
      <c r="BN488" s="140">
        <v>0</v>
      </c>
      <c r="BO488" s="140">
        <v>0</v>
      </c>
      <c r="BQ488" s="43" t="s">
        <v>329</v>
      </c>
      <c r="BX488" s="43">
        <v>21</v>
      </c>
      <c r="CB488" s="90">
        <f t="shared" ref="CB488:CB494" si="45">M488</f>
        <v>42</v>
      </c>
      <c r="CT488" s="90">
        <f t="shared" si="38"/>
        <v>42</v>
      </c>
      <c r="CU488" s="90">
        <f t="shared" si="39"/>
        <v>42</v>
      </c>
    </row>
    <row r="489" spans="1:99" ht="12" customHeight="1">
      <c r="A489" s="43">
        <v>464</v>
      </c>
      <c r="B489" s="89" t="s">
        <v>1515</v>
      </c>
      <c r="C489" s="89" t="s">
        <v>1539</v>
      </c>
      <c r="D489" s="89" t="s">
        <v>1540</v>
      </c>
      <c r="E489" s="89" t="s">
        <v>369</v>
      </c>
      <c r="F489" s="43">
        <v>529321</v>
      </c>
      <c r="G489" s="43">
        <v>177258</v>
      </c>
      <c r="H489" s="89" t="s">
        <v>148</v>
      </c>
      <c r="K489" s="140">
        <v>0</v>
      </c>
      <c r="L489" s="140">
        <v>111</v>
      </c>
      <c r="M489" s="140">
        <v>111</v>
      </c>
      <c r="N489" s="140">
        <v>307</v>
      </c>
      <c r="O489" s="140">
        <v>307</v>
      </c>
      <c r="P489" s="43" t="s">
        <v>329</v>
      </c>
      <c r="Q489" s="89" t="s">
        <v>1541</v>
      </c>
      <c r="R489" s="43" t="s">
        <v>392</v>
      </c>
      <c r="S489" s="125">
        <v>42338</v>
      </c>
      <c r="T489" s="117">
        <v>43552</v>
      </c>
      <c r="V489" s="43" t="s">
        <v>317</v>
      </c>
      <c r="X489" s="43" t="s">
        <v>318</v>
      </c>
      <c r="Y489" s="43" t="s">
        <v>361</v>
      </c>
      <c r="Z489" s="43" t="s">
        <v>361</v>
      </c>
      <c r="AA489" s="43" t="s">
        <v>320</v>
      </c>
      <c r="AB489" s="144">
        <v>9.00000035762787E-2</v>
      </c>
      <c r="AF489" s="43" t="s">
        <v>75</v>
      </c>
      <c r="AG489" s="43" t="s">
        <v>322</v>
      </c>
      <c r="AH489" s="43" t="s">
        <v>1542</v>
      </c>
      <c r="AI489" s="43">
        <v>17320035</v>
      </c>
      <c r="AJ489" s="140">
        <v>0</v>
      </c>
      <c r="AK489" s="140">
        <v>100</v>
      </c>
      <c r="AL489" s="140">
        <v>0</v>
      </c>
      <c r="AM489" s="140">
        <v>11</v>
      </c>
      <c r="AN489" s="140">
        <v>1</v>
      </c>
      <c r="AO489" s="140">
        <v>40</v>
      </c>
      <c r="AP489" s="140">
        <v>60</v>
      </c>
      <c r="AQ489" s="140">
        <v>10</v>
      </c>
      <c r="AR489" s="140">
        <v>0</v>
      </c>
      <c r="AS489" s="140">
        <v>0</v>
      </c>
      <c r="AT489" s="140">
        <v>0</v>
      </c>
      <c r="AU489" s="140">
        <v>1</v>
      </c>
      <c r="AV489" s="140">
        <v>40</v>
      </c>
      <c r="AW489" s="140">
        <v>60</v>
      </c>
      <c r="AX489" s="140">
        <v>10</v>
      </c>
      <c r="AY489" s="140">
        <v>0</v>
      </c>
      <c r="AZ489" s="140">
        <v>0</v>
      </c>
      <c r="BA489" s="140">
        <v>0</v>
      </c>
      <c r="BB489" s="140">
        <v>0</v>
      </c>
      <c r="BC489" s="140">
        <v>0</v>
      </c>
      <c r="BD489" s="140">
        <v>0</v>
      </c>
      <c r="BE489" s="140">
        <v>0</v>
      </c>
      <c r="BF489" s="140">
        <v>0</v>
      </c>
      <c r="BG489" s="140">
        <v>0</v>
      </c>
      <c r="BH489" s="140">
        <v>0</v>
      </c>
      <c r="BI489" s="140">
        <v>0</v>
      </c>
      <c r="BJ489" s="140">
        <v>0</v>
      </c>
      <c r="BK489" s="140">
        <v>0</v>
      </c>
      <c r="BL489" s="140">
        <v>0</v>
      </c>
      <c r="BM489" s="140">
        <v>0</v>
      </c>
      <c r="BN489" s="140">
        <v>0</v>
      </c>
      <c r="BO489" s="140">
        <v>0</v>
      </c>
      <c r="BQ489" s="43" t="s">
        <v>329</v>
      </c>
      <c r="BX489" s="43">
        <v>21</v>
      </c>
      <c r="CB489" s="90">
        <f t="shared" si="45"/>
        <v>111</v>
      </c>
      <c r="CT489" s="90">
        <f t="shared" si="38"/>
        <v>111</v>
      </c>
      <c r="CU489" s="90">
        <f t="shared" si="39"/>
        <v>111</v>
      </c>
    </row>
    <row r="490" spans="1:99" ht="12" customHeight="1">
      <c r="A490" s="43">
        <v>464</v>
      </c>
      <c r="B490" s="89" t="s">
        <v>1515</v>
      </c>
      <c r="C490" s="89" t="s">
        <v>1539</v>
      </c>
      <c r="D490" s="89" t="s">
        <v>1540</v>
      </c>
      <c r="E490" s="89" t="s">
        <v>454</v>
      </c>
      <c r="F490" s="43">
        <v>529321</v>
      </c>
      <c r="G490" s="43">
        <v>177258</v>
      </c>
      <c r="H490" s="89" t="s">
        <v>148</v>
      </c>
      <c r="K490" s="140">
        <v>0</v>
      </c>
      <c r="L490" s="140">
        <v>52</v>
      </c>
      <c r="M490" s="140">
        <v>52</v>
      </c>
      <c r="N490" s="140">
        <v>307</v>
      </c>
      <c r="O490" s="140">
        <v>307</v>
      </c>
      <c r="P490" s="43" t="s">
        <v>329</v>
      </c>
      <c r="Q490" s="89" t="s">
        <v>1541</v>
      </c>
      <c r="R490" s="43" t="s">
        <v>392</v>
      </c>
      <c r="S490" s="125">
        <v>42338</v>
      </c>
      <c r="T490" s="117">
        <v>43552</v>
      </c>
      <c r="V490" s="43" t="s">
        <v>317</v>
      </c>
      <c r="X490" s="43" t="s">
        <v>318</v>
      </c>
      <c r="Y490" s="43" t="s">
        <v>361</v>
      </c>
      <c r="Z490" s="43" t="s">
        <v>361</v>
      </c>
      <c r="AA490" s="43" t="s">
        <v>320</v>
      </c>
      <c r="AB490" s="144">
        <v>4.39999997615814E-2</v>
      </c>
      <c r="AF490" s="43" t="s">
        <v>75</v>
      </c>
      <c r="AG490" s="43" t="s">
        <v>322</v>
      </c>
      <c r="AH490" s="43" t="s">
        <v>1542</v>
      </c>
      <c r="AI490" s="43">
        <v>17320035</v>
      </c>
      <c r="AJ490" s="140">
        <v>0</v>
      </c>
      <c r="AK490" s="140">
        <v>47</v>
      </c>
      <c r="AL490" s="140">
        <v>0</v>
      </c>
      <c r="AM490" s="140">
        <v>5</v>
      </c>
      <c r="AN490" s="140">
        <v>0</v>
      </c>
      <c r="AO490" s="140">
        <v>9</v>
      </c>
      <c r="AP490" s="140">
        <v>42</v>
      </c>
      <c r="AQ490" s="140">
        <v>1</v>
      </c>
      <c r="AR490" s="140">
        <v>0</v>
      </c>
      <c r="AS490" s="140">
        <v>0</v>
      </c>
      <c r="AT490" s="140">
        <v>0</v>
      </c>
      <c r="AU490" s="140">
        <v>0</v>
      </c>
      <c r="AV490" s="140">
        <v>9</v>
      </c>
      <c r="AW490" s="140">
        <v>42</v>
      </c>
      <c r="AX490" s="140">
        <v>1</v>
      </c>
      <c r="AY490" s="140">
        <v>0</v>
      </c>
      <c r="AZ490" s="140">
        <v>0</v>
      </c>
      <c r="BA490" s="140">
        <v>0</v>
      </c>
      <c r="BB490" s="140">
        <v>0</v>
      </c>
      <c r="BC490" s="140">
        <v>0</v>
      </c>
      <c r="BD490" s="140">
        <v>0</v>
      </c>
      <c r="BE490" s="140">
        <v>0</v>
      </c>
      <c r="BF490" s="140">
        <v>0</v>
      </c>
      <c r="BG490" s="140">
        <v>0</v>
      </c>
      <c r="BH490" s="140">
        <v>0</v>
      </c>
      <c r="BI490" s="140">
        <v>0</v>
      </c>
      <c r="BJ490" s="140">
        <v>0</v>
      </c>
      <c r="BK490" s="140">
        <v>0</v>
      </c>
      <c r="BL490" s="140">
        <v>0</v>
      </c>
      <c r="BM490" s="140">
        <v>0</v>
      </c>
      <c r="BN490" s="140">
        <v>0</v>
      </c>
      <c r="BO490" s="140">
        <v>0</v>
      </c>
      <c r="BQ490" s="43" t="s">
        <v>329</v>
      </c>
      <c r="BX490" s="43">
        <v>21</v>
      </c>
      <c r="CB490" s="90">
        <f t="shared" si="45"/>
        <v>52</v>
      </c>
      <c r="CT490" s="90">
        <f t="shared" si="38"/>
        <v>52</v>
      </c>
      <c r="CU490" s="90">
        <f t="shared" si="39"/>
        <v>52</v>
      </c>
    </row>
    <row r="491" spans="1:99" ht="12" customHeight="1">
      <c r="A491" s="43">
        <v>464</v>
      </c>
      <c r="B491" s="89" t="s">
        <v>1515</v>
      </c>
      <c r="C491" s="89" t="s">
        <v>1539</v>
      </c>
      <c r="D491" s="89" t="s">
        <v>1540</v>
      </c>
      <c r="E491" s="89" t="s">
        <v>454</v>
      </c>
      <c r="F491" s="43">
        <v>529321</v>
      </c>
      <c r="G491" s="43">
        <v>177258</v>
      </c>
      <c r="H491" s="89" t="s">
        <v>148</v>
      </c>
      <c r="K491" s="140">
        <v>0</v>
      </c>
      <c r="L491" s="140">
        <v>10</v>
      </c>
      <c r="M491" s="140">
        <v>10</v>
      </c>
      <c r="N491" s="140">
        <v>307</v>
      </c>
      <c r="O491" s="140">
        <v>307</v>
      </c>
      <c r="P491" s="43" t="s">
        <v>329</v>
      </c>
      <c r="Q491" s="89" t="s">
        <v>1541</v>
      </c>
      <c r="R491" s="43" t="s">
        <v>392</v>
      </c>
      <c r="S491" s="125">
        <v>42338</v>
      </c>
      <c r="T491" s="117">
        <v>43552</v>
      </c>
      <c r="V491" s="43" t="s">
        <v>317</v>
      </c>
      <c r="X491" s="43" t="s">
        <v>318</v>
      </c>
      <c r="Y491" s="43" t="s">
        <v>361</v>
      </c>
      <c r="Z491" s="43" t="s">
        <v>361</v>
      </c>
      <c r="AA491" s="43" t="s">
        <v>320</v>
      </c>
      <c r="AB491" s="144">
        <v>4.9999998882412902E-3</v>
      </c>
      <c r="AF491" s="43" t="s">
        <v>54</v>
      </c>
      <c r="AG491" s="43" t="s">
        <v>399</v>
      </c>
      <c r="AH491" s="43" t="s">
        <v>1542</v>
      </c>
      <c r="AI491" s="43">
        <v>17320035</v>
      </c>
      <c r="AJ491" s="140">
        <v>0</v>
      </c>
      <c r="AK491" s="140">
        <v>9</v>
      </c>
      <c r="AL491" s="140">
        <v>0</v>
      </c>
      <c r="AM491" s="140">
        <v>1</v>
      </c>
      <c r="AN491" s="140">
        <v>0</v>
      </c>
      <c r="AO491" s="140">
        <v>10</v>
      </c>
      <c r="AP491" s="140">
        <v>0</v>
      </c>
      <c r="AQ491" s="140">
        <v>0</v>
      </c>
      <c r="AR491" s="140">
        <v>0</v>
      </c>
      <c r="AS491" s="140">
        <v>0</v>
      </c>
      <c r="AT491" s="140">
        <v>0</v>
      </c>
      <c r="AU491" s="140">
        <v>0</v>
      </c>
      <c r="AV491" s="140">
        <v>10</v>
      </c>
      <c r="AW491" s="140">
        <v>0</v>
      </c>
      <c r="AX491" s="140">
        <v>0</v>
      </c>
      <c r="AY491" s="140">
        <v>0</v>
      </c>
      <c r="AZ491" s="140">
        <v>0</v>
      </c>
      <c r="BA491" s="140">
        <v>0</v>
      </c>
      <c r="BB491" s="140">
        <v>0</v>
      </c>
      <c r="BC491" s="140">
        <v>0</v>
      </c>
      <c r="BD491" s="140">
        <v>0</v>
      </c>
      <c r="BE491" s="140">
        <v>0</v>
      </c>
      <c r="BF491" s="140">
        <v>0</v>
      </c>
      <c r="BG491" s="140">
        <v>0</v>
      </c>
      <c r="BH491" s="140">
        <v>0</v>
      </c>
      <c r="BI491" s="140">
        <v>0</v>
      </c>
      <c r="BJ491" s="140">
        <v>0</v>
      </c>
      <c r="BK491" s="140">
        <v>0</v>
      </c>
      <c r="BL491" s="140">
        <v>0</v>
      </c>
      <c r="BM491" s="140">
        <v>0</v>
      </c>
      <c r="BN491" s="140">
        <v>0</v>
      </c>
      <c r="BO491" s="140">
        <v>0</v>
      </c>
      <c r="BQ491" s="43" t="s">
        <v>329</v>
      </c>
      <c r="BX491" s="43">
        <v>21</v>
      </c>
      <c r="CB491" s="90">
        <f t="shared" si="45"/>
        <v>10</v>
      </c>
      <c r="CT491" s="90">
        <f t="shared" si="38"/>
        <v>10</v>
      </c>
      <c r="CU491" s="90">
        <f t="shared" si="39"/>
        <v>10</v>
      </c>
    </row>
    <row r="492" spans="1:99" ht="12" customHeight="1">
      <c r="A492" s="43">
        <v>464</v>
      </c>
      <c r="B492" s="89" t="s">
        <v>1515</v>
      </c>
      <c r="C492" s="89" t="s">
        <v>1539</v>
      </c>
      <c r="D492" s="89" t="s">
        <v>1540</v>
      </c>
      <c r="E492" s="89" t="s">
        <v>404</v>
      </c>
      <c r="F492" s="43">
        <v>529321</v>
      </c>
      <c r="G492" s="43">
        <v>177258</v>
      </c>
      <c r="H492" s="89" t="s">
        <v>148</v>
      </c>
      <c r="K492" s="140">
        <v>0</v>
      </c>
      <c r="L492" s="140">
        <v>20</v>
      </c>
      <c r="M492" s="140">
        <v>20</v>
      </c>
      <c r="N492" s="140">
        <v>307</v>
      </c>
      <c r="O492" s="140">
        <v>307</v>
      </c>
      <c r="P492" s="43" t="s">
        <v>329</v>
      </c>
      <c r="Q492" s="89" t="s">
        <v>1541</v>
      </c>
      <c r="R492" s="43" t="s">
        <v>392</v>
      </c>
      <c r="S492" s="125">
        <v>42338</v>
      </c>
      <c r="T492" s="117">
        <v>43552</v>
      </c>
      <c r="V492" s="43" t="s">
        <v>317</v>
      </c>
      <c r="X492" s="43" t="s">
        <v>318</v>
      </c>
      <c r="Y492" s="43" t="s">
        <v>361</v>
      </c>
      <c r="Z492" s="43" t="s">
        <v>361</v>
      </c>
      <c r="AA492" s="43" t="s">
        <v>320</v>
      </c>
      <c r="AB492" s="144">
        <v>1.7999999225139601E-2</v>
      </c>
      <c r="AF492" s="43" t="s">
        <v>55</v>
      </c>
      <c r="AG492" s="43" t="s">
        <v>457</v>
      </c>
      <c r="AH492" s="43" t="s">
        <v>1542</v>
      </c>
      <c r="AI492" s="43">
        <v>17320035</v>
      </c>
      <c r="AJ492" s="140">
        <v>0</v>
      </c>
      <c r="AK492" s="140">
        <v>18</v>
      </c>
      <c r="AL492" s="140">
        <v>0</v>
      </c>
      <c r="AM492" s="140">
        <v>2</v>
      </c>
      <c r="AN492" s="140">
        <v>1</v>
      </c>
      <c r="AO492" s="140">
        <v>9</v>
      </c>
      <c r="AP492" s="140">
        <v>6</v>
      </c>
      <c r="AQ492" s="140">
        <v>4</v>
      </c>
      <c r="AR492" s="140">
        <v>0</v>
      </c>
      <c r="AS492" s="140">
        <v>0</v>
      </c>
      <c r="AT492" s="140">
        <v>0</v>
      </c>
      <c r="AU492" s="140">
        <v>1</v>
      </c>
      <c r="AV492" s="140">
        <v>9</v>
      </c>
      <c r="AW492" s="140">
        <v>6</v>
      </c>
      <c r="AX492" s="140">
        <v>4</v>
      </c>
      <c r="AY492" s="140">
        <v>0</v>
      </c>
      <c r="AZ492" s="140">
        <v>0</v>
      </c>
      <c r="BA492" s="140">
        <v>0</v>
      </c>
      <c r="BB492" s="140">
        <v>0</v>
      </c>
      <c r="BC492" s="140">
        <v>0</v>
      </c>
      <c r="BD492" s="140">
        <v>0</v>
      </c>
      <c r="BE492" s="140">
        <v>0</v>
      </c>
      <c r="BF492" s="140">
        <v>0</v>
      </c>
      <c r="BG492" s="140">
        <v>0</v>
      </c>
      <c r="BH492" s="140">
        <v>0</v>
      </c>
      <c r="BI492" s="140">
        <v>0</v>
      </c>
      <c r="BJ492" s="140">
        <v>0</v>
      </c>
      <c r="BK492" s="140">
        <v>0</v>
      </c>
      <c r="BL492" s="140">
        <v>0</v>
      </c>
      <c r="BM492" s="140">
        <v>0</v>
      </c>
      <c r="BN492" s="140">
        <v>0</v>
      </c>
      <c r="BO492" s="140">
        <v>0</v>
      </c>
      <c r="BQ492" s="43" t="s">
        <v>329</v>
      </c>
      <c r="BX492" s="43">
        <v>21</v>
      </c>
      <c r="CB492" s="90">
        <f t="shared" si="45"/>
        <v>20</v>
      </c>
      <c r="CT492" s="90">
        <f t="shared" si="38"/>
        <v>20</v>
      </c>
      <c r="CU492" s="90">
        <f t="shared" si="39"/>
        <v>20</v>
      </c>
    </row>
    <row r="493" spans="1:99" ht="12" customHeight="1">
      <c r="A493" s="43">
        <v>464</v>
      </c>
      <c r="B493" s="89" t="s">
        <v>1515</v>
      </c>
      <c r="C493" s="89" t="s">
        <v>1539</v>
      </c>
      <c r="D493" s="89" t="s">
        <v>1540</v>
      </c>
      <c r="E493" s="89" t="s">
        <v>1543</v>
      </c>
      <c r="F493" s="43">
        <v>529321</v>
      </c>
      <c r="G493" s="43">
        <v>177258</v>
      </c>
      <c r="H493" s="89" t="s">
        <v>148</v>
      </c>
      <c r="K493" s="140">
        <v>0</v>
      </c>
      <c r="L493" s="140">
        <v>47</v>
      </c>
      <c r="M493" s="140">
        <v>47</v>
      </c>
      <c r="N493" s="140">
        <v>307</v>
      </c>
      <c r="O493" s="140">
        <v>307</v>
      </c>
      <c r="P493" s="43" t="s">
        <v>329</v>
      </c>
      <c r="Q493" s="89" t="s">
        <v>1541</v>
      </c>
      <c r="R493" s="43" t="s">
        <v>392</v>
      </c>
      <c r="S493" s="125">
        <v>42338</v>
      </c>
      <c r="T493" s="117">
        <v>43552</v>
      </c>
      <c r="V493" s="43" t="s">
        <v>317</v>
      </c>
      <c r="X493" s="43" t="s">
        <v>318</v>
      </c>
      <c r="Y493" s="43" t="s">
        <v>361</v>
      </c>
      <c r="Z493" s="43" t="s">
        <v>361</v>
      </c>
      <c r="AA493" s="43" t="s">
        <v>320</v>
      </c>
      <c r="AB493" s="144">
        <v>3.9000000804662698E-2</v>
      </c>
      <c r="AF493" s="43" t="s">
        <v>54</v>
      </c>
      <c r="AG493" s="43" t="s">
        <v>399</v>
      </c>
      <c r="AH493" s="43" t="s">
        <v>1542</v>
      </c>
      <c r="AI493" s="43">
        <v>17320035</v>
      </c>
      <c r="AJ493" s="140">
        <v>0</v>
      </c>
      <c r="AK493" s="140">
        <v>42</v>
      </c>
      <c r="AL493" s="140">
        <v>0</v>
      </c>
      <c r="AM493" s="140">
        <v>5</v>
      </c>
      <c r="AN493" s="140">
        <v>0</v>
      </c>
      <c r="AO493" s="140">
        <v>12</v>
      </c>
      <c r="AP493" s="140">
        <v>35</v>
      </c>
      <c r="AQ493" s="140">
        <v>0</v>
      </c>
      <c r="AR493" s="140">
        <v>0</v>
      </c>
      <c r="AS493" s="140">
        <v>0</v>
      </c>
      <c r="AT493" s="140">
        <v>0</v>
      </c>
      <c r="AU493" s="140">
        <v>0</v>
      </c>
      <c r="AV493" s="140">
        <v>12</v>
      </c>
      <c r="AW493" s="140">
        <v>35</v>
      </c>
      <c r="AX493" s="140">
        <v>0</v>
      </c>
      <c r="AY493" s="140">
        <v>0</v>
      </c>
      <c r="AZ493" s="140">
        <v>0</v>
      </c>
      <c r="BA493" s="140">
        <v>0</v>
      </c>
      <c r="BB493" s="140">
        <v>0</v>
      </c>
      <c r="BC493" s="140">
        <v>0</v>
      </c>
      <c r="BD493" s="140">
        <v>0</v>
      </c>
      <c r="BE493" s="140">
        <v>0</v>
      </c>
      <c r="BF493" s="140">
        <v>0</v>
      </c>
      <c r="BG493" s="140">
        <v>0</v>
      </c>
      <c r="BH493" s="140">
        <v>0</v>
      </c>
      <c r="BI493" s="140">
        <v>0</v>
      </c>
      <c r="BJ493" s="140">
        <v>0</v>
      </c>
      <c r="BK493" s="140">
        <v>0</v>
      </c>
      <c r="BL493" s="140">
        <v>0</v>
      </c>
      <c r="BM493" s="140">
        <v>0</v>
      </c>
      <c r="BN493" s="140">
        <v>0</v>
      </c>
      <c r="BO493" s="140">
        <v>0</v>
      </c>
      <c r="BQ493" s="43" t="s">
        <v>329</v>
      </c>
      <c r="BX493" s="43">
        <v>21</v>
      </c>
      <c r="CB493" s="90">
        <f t="shared" si="45"/>
        <v>47</v>
      </c>
      <c r="CT493" s="90">
        <f t="shared" si="38"/>
        <v>47</v>
      </c>
      <c r="CU493" s="90">
        <f t="shared" si="39"/>
        <v>47</v>
      </c>
    </row>
    <row r="494" spans="1:99" ht="12" customHeight="1">
      <c r="A494" s="43">
        <v>464</v>
      </c>
      <c r="B494" s="89" t="s">
        <v>1515</v>
      </c>
      <c r="C494" s="89" t="s">
        <v>1539</v>
      </c>
      <c r="D494" s="89" t="s">
        <v>1540</v>
      </c>
      <c r="E494" s="89" t="s">
        <v>1543</v>
      </c>
      <c r="F494" s="43">
        <v>529321</v>
      </c>
      <c r="G494" s="43">
        <v>177258</v>
      </c>
      <c r="H494" s="89" t="s">
        <v>148</v>
      </c>
      <c r="K494" s="140">
        <v>0</v>
      </c>
      <c r="L494" s="140">
        <v>25</v>
      </c>
      <c r="M494" s="140">
        <v>25</v>
      </c>
      <c r="N494" s="140">
        <v>307</v>
      </c>
      <c r="O494" s="140">
        <v>307</v>
      </c>
      <c r="P494" s="43" t="s">
        <v>329</v>
      </c>
      <c r="Q494" s="89" t="s">
        <v>1541</v>
      </c>
      <c r="R494" s="43" t="s">
        <v>392</v>
      </c>
      <c r="S494" s="125">
        <v>42338</v>
      </c>
      <c r="T494" s="117">
        <v>43552</v>
      </c>
      <c r="V494" s="43" t="s">
        <v>317</v>
      </c>
      <c r="X494" s="43" t="s">
        <v>318</v>
      </c>
      <c r="Y494" s="43" t="s">
        <v>361</v>
      </c>
      <c r="Z494" s="43" t="s">
        <v>361</v>
      </c>
      <c r="AA494" s="43" t="s">
        <v>320</v>
      </c>
      <c r="AB494" s="144">
        <v>2.0999999716877899E-2</v>
      </c>
      <c r="AF494" s="43" t="s">
        <v>75</v>
      </c>
      <c r="AG494" s="43" t="s">
        <v>322</v>
      </c>
      <c r="AH494" s="43" t="s">
        <v>1542</v>
      </c>
      <c r="AI494" s="43">
        <v>17320035</v>
      </c>
      <c r="AJ494" s="140">
        <v>0</v>
      </c>
      <c r="AK494" s="140">
        <v>22</v>
      </c>
      <c r="AL494" s="140">
        <v>0</v>
      </c>
      <c r="AM494" s="140">
        <v>3</v>
      </c>
      <c r="AN494" s="140">
        <v>0</v>
      </c>
      <c r="AO494" s="140">
        <v>0</v>
      </c>
      <c r="AP494" s="140">
        <v>25</v>
      </c>
      <c r="AQ494" s="140">
        <v>0</v>
      </c>
      <c r="AR494" s="140">
        <v>0</v>
      </c>
      <c r="AS494" s="140">
        <v>0</v>
      </c>
      <c r="AT494" s="140">
        <v>0</v>
      </c>
      <c r="AU494" s="140">
        <v>0</v>
      </c>
      <c r="AV494" s="140">
        <v>0</v>
      </c>
      <c r="AW494" s="140">
        <v>25</v>
      </c>
      <c r="AX494" s="140">
        <v>0</v>
      </c>
      <c r="AY494" s="140">
        <v>0</v>
      </c>
      <c r="AZ494" s="140">
        <v>0</v>
      </c>
      <c r="BA494" s="140">
        <v>0</v>
      </c>
      <c r="BB494" s="140">
        <v>0</v>
      </c>
      <c r="BC494" s="140">
        <v>0</v>
      </c>
      <c r="BD494" s="140">
        <v>0</v>
      </c>
      <c r="BE494" s="140">
        <v>0</v>
      </c>
      <c r="BF494" s="140">
        <v>0</v>
      </c>
      <c r="BG494" s="140">
        <v>0</v>
      </c>
      <c r="BH494" s="140">
        <v>0</v>
      </c>
      <c r="BI494" s="140">
        <v>0</v>
      </c>
      <c r="BJ494" s="140">
        <v>0</v>
      </c>
      <c r="BK494" s="140">
        <v>0</v>
      </c>
      <c r="BL494" s="140">
        <v>0</v>
      </c>
      <c r="BM494" s="140">
        <v>0</v>
      </c>
      <c r="BN494" s="140">
        <v>0</v>
      </c>
      <c r="BO494" s="140">
        <v>0</v>
      </c>
      <c r="BQ494" s="43" t="s">
        <v>329</v>
      </c>
      <c r="BX494" s="43">
        <v>21</v>
      </c>
      <c r="CB494" s="90">
        <f t="shared" si="45"/>
        <v>25</v>
      </c>
      <c r="CT494" s="90">
        <f t="shared" si="38"/>
        <v>25</v>
      </c>
      <c r="CU494" s="90">
        <f t="shared" si="39"/>
        <v>25</v>
      </c>
    </row>
    <row r="495" spans="1:99" ht="12" customHeight="1">
      <c r="A495" s="43">
        <v>470</v>
      </c>
      <c r="B495" s="89" t="s">
        <v>1515</v>
      </c>
      <c r="C495" s="89" t="s">
        <v>1544</v>
      </c>
      <c r="D495" s="89" t="s">
        <v>1545</v>
      </c>
      <c r="F495" s="43">
        <v>527370</v>
      </c>
      <c r="G495" s="43">
        <v>171395</v>
      </c>
      <c r="H495" s="89" t="s">
        <v>141</v>
      </c>
      <c r="K495" s="140">
        <v>0</v>
      </c>
      <c r="L495" s="140">
        <v>1</v>
      </c>
      <c r="M495" s="140">
        <v>1</v>
      </c>
      <c r="N495" s="140">
        <v>1</v>
      </c>
      <c r="O495" s="140">
        <v>1</v>
      </c>
      <c r="Q495" s="89" t="s">
        <v>1546</v>
      </c>
      <c r="R495" s="43" t="s">
        <v>316</v>
      </c>
      <c r="S495" s="125">
        <v>43041</v>
      </c>
      <c r="T495" s="117">
        <v>43167</v>
      </c>
      <c r="V495" s="43" t="s">
        <v>317</v>
      </c>
      <c r="X495" s="43" t="s">
        <v>318</v>
      </c>
      <c r="Y495" s="43" t="s">
        <v>361</v>
      </c>
      <c r="Z495" s="43" t="s">
        <v>320</v>
      </c>
      <c r="AA495" s="43" t="s">
        <v>353</v>
      </c>
      <c r="AB495" s="144">
        <v>4.9999998882412902E-3</v>
      </c>
      <c r="AF495" s="43" t="s">
        <v>75</v>
      </c>
      <c r="AG495" s="43" t="s">
        <v>322</v>
      </c>
      <c r="AJ495" s="140">
        <v>0</v>
      </c>
      <c r="AK495" s="140">
        <v>0</v>
      </c>
      <c r="AL495" s="140">
        <v>0</v>
      </c>
      <c r="AM495" s="140">
        <v>0</v>
      </c>
      <c r="AN495" s="140">
        <v>0</v>
      </c>
      <c r="AO495" s="140">
        <v>0</v>
      </c>
      <c r="AP495" s="140">
        <v>0</v>
      </c>
      <c r="AQ495" s="140">
        <v>1</v>
      </c>
      <c r="AR495" s="140">
        <v>0</v>
      </c>
      <c r="AS495" s="140">
        <v>0</v>
      </c>
      <c r="AT495" s="140">
        <v>0</v>
      </c>
      <c r="AU495" s="140">
        <v>0</v>
      </c>
      <c r="AV495" s="140">
        <v>0</v>
      </c>
      <c r="AW495" s="140">
        <v>0</v>
      </c>
      <c r="AX495" s="140">
        <v>0</v>
      </c>
      <c r="AY495" s="140">
        <v>0</v>
      </c>
      <c r="AZ495" s="140">
        <v>0</v>
      </c>
      <c r="BA495" s="140">
        <v>0</v>
      </c>
      <c r="BB495" s="140">
        <v>0</v>
      </c>
      <c r="BC495" s="140">
        <v>0</v>
      </c>
      <c r="BD495" s="140">
        <v>0</v>
      </c>
      <c r="BE495" s="140">
        <v>1</v>
      </c>
      <c r="BF495" s="140">
        <v>0</v>
      </c>
      <c r="BG495" s="140">
        <v>0</v>
      </c>
      <c r="BH495" s="140">
        <v>0</v>
      </c>
      <c r="BI495" s="140">
        <v>0</v>
      </c>
      <c r="BJ495" s="140">
        <v>0</v>
      </c>
      <c r="BK495" s="140">
        <v>0</v>
      </c>
      <c r="BL495" s="140">
        <v>0</v>
      </c>
      <c r="BM495" s="140">
        <v>0</v>
      </c>
      <c r="BN495" s="140">
        <v>0</v>
      </c>
      <c r="BO495" s="140">
        <v>0</v>
      </c>
      <c r="BP495" s="43" t="s">
        <v>141</v>
      </c>
      <c r="BX495" s="43">
        <v>6</v>
      </c>
      <c r="CA495" s="90">
        <f>$M495/4</f>
        <v>0.25</v>
      </c>
      <c r="CB495" s="90">
        <f>$M495/4</f>
        <v>0.25</v>
      </c>
      <c r="CC495" s="90">
        <f>$M495/4</f>
        <v>0.25</v>
      </c>
      <c r="CD495" s="90">
        <f>$M495/4</f>
        <v>0.25</v>
      </c>
      <c r="CT495" s="90">
        <f t="shared" si="38"/>
        <v>1</v>
      </c>
      <c r="CU495" s="90">
        <f t="shared" si="39"/>
        <v>1</v>
      </c>
    </row>
    <row r="496" spans="1:99" ht="12" customHeight="1">
      <c r="A496" s="43">
        <v>501</v>
      </c>
      <c r="B496" s="89" t="s">
        <v>1515</v>
      </c>
      <c r="C496" s="89" t="s">
        <v>1547</v>
      </c>
      <c r="D496" s="89" t="s">
        <v>1548</v>
      </c>
      <c r="F496" s="43">
        <v>523779</v>
      </c>
      <c r="G496" s="43">
        <v>175125</v>
      </c>
      <c r="H496" s="89" t="s">
        <v>178</v>
      </c>
      <c r="K496" s="140">
        <v>0</v>
      </c>
      <c r="L496" s="140">
        <v>1</v>
      </c>
      <c r="M496" s="140">
        <v>1</v>
      </c>
      <c r="N496" s="140">
        <v>1</v>
      </c>
      <c r="O496" s="140">
        <v>1</v>
      </c>
      <c r="Q496" s="89" t="s">
        <v>1549</v>
      </c>
      <c r="R496" s="43" t="s">
        <v>316</v>
      </c>
      <c r="S496" s="125">
        <v>42901</v>
      </c>
      <c r="T496" s="117">
        <v>42971</v>
      </c>
      <c r="V496" s="43" t="s">
        <v>317</v>
      </c>
      <c r="X496" s="43" t="s">
        <v>318</v>
      </c>
      <c r="Y496" s="43" t="s">
        <v>336</v>
      </c>
      <c r="Z496" s="43" t="s">
        <v>320</v>
      </c>
      <c r="AA496" s="43" t="s">
        <v>30</v>
      </c>
      <c r="AB496" s="144">
        <v>8.9999996125698107E-3</v>
      </c>
      <c r="AF496" s="43" t="s">
        <v>75</v>
      </c>
      <c r="AG496" s="43" t="s">
        <v>322</v>
      </c>
      <c r="AJ496" s="140">
        <v>0</v>
      </c>
      <c r="AK496" s="140">
        <v>0</v>
      </c>
      <c r="AL496" s="140">
        <v>0</v>
      </c>
      <c r="AM496" s="140">
        <v>0</v>
      </c>
      <c r="AN496" s="140">
        <v>0</v>
      </c>
      <c r="AO496" s="140">
        <v>0</v>
      </c>
      <c r="AP496" s="140">
        <v>1</v>
      </c>
      <c r="AQ496" s="140">
        <v>0</v>
      </c>
      <c r="AR496" s="140">
        <v>0</v>
      </c>
      <c r="AS496" s="140">
        <v>0</v>
      </c>
      <c r="AT496" s="140">
        <v>0</v>
      </c>
      <c r="AU496" s="140">
        <v>0</v>
      </c>
      <c r="AV496" s="140">
        <v>0</v>
      </c>
      <c r="AW496" s="140">
        <v>1</v>
      </c>
      <c r="AX496" s="140">
        <v>0</v>
      </c>
      <c r="AY496" s="140">
        <v>0</v>
      </c>
      <c r="AZ496" s="140">
        <v>0</v>
      </c>
      <c r="BA496" s="140">
        <v>0</v>
      </c>
      <c r="BB496" s="140">
        <v>0</v>
      </c>
      <c r="BC496" s="140">
        <v>0</v>
      </c>
      <c r="BD496" s="140">
        <v>0</v>
      </c>
      <c r="BE496" s="140">
        <v>0</v>
      </c>
      <c r="BF496" s="140">
        <v>0</v>
      </c>
      <c r="BG496" s="140">
        <v>0</v>
      </c>
      <c r="BH496" s="140">
        <v>0</v>
      </c>
      <c r="BI496" s="140">
        <v>0</v>
      </c>
      <c r="BJ496" s="140">
        <v>0</v>
      </c>
      <c r="BK496" s="140">
        <v>0</v>
      </c>
      <c r="BL496" s="140">
        <v>0</v>
      </c>
      <c r="BM496" s="140">
        <v>0</v>
      </c>
      <c r="BN496" s="140">
        <v>0</v>
      </c>
      <c r="BO496" s="140">
        <v>0</v>
      </c>
      <c r="BP496" s="43" t="s">
        <v>140</v>
      </c>
      <c r="BX496" s="43">
        <v>15</v>
      </c>
      <c r="BZ496" s="90">
        <f>$M496/3</f>
        <v>0.33333333333333331</v>
      </c>
      <c r="CA496" s="90">
        <f>$M496/3</f>
        <v>0.33333333333333331</v>
      </c>
      <c r="CB496" s="90">
        <f>$M496/3</f>
        <v>0.33333333333333331</v>
      </c>
      <c r="CT496" s="90">
        <f t="shared" si="38"/>
        <v>1</v>
      </c>
      <c r="CU496" s="90">
        <f t="shared" si="39"/>
        <v>1</v>
      </c>
    </row>
    <row r="497" spans="1:99" ht="12" customHeight="1">
      <c r="A497" s="43">
        <v>536</v>
      </c>
      <c r="B497" s="89" t="s">
        <v>1515</v>
      </c>
      <c r="C497" s="89" t="s">
        <v>1550</v>
      </c>
      <c r="D497" s="89" t="s">
        <v>1551</v>
      </c>
      <c r="E497" s="89" t="s">
        <v>1552</v>
      </c>
      <c r="F497" s="43">
        <v>525441</v>
      </c>
      <c r="G497" s="43">
        <v>174750</v>
      </c>
      <c r="H497" s="89" t="s">
        <v>170</v>
      </c>
      <c r="K497" s="140">
        <v>0</v>
      </c>
      <c r="L497" s="140">
        <v>1</v>
      </c>
      <c r="M497" s="140">
        <v>1</v>
      </c>
      <c r="N497" s="140">
        <v>17</v>
      </c>
      <c r="O497" s="140">
        <v>13</v>
      </c>
      <c r="P497" s="43" t="s">
        <v>329</v>
      </c>
      <c r="Q497" s="89" t="s">
        <v>1553</v>
      </c>
      <c r="R497" s="43" t="s">
        <v>392</v>
      </c>
      <c r="S497" s="125">
        <v>42761</v>
      </c>
      <c r="T497" s="117">
        <v>43860</v>
      </c>
      <c r="U497" s="43" t="s">
        <v>329</v>
      </c>
      <c r="V497" s="43" t="s">
        <v>317</v>
      </c>
      <c r="X497" s="43" t="s">
        <v>318</v>
      </c>
      <c r="Y497" s="43" t="s">
        <v>361</v>
      </c>
      <c r="Z497" s="43" t="s">
        <v>361</v>
      </c>
      <c r="AA497" s="43" t="s">
        <v>320</v>
      </c>
      <c r="AB497" s="144">
        <v>3.0000000260770299E-3</v>
      </c>
      <c r="AF497" s="43" t="s">
        <v>75</v>
      </c>
      <c r="AG497" s="43" t="s">
        <v>322</v>
      </c>
      <c r="AJ497" s="140">
        <v>2</v>
      </c>
      <c r="AK497" s="140">
        <v>0</v>
      </c>
      <c r="AL497" s="140">
        <v>0</v>
      </c>
      <c r="AM497" s="140">
        <v>0</v>
      </c>
      <c r="AN497" s="140">
        <v>0</v>
      </c>
      <c r="AO497" s="140">
        <v>0</v>
      </c>
      <c r="AP497" s="140">
        <v>0</v>
      </c>
      <c r="AQ497" s="140">
        <v>1</v>
      </c>
      <c r="AR497" s="140">
        <v>0</v>
      </c>
      <c r="AS497" s="140">
        <v>0</v>
      </c>
      <c r="AT497" s="140">
        <v>0</v>
      </c>
      <c r="AU497" s="140">
        <v>0</v>
      </c>
      <c r="AV497" s="140">
        <v>0</v>
      </c>
      <c r="AW497" s="140">
        <v>0</v>
      </c>
      <c r="AX497" s="140">
        <v>1</v>
      </c>
      <c r="AY497" s="140">
        <v>0</v>
      </c>
      <c r="AZ497" s="140">
        <v>0</v>
      </c>
      <c r="BA497" s="140">
        <v>0</v>
      </c>
      <c r="BB497" s="140">
        <v>0</v>
      </c>
      <c r="BC497" s="140">
        <v>0</v>
      </c>
      <c r="BD497" s="140">
        <v>0</v>
      </c>
      <c r="BE497" s="140">
        <v>0</v>
      </c>
      <c r="BF497" s="140">
        <v>0</v>
      </c>
      <c r="BG497" s="140">
        <v>0</v>
      </c>
      <c r="BH497" s="140">
        <v>0</v>
      </c>
      <c r="BI497" s="140">
        <v>0</v>
      </c>
      <c r="BJ497" s="140">
        <v>0</v>
      </c>
      <c r="BK497" s="140">
        <v>0</v>
      </c>
      <c r="BL497" s="140">
        <v>0</v>
      </c>
      <c r="BM497" s="140">
        <v>0</v>
      </c>
      <c r="BN497" s="140">
        <v>0</v>
      </c>
      <c r="BO497" s="140">
        <v>0</v>
      </c>
      <c r="BP497" s="43" t="s">
        <v>142</v>
      </c>
      <c r="BR497" s="43" t="s">
        <v>329</v>
      </c>
      <c r="BX497" s="43">
        <v>7</v>
      </c>
      <c r="CB497" s="90">
        <f>M497</f>
        <v>1</v>
      </c>
      <c r="CT497" s="90">
        <f t="shared" si="38"/>
        <v>1</v>
      </c>
      <c r="CU497" s="90">
        <f t="shared" si="39"/>
        <v>1</v>
      </c>
    </row>
    <row r="498" spans="1:99" ht="12" customHeight="1">
      <c r="A498" s="43">
        <v>536</v>
      </c>
      <c r="B498" s="89" t="s">
        <v>1515</v>
      </c>
      <c r="C498" s="89" t="s">
        <v>1550</v>
      </c>
      <c r="D498" s="89" t="s">
        <v>1551</v>
      </c>
      <c r="F498" s="43">
        <v>525441</v>
      </c>
      <c r="G498" s="43">
        <v>174750</v>
      </c>
      <c r="H498" s="89" t="s">
        <v>170</v>
      </c>
      <c r="K498" s="140">
        <v>4</v>
      </c>
      <c r="L498" s="140">
        <v>16</v>
      </c>
      <c r="M498" s="140">
        <v>12</v>
      </c>
      <c r="N498" s="140">
        <v>17</v>
      </c>
      <c r="O498" s="140">
        <v>13</v>
      </c>
      <c r="P498" s="43" t="s">
        <v>329</v>
      </c>
      <c r="Q498" s="89" t="s">
        <v>1553</v>
      </c>
      <c r="R498" s="43" t="s">
        <v>392</v>
      </c>
      <c r="S498" s="125">
        <v>42761</v>
      </c>
      <c r="T498" s="117">
        <v>43860</v>
      </c>
      <c r="U498" s="43" t="s">
        <v>329</v>
      </c>
      <c r="V498" s="43" t="s">
        <v>317</v>
      </c>
      <c r="X498" s="43" t="s">
        <v>318</v>
      </c>
      <c r="Y498" s="43" t="s">
        <v>361</v>
      </c>
      <c r="Z498" s="43" t="s">
        <v>361</v>
      </c>
      <c r="AA498" s="43" t="s">
        <v>320</v>
      </c>
      <c r="AB498" s="144">
        <v>4.39999997615814E-2</v>
      </c>
      <c r="AF498" s="43" t="s">
        <v>75</v>
      </c>
      <c r="AG498" s="43" t="s">
        <v>322</v>
      </c>
      <c r="AJ498" s="140">
        <v>19</v>
      </c>
      <c r="AK498" s="140">
        <v>0</v>
      </c>
      <c r="AL498" s="140">
        <v>1</v>
      </c>
      <c r="AM498" s="140">
        <v>0</v>
      </c>
      <c r="AN498" s="140">
        <v>2</v>
      </c>
      <c r="AO498" s="140">
        <v>2</v>
      </c>
      <c r="AP498" s="140">
        <v>7</v>
      </c>
      <c r="AQ498" s="140">
        <v>1</v>
      </c>
      <c r="AR498" s="140">
        <v>0</v>
      </c>
      <c r="AS498" s="140">
        <v>0</v>
      </c>
      <c r="AT498" s="140">
        <v>0</v>
      </c>
      <c r="AU498" s="140">
        <v>2</v>
      </c>
      <c r="AV498" s="140">
        <v>2</v>
      </c>
      <c r="AW498" s="140">
        <v>7</v>
      </c>
      <c r="AX498" s="140">
        <v>1</v>
      </c>
      <c r="AY498" s="140">
        <v>0</v>
      </c>
      <c r="AZ498" s="140">
        <v>0</v>
      </c>
      <c r="BA498" s="140">
        <v>0</v>
      </c>
      <c r="BB498" s="140">
        <v>0</v>
      </c>
      <c r="BC498" s="140">
        <v>0</v>
      </c>
      <c r="BD498" s="140">
        <v>0</v>
      </c>
      <c r="BE498" s="140">
        <v>0</v>
      </c>
      <c r="BF498" s="140">
        <v>0</v>
      </c>
      <c r="BG498" s="140">
        <v>0</v>
      </c>
      <c r="BH498" s="140">
        <v>0</v>
      </c>
      <c r="BI498" s="140">
        <v>0</v>
      </c>
      <c r="BJ498" s="140">
        <v>0</v>
      </c>
      <c r="BK498" s="140">
        <v>0</v>
      </c>
      <c r="BL498" s="140">
        <v>0</v>
      </c>
      <c r="BM498" s="140">
        <v>0</v>
      </c>
      <c r="BN498" s="140">
        <v>0</v>
      </c>
      <c r="BO498" s="140">
        <v>0</v>
      </c>
      <c r="BP498" s="43" t="s">
        <v>142</v>
      </c>
      <c r="BR498" s="43" t="s">
        <v>329</v>
      </c>
      <c r="BX498" s="43">
        <v>7</v>
      </c>
      <c r="CB498" s="90">
        <f>M498</f>
        <v>12</v>
      </c>
      <c r="CT498" s="90">
        <f t="shared" si="38"/>
        <v>12</v>
      </c>
      <c r="CU498" s="90">
        <f t="shared" si="39"/>
        <v>12</v>
      </c>
    </row>
    <row r="499" spans="1:99" ht="12" customHeight="1">
      <c r="A499" s="43">
        <v>578</v>
      </c>
      <c r="B499" s="89" t="s">
        <v>1515</v>
      </c>
      <c r="C499" s="89" t="s">
        <v>1554</v>
      </c>
      <c r="D499" s="89" t="s">
        <v>1555</v>
      </c>
      <c r="F499" s="43">
        <v>527681</v>
      </c>
      <c r="G499" s="43">
        <v>175497</v>
      </c>
      <c r="H499" s="89" t="s">
        <v>175</v>
      </c>
      <c r="K499" s="140">
        <v>0</v>
      </c>
      <c r="L499" s="140">
        <v>1</v>
      </c>
      <c r="M499" s="140">
        <v>1</v>
      </c>
      <c r="N499" s="140">
        <v>1</v>
      </c>
      <c r="O499" s="140">
        <v>1</v>
      </c>
      <c r="Q499" s="89" t="s">
        <v>1556</v>
      </c>
      <c r="R499" s="43" t="s">
        <v>620</v>
      </c>
      <c r="S499" s="125">
        <v>43565</v>
      </c>
      <c r="T499" s="117">
        <v>43616</v>
      </c>
      <c r="U499" s="43" t="s">
        <v>329</v>
      </c>
      <c r="V499" s="43" t="s">
        <v>317</v>
      </c>
      <c r="X499" s="43" t="s">
        <v>318</v>
      </c>
      <c r="Y499" s="43" t="s">
        <v>336</v>
      </c>
      <c r="Z499" s="43" t="s">
        <v>320</v>
      </c>
      <c r="AA499" s="43" t="s">
        <v>33</v>
      </c>
      <c r="AB499" s="144">
        <v>1.09999999403954E-2</v>
      </c>
      <c r="AF499" s="43" t="s">
        <v>75</v>
      </c>
      <c r="AG499" s="43" t="s">
        <v>322</v>
      </c>
      <c r="AJ499" s="140">
        <v>0</v>
      </c>
      <c r="AK499" s="140">
        <v>0</v>
      </c>
      <c r="AL499" s="140">
        <v>0</v>
      </c>
      <c r="AM499" s="140">
        <v>0</v>
      </c>
      <c r="AN499" s="140">
        <v>0</v>
      </c>
      <c r="AO499" s="140">
        <v>0</v>
      </c>
      <c r="AP499" s="140">
        <v>1</v>
      </c>
      <c r="AQ499" s="140">
        <v>0</v>
      </c>
      <c r="AR499" s="140">
        <v>0</v>
      </c>
      <c r="AS499" s="140">
        <v>0</v>
      </c>
      <c r="AT499" s="140">
        <v>0</v>
      </c>
      <c r="AU499" s="140">
        <v>0</v>
      </c>
      <c r="AV499" s="140">
        <v>0</v>
      </c>
      <c r="AW499" s="140">
        <v>1</v>
      </c>
      <c r="AX499" s="140">
        <v>0</v>
      </c>
      <c r="AY499" s="140">
        <v>0</v>
      </c>
      <c r="AZ499" s="140">
        <v>0</v>
      </c>
      <c r="BA499" s="140">
        <v>0</v>
      </c>
      <c r="BB499" s="140">
        <v>0</v>
      </c>
      <c r="BC499" s="140">
        <v>0</v>
      </c>
      <c r="BD499" s="140">
        <v>0</v>
      </c>
      <c r="BE499" s="140">
        <v>0</v>
      </c>
      <c r="BF499" s="140">
        <v>0</v>
      </c>
      <c r="BG499" s="140">
        <v>0</v>
      </c>
      <c r="BH499" s="140">
        <v>0</v>
      </c>
      <c r="BI499" s="140">
        <v>0</v>
      </c>
      <c r="BJ499" s="140">
        <v>0</v>
      </c>
      <c r="BK499" s="140">
        <v>0</v>
      </c>
      <c r="BL499" s="140">
        <v>0</v>
      </c>
      <c r="BM499" s="140">
        <v>0</v>
      </c>
      <c r="BN499" s="140">
        <v>0</v>
      </c>
      <c r="BO499" s="140">
        <v>0</v>
      </c>
      <c r="BP499" s="43" t="s">
        <v>139</v>
      </c>
      <c r="BX499" s="43">
        <v>15</v>
      </c>
      <c r="BZ499" s="90">
        <f t="shared" ref="BZ499:CB504" si="46">$M499/3</f>
        <v>0.33333333333333331</v>
      </c>
      <c r="CA499" s="90">
        <f t="shared" si="46"/>
        <v>0.33333333333333331</v>
      </c>
      <c r="CB499" s="90">
        <f t="shared" si="46"/>
        <v>0.33333333333333331</v>
      </c>
      <c r="CT499" s="90">
        <f t="shared" si="38"/>
        <v>1</v>
      </c>
      <c r="CU499" s="90">
        <f t="shared" si="39"/>
        <v>1</v>
      </c>
    </row>
    <row r="500" spans="1:99" ht="12" customHeight="1">
      <c r="A500" s="43">
        <v>615</v>
      </c>
      <c r="B500" s="89" t="s">
        <v>1515</v>
      </c>
      <c r="C500" s="89" t="s">
        <v>1557</v>
      </c>
      <c r="D500" s="89" t="s">
        <v>1558</v>
      </c>
      <c r="F500" s="43">
        <v>528241</v>
      </c>
      <c r="G500" s="43">
        <v>172875</v>
      </c>
      <c r="H500" s="89" t="s">
        <v>173</v>
      </c>
      <c r="K500" s="140">
        <v>0</v>
      </c>
      <c r="L500" s="140">
        <v>1</v>
      </c>
      <c r="M500" s="140">
        <v>1</v>
      </c>
      <c r="N500" s="140">
        <v>1</v>
      </c>
      <c r="O500" s="140">
        <v>1</v>
      </c>
      <c r="Q500" s="89" t="s">
        <v>1559</v>
      </c>
      <c r="R500" s="43" t="s">
        <v>316</v>
      </c>
      <c r="S500" s="125">
        <v>42851</v>
      </c>
      <c r="T500" s="117">
        <v>43003</v>
      </c>
      <c r="V500" s="43" t="s">
        <v>317</v>
      </c>
      <c r="X500" s="43" t="s">
        <v>318</v>
      </c>
      <c r="Y500" s="43" t="s">
        <v>379</v>
      </c>
      <c r="Z500" s="43" t="s">
        <v>320</v>
      </c>
      <c r="AA500" s="43" t="s">
        <v>340</v>
      </c>
      <c r="AB500" s="144">
        <v>7.0000002160668399E-3</v>
      </c>
      <c r="AF500" s="43" t="s">
        <v>75</v>
      </c>
      <c r="AG500" s="43" t="s">
        <v>322</v>
      </c>
      <c r="AJ500" s="140">
        <v>0</v>
      </c>
      <c r="AK500" s="140">
        <v>0</v>
      </c>
      <c r="AL500" s="140">
        <v>0</v>
      </c>
      <c r="AM500" s="140">
        <v>0</v>
      </c>
      <c r="AN500" s="140">
        <v>0</v>
      </c>
      <c r="AO500" s="140">
        <v>0</v>
      </c>
      <c r="AP500" s="140">
        <v>1</v>
      </c>
      <c r="AQ500" s="140">
        <v>0</v>
      </c>
      <c r="AR500" s="140">
        <v>0</v>
      </c>
      <c r="AS500" s="140">
        <v>0</v>
      </c>
      <c r="AT500" s="140">
        <v>0</v>
      </c>
      <c r="AU500" s="140">
        <v>0</v>
      </c>
      <c r="AV500" s="140">
        <v>0</v>
      </c>
      <c r="AW500" s="140">
        <v>1</v>
      </c>
      <c r="AX500" s="140">
        <v>0</v>
      </c>
      <c r="AY500" s="140">
        <v>0</v>
      </c>
      <c r="AZ500" s="140">
        <v>0</v>
      </c>
      <c r="BA500" s="140">
        <v>0</v>
      </c>
      <c r="BB500" s="140">
        <v>0</v>
      </c>
      <c r="BC500" s="140">
        <v>0</v>
      </c>
      <c r="BD500" s="140">
        <v>0</v>
      </c>
      <c r="BE500" s="140">
        <v>0</v>
      </c>
      <c r="BF500" s="140">
        <v>0</v>
      </c>
      <c r="BG500" s="140">
        <v>0</v>
      </c>
      <c r="BH500" s="140">
        <v>0</v>
      </c>
      <c r="BI500" s="140">
        <v>0</v>
      </c>
      <c r="BJ500" s="140">
        <v>0</v>
      </c>
      <c r="BK500" s="140">
        <v>0</v>
      </c>
      <c r="BL500" s="140">
        <v>0</v>
      </c>
      <c r="BM500" s="140">
        <v>0</v>
      </c>
      <c r="BN500" s="140">
        <v>0</v>
      </c>
      <c r="BO500" s="140">
        <v>0</v>
      </c>
      <c r="BX500" s="43">
        <v>15</v>
      </c>
      <c r="BZ500" s="90">
        <f t="shared" si="46"/>
        <v>0.33333333333333331</v>
      </c>
      <c r="CA500" s="90">
        <f t="shared" si="46"/>
        <v>0.33333333333333331</v>
      </c>
      <c r="CB500" s="90">
        <f t="shared" si="46"/>
        <v>0.33333333333333331</v>
      </c>
      <c r="CT500" s="90">
        <f t="shared" si="38"/>
        <v>1</v>
      </c>
      <c r="CU500" s="90">
        <f t="shared" si="39"/>
        <v>1</v>
      </c>
    </row>
    <row r="501" spans="1:99" ht="12" customHeight="1">
      <c r="A501" s="43">
        <v>681</v>
      </c>
      <c r="B501" s="89" t="s">
        <v>1515</v>
      </c>
      <c r="C501" s="89" t="s">
        <v>1560</v>
      </c>
      <c r="D501" s="89" t="s">
        <v>1561</v>
      </c>
      <c r="F501" s="43">
        <v>526030</v>
      </c>
      <c r="G501" s="43">
        <v>174685</v>
      </c>
      <c r="H501" s="89" t="s">
        <v>170</v>
      </c>
      <c r="K501" s="140">
        <v>0</v>
      </c>
      <c r="L501" s="140">
        <v>1</v>
      </c>
      <c r="M501" s="140">
        <v>1</v>
      </c>
      <c r="N501" s="140">
        <v>1</v>
      </c>
      <c r="O501" s="140">
        <v>1</v>
      </c>
      <c r="Q501" s="89" t="s">
        <v>1562</v>
      </c>
      <c r="R501" s="43" t="s">
        <v>316</v>
      </c>
      <c r="S501" s="125">
        <v>43783</v>
      </c>
      <c r="T501" s="117">
        <v>43866</v>
      </c>
      <c r="U501" s="43" t="s">
        <v>329</v>
      </c>
      <c r="V501" s="43" t="s">
        <v>317</v>
      </c>
      <c r="X501" s="43" t="s">
        <v>318</v>
      </c>
      <c r="Y501" s="43" t="s">
        <v>336</v>
      </c>
      <c r="Z501" s="43" t="s">
        <v>320</v>
      </c>
      <c r="AA501" s="43" t="s">
        <v>36</v>
      </c>
      <c r="AB501" s="144">
        <v>6.0000000521540598E-3</v>
      </c>
      <c r="AF501" s="43" t="s">
        <v>75</v>
      </c>
      <c r="AG501" s="43" t="s">
        <v>322</v>
      </c>
      <c r="AJ501" s="140">
        <v>0</v>
      </c>
      <c r="AK501" s="140">
        <v>0</v>
      </c>
      <c r="AL501" s="140">
        <v>0</v>
      </c>
      <c r="AM501" s="140">
        <v>0</v>
      </c>
      <c r="AN501" s="140">
        <v>0</v>
      </c>
      <c r="AO501" s="140">
        <v>1</v>
      </c>
      <c r="AP501" s="140">
        <v>0</v>
      </c>
      <c r="AQ501" s="140">
        <v>0</v>
      </c>
      <c r="AR501" s="140">
        <v>0</v>
      </c>
      <c r="AS501" s="140">
        <v>0</v>
      </c>
      <c r="AT501" s="140">
        <v>0</v>
      </c>
      <c r="AU501" s="140">
        <v>0</v>
      </c>
      <c r="AV501" s="140">
        <v>1</v>
      </c>
      <c r="AW501" s="140">
        <v>0</v>
      </c>
      <c r="AX501" s="140">
        <v>0</v>
      </c>
      <c r="AY501" s="140">
        <v>0</v>
      </c>
      <c r="AZ501" s="140">
        <v>0</v>
      </c>
      <c r="BA501" s="140">
        <v>0</v>
      </c>
      <c r="BB501" s="140">
        <v>0</v>
      </c>
      <c r="BC501" s="140">
        <v>0</v>
      </c>
      <c r="BD501" s="140">
        <v>0</v>
      </c>
      <c r="BE501" s="140">
        <v>0</v>
      </c>
      <c r="BF501" s="140">
        <v>0</v>
      </c>
      <c r="BG501" s="140">
        <v>0</v>
      </c>
      <c r="BH501" s="140">
        <v>0</v>
      </c>
      <c r="BI501" s="140">
        <v>0</v>
      </c>
      <c r="BJ501" s="140">
        <v>0</v>
      </c>
      <c r="BK501" s="140">
        <v>0</v>
      </c>
      <c r="BL501" s="140">
        <v>0</v>
      </c>
      <c r="BM501" s="140">
        <v>0</v>
      </c>
      <c r="BN501" s="140">
        <v>0</v>
      </c>
      <c r="BO501" s="140">
        <v>0</v>
      </c>
      <c r="BX501" s="43">
        <v>15</v>
      </c>
      <c r="BZ501" s="90">
        <f t="shared" si="46"/>
        <v>0.33333333333333331</v>
      </c>
      <c r="CA501" s="90">
        <f t="shared" si="46"/>
        <v>0.33333333333333331</v>
      </c>
      <c r="CB501" s="90">
        <f t="shared" si="46"/>
        <v>0.33333333333333331</v>
      </c>
      <c r="CT501" s="90">
        <f t="shared" si="38"/>
        <v>1</v>
      </c>
      <c r="CU501" s="90">
        <f t="shared" si="39"/>
        <v>1</v>
      </c>
    </row>
    <row r="502" spans="1:99" ht="12" customHeight="1">
      <c r="A502" s="43">
        <v>863</v>
      </c>
      <c r="B502" s="89" t="s">
        <v>1515</v>
      </c>
      <c r="C502" s="89" t="s">
        <v>1563</v>
      </c>
      <c r="D502" s="89" t="s">
        <v>1564</v>
      </c>
      <c r="F502" s="43">
        <v>523757</v>
      </c>
      <c r="G502" s="43">
        <v>175633</v>
      </c>
      <c r="H502" s="89" t="s">
        <v>178</v>
      </c>
      <c r="K502" s="140">
        <v>0</v>
      </c>
      <c r="L502" s="140">
        <v>1</v>
      </c>
      <c r="M502" s="140">
        <v>1</v>
      </c>
      <c r="N502" s="140">
        <v>1</v>
      </c>
      <c r="O502" s="140">
        <v>1</v>
      </c>
      <c r="Q502" s="89" t="s">
        <v>1565</v>
      </c>
      <c r="R502" s="43" t="s">
        <v>316</v>
      </c>
      <c r="S502" s="125">
        <v>43497</v>
      </c>
      <c r="T502" s="117">
        <v>43564</v>
      </c>
      <c r="U502" s="43" t="s">
        <v>329</v>
      </c>
      <c r="V502" s="43" t="s">
        <v>317</v>
      </c>
      <c r="X502" s="43" t="s">
        <v>318</v>
      </c>
      <c r="Y502" s="43" t="s">
        <v>319</v>
      </c>
      <c r="Z502" s="43" t="s">
        <v>320</v>
      </c>
      <c r="AA502" s="43" t="s">
        <v>36</v>
      </c>
      <c r="AB502" s="144">
        <v>4.9999998882412902E-3</v>
      </c>
      <c r="AF502" s="43" t="s">
        <v>75</v>
      </c>
      <c r="AG502" s="43" t="s">
        <v>322</v>
      </c>
      <c r="AJ502" s="140">
        <v>0</v>
      </c>
      <c r="AK502" s="140">
        <v>0</v>
      </c>
      <c r="AL502" s="140">
        <v>0</v>
      </c>
      <c r="AM502" s="140">
        <v>0</v>
      </c>
      <c r="AN502" s="140">
        <v>0</v>
      </c>
      <c r="AO502" s="140">
        <v>0</v>
      </c>
      <c r="AP502" s="140">
        <v>0</v>
      </c>
      <c r="AQ502" s="140">
        <v>1</v>
      </c>
      <c r="AR502" s="140">
        <v>0</v>
      </c>
      <c r="AS502" s="140">
        <v>0</v>
      </c>
      <c r="AT502" s="140">
        <v>0</v>
      </c>
      <c r="AU502" s="140">
        <v>0</v>
      </c>
      <c r="AV502" s="140">
        <v>0</v>
      </c>
      <c r="AW502" s="140">
        <v>0</v>
      </c>
      <c r="AX502" s="140">
        <v>1</v>
      </c>
      <c r="AY502" s="140">
        <v>0</v>
      </c>
      <c r="AZ502" s="140">
        <v>0</v>
      </c>
      <c r="BA502" s="140">
        <v>0</v>
      </c>
      <c r="BB502" s="140">
        <v>0</v>
      </c>
      <c r="BC502" s="140">
        <v>0</v>
      </c>
      <c r="BD502" s="140">
        <v>0</v>
      </c>
      <c r="BE502" s="140">
        <v>0</v>
      </c>
      <c r="BF502" s="140">
        <v>0</v>
      </c>
      <c r="BG502" s="140">
        <v>0</v>
      </c>
      <c r="BH502" s="140">
        <v>0</v>
      </c>
      <c r="BI502" s="140">
        <v>0</v>
      </c>
      <c r="BJ502" s="140">
        <v>0</v>
      </c>
      <c r="BK502" s="140">
        <v>0</v>
      </c>
      <c r="BL502" s="140">
        <v>0</v>
      </c>
      <c r="BM502" s="140">
        <v>0</v>
      </c>
      <c r="BN502" s="140">
        <v>0</v>
      </c>
      <c r="BO502" s="140">
        <v>0</v>
      </c>
      <c r="BX502" s="43">
        <v>15</v>
      </c>
      <c r="BZ502" s="90">
        <f t="shared" si="46"/>
        <v>0.33333333333333331</v>
      </c>
      <c r="CA502" s="90">
        <f t="shared" si="46"/>
        <v>0.33333333333333331</v>
      </c>
      <c r="CB502" s="90">
        <f t="shared" si="46"/>
        <v>0.33333333333333331</v>
      </c>
      <c r="CT502" s="90">
        <f t="shared" si="38"/>
        <v>1</v>
      </c>
      <c r="CU502" s="90">
        <f t="shared" si="39"/>
        <v>1</v>
      </c>
    </row>
    <row r="503" spans="1:99" ht="12" customHeight="1">
      <c r="A503" s="43">
        <v>911</v>
      </c>
      <c r="B503" s="89" t="s">
        <v>1515</v>
      </c>
      <c r="C503" s="89" t="s">
        <v>1566</v>
      </c>
      <c r="D503" s="89" t="s">
        <v>1567</v>
      </c>
      <c r="E503" s="89" t="s">
        <v>346</v>
      </c>
      <c r="F503" s="43">
        <v>526146</v>
      </c>
      <c r="G503" s="43">
        <v>172566</v>
      </c>
      <c r="H503" s="89" t="s">
        <v>168</v>
      </c>
      <c r="K503" s="140">
        <v>0</v>
      </c>
      <c r="L503" s="140">
        <v>1</v>
      </c>
      <c r="M503" s="140">
        <v>1</v>
      </c>
      <c r="N503" s="140">
        <v>2</v>
      </c>
      <c r="O503" s="140">
        <v>1</v>
      </c>
      <c r="Q503" s="89" t="s">
        <v>1568</v>
      </c>
      <c r="R503" s="43" t="s">
        <v>316</v>
      </c>
      <c r="S503" s="125">
        <v>43168</v>
      </c>
      <c r="T503" s="117">
        <v>43292</v>
      </c>
      <c r="V503" s="43" t="s">
        <v>317</v>
      </c>
      <c r="X503" s="43" t="s">
        <v>318</v>
      </c>
      <c r="Y503" s="43" t="s">
        <v>319</v>
      </c>
      <c r="Z503" s="43" t="s">
        <v>320</v>
      </c>
      <c r="AA503" s="43" t="s">
        <v>353</v>
      </c>
      <c r="AB503" s="144">
        <v>6.0000000521540598E-3</v>
      </c>
      <c r="AF503" s="43" t="s">
        <v>75</v>
      </c>
      <c r="AG503" s="43" t="s">
        <v>322</v>
      </c>
      <c r="AJ503" s="140">
        <v>0</v>
      </c>
      <c r="AK503" s="140">
        <v>1</v>
      </c>
      <c r="AL503" s="140">
        <v>0</v>
      </c>
      <c r="AM503" s="140">
        <v>0</v>
      </c>
      <c r="AN503" s="140">
        <v>0</v>
      </c>
      <c r="AO503" s="140">
        <v>1</v>
      </c>
      <c r="AP503" s="140">
        <v>0</v>
      </c>
      <c r="AQ503" s="140">
        <v>0</v>
      </c>
      <c r="AR503" s="140">
        <v>0</v>
      </c>
      <c r="AS503" s="140">
        <v>0</v>
      </c>
      <c r="AT503" s="140">
        <v>0</v>
      </c>
      <c r="AU503" s="140">
        <v>0</v>
      </c>
      <c r="AV503" s="140">
        <v>1</v>
      </c>
      <c r="AW503" s="140">
        <v>0</v>
      </c>
      <c r="AX503" s="140">
        <v>0</v>
      </c>
      <c r="AY503" s="140">
        <v>0</v>
      </c>
      <c r="AZ503" s="140">
        <v>0</v>
      </c>
      <c r="BA503" s="140">
        <v>0</v>
      </c>
      <c r="BB503" s="140">
        <v>0</v>
      </c>
      <c r="BC503" s="140">
        <v>0</v>
      </c>
      <c r="BD503" s="140">
        <v>0</v>
      </c>
      <c r="BE503" s="140">
        <v>0</v>
      </c>
      <c r="BF503" s="140">
        <v>0</v>
      </c>
      <c r="BG503" s="140">
        <v>0</v>
      </c>
      <c r="BH503" s="140">
        <v>0</v>
      </c>
      <c r="BI503" s="140">
        <v>0</v>
      </c>
      <c r="BJ503" s="140">
        <v>0</v>
      </c>
      <c r="BK503" s="140">
        <v>0</v>
      </c>
      <c r="BL503" s="140">
        <v>0</v>
      </c>
      <c r="BM503" s="140">
        <v>0</v>
      </c>
      <c r="BN503" s="140">
        <v>0</v>
      </c>
      <c r="BO503" s="140">
        <v>0</v>
      </c>
      <c r="BX503" s="43">
        <v>15</v>
      </c>
      <c r="BZ503" s="90">
        <f t="shared" si="46"/>
        <v>0.33333333333333331</v>
      </c>
      <c r="CA503" s="90">
        <f t="shared" si="46"/>
        <v>0.33333333333333331</v>
      </c>
      <c r="CB503" s="90">
        <f t="shared" si="46"/>
        <v>0.33333333333333331</v>
      </c>
      <c r="CT503" s="90">
        <f t="shared" si="38"/>
        <v>1</v>
      </c>
      <c r="CU503" s="90">
        <f t="shared" si="39"/>
        <v>1</v>
      </c>
    </row>
    <row r="504" spans="1:99" ht="12" customHeight="1">
      <c r="A504" s="43">
        <v>911</v>
      </c>
      <c r="B504" s="89" t="s">
        <v>1515</v>
      </c>
      <c r="C504" s="89" t="s">
        <v>1566</v>
      </c>
      <c r="D504" s="89" t="s">
        <v>1567</v>
      </c>
      <c r="E504" s="89" t="s">
        <v>1569</v>
      </c>
      <c r="F504" s="43">
        <v>526146</v>
      </c>
      <c r="G504" s="43">
        <v>172566</v>
      </c>
      <c r="H504" s="89" t="s">
        <v>168</v>
      </c>
      <c r="K504" s="140">
        <v>1</v>
      </c>
      <c r="L504" s="140">
        <v>1</v>
      </c>
      <c r="M504" s="140">
        <v>0</v>
      </c>
      <c r="N504" s="140">
        <v>2</v>
      </c>
      <c r="O504" s="140">
        <v>1</v>
      </c>
      <c r="Q504" s="89" t="s">
        <v>1568</v>
      </c>
      <c r="R504" s="43" t="s">
        <v>316</v>
      </c>
      <c r="S504" s="125">
        <v>43168</v>
      </c>
      <c r="T504" s="117">
        <v>43292</v>
      </c>
      <c r="V504" s="43" t="s">
        <v>317</v>
      </c>
      <c r="X504" s="43" t="s">
        <v>318</v>
      </c>
      <c r="Y504" s="43" t="s">
        <v>319</v>
      </c>
      <c r="Z504" s="43" t="s">
        <v>320</v>
      </c>
      <c r="AA504" s="43" t="s">
        <v>353</v>
      </c>
      <c r="AB504" s="144">
        <v>8.0000003799796104E-3</v>
      </c>
      <c r="AF504" s="43" t="s">
        <v>75</v>
      </c>
      <c r="AG504" s="43" t="s">
        <v>322</v>
      </c>
      <c r="AJ504" s="140">
        <v>0</v>
      </c>
      <c r="AK504" s="140">
        <v>0</v>
      </c>
      <c r="AL504" s="140">
        <v>0</v>
      </c>
      <c r="AM504" s="140">
        <v>1</v>
      </c>
      <c r="AN504" s="140">
        <v>0</v>
      </c>
      <c r="AO504" s="140">
        <v>-1</v>
      </c>
      <c r="AP504" s="140">
        <v>1</v>
      </c>
      <c r="AQ504" s="140">
        <v>0</v>
      </c>
      <c r="AR504" s="140">
        <v>0</v>
      </c>
      <c r="AS504" s="140">
        <v>0</v>
      </c>
      <c r="AT504" s="140">
        <v>0</v>
      </c>
      <c r="AU504" s="140">
        <v>0</v>
      </c>
      <c r="AV504" s="140">
        <v>-1</v>
      </c>
      <c r="AW504" s="140">
        <v>1</v>
      </c>
      <c r="AX504" s="140">
        <v>0</v>
      </c>
      <c r="AY504" s="140">
        <v>0</v>
      </c>
      <c r="AZ504" s="140">
        <v>0</v>
      </c>
      <c r="BA504" s="140">
        <v>0</v>
      </c>
      <c r="BB504" s="140">
        <v>0</v>
      </c>
      <c r="BC504" s="140">
        <v>0</v>
      </c>
      <c r="BD504" s="140">
        <v>0</v>
      </c>
      <c r="BE504" s="140">
        <v>0</v>
      </c>
      <c r="BF504" s="140">
        <v>0</v>
      </c>
      <c r="BG504" s="140">
        <v>0</v>
      </c>
      <c r="BH504" s="140">
        <v>0</v>
      </c>
      <c r="BI504" s="140">
        <v>0</v>
      </c>
      <c r="BJ504" s="140">
        <v>0</v>
      </c>
      <c r="BK504" s="140">
        <v>0</v>
      </c>
      <c r="BL504" s="140">
        <v>0</v>
      </c>
      <c r="BM504" s="140">
        <v>0</v>
      </c>
      <c r="BN504" s="140">
        <v>0</v>
      </c>
      <c r="BO504" s="140">
        <v>0</v>
      </c>
      <c r="BX504" s="43">
        <v>15</v>
      </c>
      <c r="BZ504" s="90">
        <f t="shared" si="46"/>
        <v>0</v>
      </c>
      <c r="CA504" s="90">
        <f t="shared" si="46"/>
        <v>0</v>
      </c>
      <c r="CB504" s="90">
        <f t="shared" si="46"/>
        <v>0</v>
      </c>
      <c r="CT504" s="90">
        <f t="shared" si="38"/>
        <v>0</v>
      </c>
      <c r="CU504" s="90">
        <f t="shared" si="39"/>
        <v>0</v>
      </c>
    </row>
    <row r="505" spans="1:99" ht="12" customHeight="1">
      <c r="A505" s="43">
        <v>967</v>
      </c>
      <c r="B505" s="89" t="s">
        <v>1515</v>
      </c>
      <c r="C505" s="89" t="s">
        <v>1570</v>
      </c>
      <c r="D505" s="89" t="s">
        <v>1571</v>
      </c>
      <c r="E505" s="89" t="s">
        <v>1572</v>
      </c>
      <c r="F505" s="43">
        <v>525095</v>
      </c>
      <c r="G505" s="43">
        <v>174084</v>
      </c>
      <c r="H505" s="89" t="s">
        <v>176</v>
      </c>
      <c r="K505" s="140">
        <v>0</v>
      </c>
      <c r="L505" s="140">
        <v>2</v>
      </c>
      <c r="M505" s="140">
        <v>2</v>
      </c>
      <c r="N505" s="140">
        <v>8</v>
      </c>
      <c r="O505" s="140">
        <v>4</v>
      </c>
      <c r="Q505" s="89" t="s">
        <v>1573</v>
      </c>
      <c r="R505" s="43" t="s">
        <v>316</v>
      </c>
      <c r="S505" s="125">
        <v>43291</v>
      </c>
      <c r="T505" s="117">
        <v>43426</v>
      </c>
      <c r="V505" s="43" t="s">
        <v>317</v>
      </c>
      <c r="X505" s="43" t="s">
        <v>318</v>
      </c>
      <c r="Y505" s="43" t="s">
        <v>348</v>
      </c>
      <c r="Z505" s="43" t="s">
        <v>320</v>
      </c>
      <c r="AA505" s="43" t="s">
        <v>340</v>
      </c>
      <c r="AB505" s="144">
        <v>1.7999999225139601E-2</v>
      </c>
      <c r="AF505" s="43" t="s">
        <v>75</v>
      </c>
      <c r="AG505" s="43" t="s">
        <v>322</v>
      </c>
      <c r="AJ505" s="140">
        <v>0</v>
      </c>
      <c r="AK505" s="140">
        <v>0</v>
      </c>
      <c r="AL505" s="140">
        <v>0</v>
      </c>
      <c r="AM505" s="140">
        <v>0</v>
      </c>
      <c r="AN505" s="140">
        <v>0</v>
      </c>
      <c r="AO505" s="140">
        <v>0</v>
      </c>
      <c r="AP505" s="140">
        <v>2</v>
      </c>
      <c r="AQ505" s="140">
        <v>0</v>
      </c>
      <c r="AR505" s="140">
        <v>0</v>
      </c>
      <c r="AS505" s="140">
        <v>0</v>
      </c>
      <c r="AT505" s="140">
        <v>0</v>
      </c>
      <c r="AU505" s="140">
        <v>0</v>
      </c>
      <c r="AV505" s="140">
        <v>0</v>
      </c>
      <c r="AW505" s="140">
        <v>2</v>
      </c>
      <c r="AX505" s="140">
        <v>0</v>
      </c>
      <c r="AY505" s="140">
        <v>0</v>
      </c>
      <c r="AZ505" s="140">
        <v>0</v>
      </c>
      <c r="BA505" s="140">
        <v>0</v>
      </c>
      <c r="BB505" s="140">
        <v>0</v>
      </c>
      <c r="BC505" s="140">
        <v>0</v>
      </c>
      <c r="BD505" s="140">
        <v>0</v>
      </c>
      <c r="BE505" s="140">
        <v>0</v>
      </c>
      <c r="BF505" s="140">
        <v>0</v>
      </c>
      <c r="BG505" s="140">
        <v>0</v>
      </c>
      <c r="BH505" s="140">
        <v>0</v>
      </c>
      <c r="BI505" s="140">
        <v>0</v>
      </c>
      <c r="BJ505" s="140">
        <v>0</v>
      </c>
      <c r="BK505" s="140">
        <v>0</v>
      </c>
      <c r="BL505" s="140">
        <v>0</v>
      </c>
      <c r="BM505" s="140">
        <v>0</v>
      </c>
      <c r="BN505" s="140">
        <v>0</v>
      </c>
      <c r="BO505" s="140">
        <v>0</v>
      </c>
      <c r="BX505" s="43">
        <v>16</v>
      </c>
      <c r="CA505" s="90">
        <f>M505</f>
        <v>2</v>
      </c>
      <c r="CT505" s="90">
        <f t="shared" si="38"/>
        <v>2</v>
      </c>
      <c r="CU505" s="90">
        <f t="shared" si="39"/>
        <v>2</v>
      </c>
    </row>
    <row r="506" spans="1:99" ht="12" customHeight="1">
      <c r="A506" s="43">
        <v>967</v>
      </c>
      <c r="B506" s="89" t="s">
        <v>1515</v>
      </c>
      <c r="C506" s="89" t="s">
        <v>1570</v>
      </c>
      <c r="D506" s="89" t="s">
        <v>1571</v>
      </c>
      <c r="E506" s="89" t="s">
        <v>1574</v>
      </c>
      <c r="F506" s="43">
        <v>525095</v>
      </c>
      <c r="G506" s="43">
        <v>174084</v>
      </c>
      <c r="H506" s="89" t="s">
        <v>176</v>
      </c>
      <c r="K506" s="140">
        <v>4</v>
      </c>
      <c r="L506" s="140">
        <v>2</v>
      </c>
      <c r="M506" s="140">
        <v>-2</v>
      </c>
      <c r="N506" s="140">
        <v>8</v>
      </c>
      <c r="O506" s="140">
        <v>4</v>
      </c>
      <c r="Q506" s="89" t="s">
        <v>1573</v>
      </c>
      <c r="R506" s="43" t="s">
        <v>316</v>
      </c>
      <c r="S506" s="125">
        <v>43291</v>
      </c>
      <c r="T506" s="117">
        <v>43426</v>
      </c>
      <c r="V506" s="43" t="s">
        <v>317</v>
      </c>
      <c r="X506" s="43" t="s">
        <v>318</v>
      </c>
      <c r="Y506" s="43" t="s">
        <v>348</v>
      </c>
      <c r="Z506" s="43" t="s">
        <v>320</v>
      </c>
      <c r="AA506" s="43" t="s">
        <v>340</v>
      </c>
      <c r="AB506" s="144">
        <v>2.60000005364418E-2</v>
      </c>
      <c r="AF506" s="43" t="s">
        <v>75</v>
      </c>
      <c r="AG506" s="43" t="s">
        <v>322</v>
      </c>
      <c r="AJ506" s="140">
        <v>0</v>
      </c>
      <c r="AK506" s="140">
        <v>0</v>
      </c>
      <c r="AL506" s="140">
        <v>0</v>
      </c>
      <c r="AM506" s="140">
        <v>0</v>
      </c>
      <c r="AN506" s="140">
        <v>0</v>
      </c>
      <c r="AO506" s="140">
        <v>-1</v>
      </c>
      <c r="AP506" s="140">
        <v>-1</v>
      </c>
      <c r="AQ506" s="140">
        <v>0</v>
      </c>
      <c r="AR506" s="140">
        <v>0</v>
      </c>
      <c r="AS506" s="140">
        <v>0</v>
      </c>
      <c r="AT506" s="140">
        <v>0</v>
      </c>
      <c r="AU506" s="140">
        <v>0</v>
      </c>
      <c r="AV506" s="140">
        <v>-1</v>
      </c>
      <c r="AW506" s="140">
        <v>-1</v>
      </c>
      <c r="AX506" s="140">
        <v>0</v>
      </c>
      <c r="AY506" s="140">
        <v>0</v>
      </c>
      <c r="AZ506" s="140">
        <v>0</v>
      </c>
      <c r="BA506" s="140">
        <v>0</v>
      </c>
      <c r="BB506" s="140">
        <v>0</v>
      </c>
      <c r="BC506" s="140">
        <v>0</v>
      </c>
      <c r="BD506" s="140">
        <v>0</v>
      </c>
      <c r="BE506" s="140">
        <v>0</v>
      </c>
      <c r="BF506" s="140">
        <v>0</v>
      </c>
      <c r="BG506" s="140">
        <v>0</v>
      </c>
      <c r="BH506" s="140">
        <v>0</v>
      </c>
      <c r="BI506" s="140">
        <v>0</v>
      </c>
      <c r="BJ506" s="140">
        <v>0</v>
      </c>
      <c r="BK506" s="140">
        <v>0</v>
      </c>
      <c r="BL506" s="140">
        <v>0</v>
      </c>
      <c r="BM506" s="140">
        <v>0</v>
      </c>
      <c r="BN506" s="140">
        <v>0</v>
      </c>
      <c r="BO506" s="140">
        <v>0</v>
      </c>
      <c r="BX506" s="43">
        <v>16</v>
      </c>
      <c r="CA506" s="90">
        <f>M506</f>
        <v>-2</v>
      </c>
      <c r="CT506" s="90">
        <f t="shared" si="38"/>
        <v>-2</v>
      </c>
      <c r="CU506" s="90">
        <f t="shared" si="39"/>
        <v>-2</v>
      </c>
    </row>
    <row r="507" spans="1:99" ht="12" customHeight="1">
      <c r="A507" s="43">
        <v>967</v>
      </c>
      <c r="B507" s="89" t="s">
        <v>1515</v>
      </c>
      <c r="C507" s="89" t="s">
        <v>1570</v>
      </c>
      <c r="D507" s="89" t="s">
        <v>1571</v>
      </c>
      <c r="E507" s="89" t="s">
        <v>1575</v>
      </c>
      <c r="F507" s="43">
        <v>525095</v>
      </c>
      <c r="G507" s="43">
        <v>174084</v>
      </c>
      <c r="H507" s="89" t="s">
        <v>176</v>
      </c>
      <c r="K507" s="140">
        <v>0</v>
      </c>
      <c r="L507" s="140">
        <v>2</v>
      </c>
      <c r="M507" s="140">
        <v>2</v>
      </c>
      <c r="N507" s="140">
        <v>8</v>
      </c>
      <c r="O507" s="140">
        <v>4</v>
      </c>
      <c r="Q507" s="89" t="s">
        <v>1573</v>
      </c>
      <c r="R507" s="43" t="s">
        <v>316</v>
      </c>
      <c r="S507" s="125">
        <v>43291</v>
      </c>
      <c r="T507" s="117">
        <v>43426</v>
      </c>
      <c r="V507" s="43" t="s">
        <v>317</v>
      </c>
      <c r="X507" s="43" t="s">
        <v>318</v>
      </c>
      <c r="Y507" s="43" t="s">
        <v>348</v>
      </c>
      <c r="Z507" s="43" t="s">
        <v>320</v>
      </c>
      <c r="AA507" s="43" t="s">
        <v>321</v>
      </c>
      <c r="AB507" s="144">
        <v>1.30000002682209E-2</v>
      </c>
      <c r="AF507" s="43" t="s">
        <v>75</v>
      </c>
      <c r="AG507" s="43" t="s">
        <v>322</v>
      </c>
      <c r="AJ507" s="140">
        <v>0</v>
      </c>
      <c r="AK507" s="140">
        <v>0</v>
      </c>
      <c r="AL507" s="140">
        <v>0</v>
      </c>
      <c r="AM507" s="140">
        <v>0</v>
      </c>
      <c r="AN507" s="140">
        <v>0</v>
      </c>
      <c r="AO507" s="140">
        <v>1</v>
      </c>
      <c r="AP507" s="140">
        <v>1</v>
      </c>
      <c r="AQ507" s="140">
        <v>0</v>
      </c>
      <c r="AR507" s="140">
        <v>0</v>
      </c>
      <c r="AS507" s="140">
        <v>0</v>
      </c>
      <c r="AT507" s="140">
        <v>0</v>
      </c>
      <c r="AU507" s="140">
        <v>0</v>
      </c>
      <c r="AV507" s="140">
        <v>1</v>
      </c>
      <c r="AW507" s="140">
        <v>1</v>
      </c>
      <c r="AX507" s="140">
        <v>0</v>
      </c>
      <c r="AY507" s="140">
        <v>0</v>
      </c>
      <c r="AZ507" s="140">
        <v>0</v>
      </c>
      <c r="BA507" s="140">
        <v>0</v>
      </c>
      <c r="BB507" s="140">
        <v>0</v>
      </c>
      <c r="BC507" s="140">
        <v>0</v>
      </c>
      <c r="BD507" s="140">
        <v>0</v>
      </c>
      <c r="BE507" s="140">
        <v>0</v>
      </c>
      <c r="BF507" s="140">
        <v>0</v>
      </c>
      <c r="BG507" s="140">
        <v>0</v>
      </c>
      <c r="BH507" s="140">
        <v>0</v>
      </c>
      <c r="BI507" s="140">
        <v>0</v>
      </c>
      <c r="BJ507" s="140">
        <v>0</v>
      </c>
      <c r="BK507" s="140">
        <v>0</v>
      </c>
      <c r="BL507" s="140">
        <v>0</v>
      </c>
      <c r="BM507" s="140">
        <v>0</v>
      </c>
      <c r="BN507" s="140">
        <v>0</v>
      </c>
      <c r="BO507" s="140">
        <v>0</v>
      </c>
      <c r="BX507" s="43">
        <v>16</v>
      </c>
      <c r="CA507" s="90">
        <f>M507</f>
        <v>2</v>
      </c>
      <c r="CT507" s="90">
        <f t="shared" si="38"/>
        <v>2</v>
      </c>
      <c r="CU507" s="90">
        <f t="shared" si="39"/>
        <v>2</v>
      </c>
    </row>
    <row r="508" spans="1:99" ht="12" customHeight="1">
      <c r="A508" s="43">
        <v>967</v>
      </c>
      <c r="B508" s="89" t="s">
        <v>1515</v>
      </c>
      <c r="C508" s="89" t="s">
        <v>1570</v>
      </c>
      <c r="D508" s="89" t="s">
        <v>1571</v>
      </c>
      <c r="E508" s="89" t="s">
        <v>1576</v>
      </c>
      <c r="F508" s="43">
        <v>525095</v>
      </c>
      <c r="G508" s="43">
        <v>174084</v>
      </c>
      <c r="H508" s="89" t="s">
        <v>176</v>
      </c>
      <c r="K508" s="140">
        <v>0</v>
      </c>
      <c r="L508" s="140">
        <v>2</v>
      </c>
      <c r="M508" s="140">
        <v>2</v>
      </c>
      <c r="N508" s="140">
        <v>8</v>
      </c>
      <c r="O508" s="140">
        <v>4</v>
      </c>
      <c r="Q508" s="89" t="s">
        <v>1573</v>
      </c>
      <c r="R508" s="43" t="s">
        <v>316</v>
      </c>
      <c r="S508" s="125">
        <v>43291</v>
      </c>
      <c r="T508" s="117">
        <v>43426</v>
      </c>
      <c r="V508" s="43" t="s">
        <v>317</v>
      </c>
      <c r="X508" s="43" t="s">
        <v>318</v>
      </c>
      <c r="Y508" s="43" t="s">
        <v>348</v>
      </c>
      <c r="Z508" s="43" t="s">
        <v>320</v>
      </c>
      <c r="AA508" s="43" t="s">
        <v>321</v>
      </c>
      <c r="AB508" s="144">
        <v>1.30000002682209E-2</v>
      </c>
      <c r="AF508" s="43" t="s">
        <v>75</v>
      </c>
      <c r="AG508" s="43" t="s">
        <v>322</v>
      </c>
      <c r="AJ508" s="140">
        <v>0</v>
      </c>
      <c r="AK508" s="140">
        <v>0</v>
      </c>
      <c r="AL508" s="140">
        <v>0</v>
      </c>
      <c r="AM508" s="140">
        <v>0</v>
      </c>
      <c r="AN508" s="140">
        <v>0</v>
      </c>
      <c r="AO508" s="140">
        <v>1</v>
      </c>
      <c r="AP508" s="140">
        <v>1</v>
      </c>
      <c r="AQ508" s="140">
        <v>0</v>
      </c>
      <c r="AR508" s="140">
        <v>0</v>
      </c>
      <c r="AS508" s="140">
        <v>0</v>
      </c>
      <c r="AT508" s="140">
        <v>0</v>
      </c>
      <c r="AU508" s="140">
        <v>0</v>
      </c>
      <c r="AV508" s="140">
        <v>1</v>
      </c>
      <c r="AW508" s="140">
        <v>1</v>
      </c>
      <c r="AX508" s="140">
        <v>0</v>
      </c>
      <c r="AY508" s="140">
        <v>0</v>
      </c>
      <c r="AZ508" s="140">
        <v>0</v>
      </c>
      <c r="BA508" s="140">
        <v>0</v>
      </c>
      <c r="BB508" s="140">
        <v>0</v>
      </c>
      <c r="BC508" s="140">
        <v>0</v>
      </c>
      <c r="BD508" s="140">
        <v>0</v>
      </c>
      <c r="BE508" s="140">
        <v>0</v>
      </c>
      <c r="BF508" s="140">
        <v>0</v>
      </c>
      <c r="BG508" s="140">
        <v>0</v>
      </c>
      <c r="BH508" s="140">
        <v>0</v>
      </c>
      <c r="BI508" s="140">
        <v>0</v>
      </c>
      <c r="BJ508" s="140">
        <v>0</v>
      </c>
      <c r="BK508" s="140">
        <v>0</v>
      </c>
      <c r="BL508" s="140">
        <v>0</v>
      </c>
      <c r="BM508" s="140">
        <v>0</v>
      </c>
      <c r="BN508" s="140">
        <v>0</v>
      </c>
      <c r="BO508" s="140">
        <v>0</v>
      </c>
      <c r="BX508" s="43">
        <v>16</v>
      </c>
      <c r="CA508" s="90">
        <f>M508</f>
        <v>2</v>
      </c>
      <c r="CT508" s="90">
        <f t="shared" si="38"/>
        <v>2</v>
      </c>
      <c r="CU508" s="90">
        <f t="shared" si="39"/>
        <v>2</v>
      </c>
    </row>
    <row r="509" spans="1:99" ht="12" customHeight="1">
      <c r="A509" s="43">
        <v>1090</v>
      </c>
      <c r="B509" s="89" t="s">
        <v>1515</v>
      </c>
      <c r="C509" s="89" t="s">
        <v>1577</v>
      </c>
      <c r="D509" s="89" t="s">
        <v>1578</v>
      </c>
      <c r="F509" s="43">
        <v>527564</v>
      </c>
      <c r="G509" s="43">
        <v>171696</v>
      </c>
      <c r="H509" s="89" t="s">
        <v>141</v>
      </c>
      <c r="K509" s="140">
        <v>0</v>
      </c>
      <c r="L509" s="140">
        <v>1</v>
      </c>
      <c r="M509" s="140">
        <v>1</v>
      </c>
      <c r="N509" s="140">
        <v>2</v>
      </c>
      <c r="O509" s="140">
        <v>1</v>
      </c>
      <c r="Q509" s="89" t="s">
        <v>1579</v>
      </c>
      <c r="R509" s="43" t="s">
        <v>383</v>
      </c>
      <c r="S509" s="125">
        <v>42724</v>
      </c>
      <c r="T509" s="117">
        <v>42870</v>
      </c>
      <c r="V509" s="43" t="s">
        <v>384</v>
      </c>
      <c r="W509" s="117">
        <v>43024</v>
      </c>
      <c r="X509" s="43" t="s">
        <v>318</v>
      </c>
      <c r="Y509" s="43" t="s">
        <v>379</v>
      </c>
      <c r="Z509" s="43" t="s">
        <v>320</v>
      </c>
      <c r="AA509" s="43" t="s">
        <v>340</v>
      </c>
      <c r="AB509" s="144">
        <v>7.0000002160668399E-3</v>
      </c>
      <c r="AF509" s="43" t="s">
        <v>75</v>
      </c>
      <c r="AG509" s="43" t="s">
        <v>322</v>
      </c>
      <c r="AJ509" s="140">
        <v>0</v>
      </c>
      <c r="AK509" s="140">
        <v>0</v>
      </c>
      <c r="AL509" s="140">
        <v>0</v>
      </c>
      <c r="AM509" s="140">
        <v>0</v>
      </c>
      <c r="AN509" s="140">
        <v>0</v>
      </c>
      <c r="AO509" s="140">
        <v>1</v>
      </c>
      <c r="AP509" s="140">
        <v>0</v>
      </c>
      <c r="AQ509" s="140">
        <v>0</v>
      </c>
      <c r="AR509" s="140">
        <v>0</v>
      </c>
      <c r="AS509" s="140">
        <v>0</v>
      </c>
      <c r="AT509" s="140">
        <v>0</v>
      </c>
      <c r="AU509" s="140">
        <v>0</v>
      </c>
      <c r="AV509" s="140">
        <v>1</v>
      </c>
      <c r="AW509" s="140">
        <v>0</v>
      </c>
      <c r="AX509" s="140">
        <v>0</v>
      </c>
      <c r="AY509" s="140">
        <v>0</v>
      </c>
      <c r="AZ509" s="140">
        <v>0</v>
      </c>
      <c r="BA509" s="140">
        <v>0</v>
      </c>
      <c r="BB509" s="140">
        <v>0</v>
      </c>
      <c r="BC509" s="140">
        <v>0</v>
      </c>
      <c r="BD509" s="140">
        <v>0</v>
      </c>
      <c r="BE509" s="140">
        <v>0</v>
      </c>
      <c r="BF509" s="140">
        <v>0</v>
      </c>
      <c r="BG509" s="140">
        <v>0</v>
      </c>
      <c r="BH509" s="140">
        <v>0</v>
      </c>
      <c r="BI509" s="140">
        <v>0</v>
      </c>
      <c r="BJ509" s="140">
        <v>0</v>
      </c>
      <c r="BK509" s="140">
        <v>0</v>
      </c>
      <c r="BL509" s="140">
        <v>0</v>
      </c>
      <c r="BM509" s="140">
        <v>0</v>
      </c>
      <c r="BN509" s="140">
        <v>0</v>
      </c>
      <c r="BO509" s="140">
        <v>0</v>
      </c>
      <c r="BP509" s="43" t="s">
        <v>141</v>
      </c>
      <c r="BX509" s="43">
        <v>15</v>
      </c>
      <c r="BZ509" s="90">
        <f t="shared" ref="BZ509:CB518" si="47">$M509/3</f>
        <v>0.33333333333333331</v>
      </c>
      <c r="CA509" s="90">
        <f t="shared" si="47"/>
        <v>0.33333333333333331</v>
      </c>
      <c r="CB509" s="90">
        <f t="shared" si="47"/>
        <v>0.33333333333333331</v>
      </c>
      <c r="CT509" s="90">
        <f t="shared" si="38"/>
        <v>1</v>
      </c>
      <c r="CU509" s="90">
        <f t="shared" si="39"/>
        <v>1</v>
      </c>
    </row>
    <row r="510" spans="1:99" ht="12" customHeight="1">
      <c r="A510" s="43">
        <v>1090</v>
      </c>
      <c r="B510" s="89" t="s">
        <v>1515</v>
      </c>
      <c r="C510" s="89" t="s">
        <v>1577</v>
      </c>
      <c r="D510" s="89" t="s">
        <v>1578</v>
      </c>
      <c r="F510" s="43">
        <v>527564</v>
      </c>
      <c r="G510" s="43">
        <v>171696</v>
      </c>
      <c r="H510" s="89" t="s">
        <v>141</v>
      </c>
      <c r="K510" s="140">
        <v>1</v>
      </c>
      <c r="L510" s="140">
        <v>1</v>
      </c>
      <c r="M510" s="140">
        <v>0</v>
      </c>
      <c r="N510" s="140">
        <v>2</v>
      </c>
      <c r="O510" s="140">
        <v>1</v>
      </c>
      <c r="Q510" s="89" t="s">
        <v>1579</v>
      </c>
      <c r="R510" s="43" t="s">
        <v>383</v>
      </c>
      <c r="S510" s="125">
        <v>42724</v>
      </c>
      <c r="T510" s="117">
        <v>42870</v>
      </c>
      <c r="V510" s="43" t="s">
        <v>384</v>
      </c>
      <c r="W510" s="117">
        <v>43024</v>
      </c>
      <c r="X510" s="43" t="s">
        <v>318</v>
      </c>
      <c r="Y510" s="43" t="s">
        <v>379</v>
      </c>
      <c r="Z510" s="43" t="s">
        <v>320</v>
      </c>
      <c r="AA510" s="43" t="s">
        <v>321</v>
      </c>
      <c r="AB510" s="144">
        <v>8.9999996125698107E-3</v>
      </c>
      <c r="AF510" s="43" t="s">
        <v>75</v>
      </c>
      <c r="AG510" s="43" t="s">
        <v>322</v>
      </c>
      <c r="AJ510" s="140">
        <v>0</v>
      </c>
      <c r="AK510" s="140">
        <v>0</v>
      </c>
      <c r="AL510" s="140">
        <v>0</v>
      </c>
      <c r="AM510" s="140">
        <v>0</v>
      </c>
      <c r="AN510" s="140">
        <v>0</v>
      </c>
      <c r="AO510" s="140">
        <v>-1</v>
      </c>
      <c r="AP510" s="140">
        <v>1</v>
      </c>
      <c r="AQ510" s="140">
        <v>0</v>
      </c>
      <c r="AR510" s="140">
        <v>0</v>
      </c>
      <c r="AS510" s="140">
        <v>0</v>
      </c>
      <c r="AT510" s="140">
        <v>0</v>
      </c>
      <c r="AU510" s="140">
        <v>0</v>
      </c>
      <c r="AV510" s="140">
        <v>-1</v>
      </c>
      <c r="AW510" s="140">
        <v>1</v>
      </c>
      <c r="AX510" s="140">
        <v>0</v>
      </c>
      <c r="AY510" s="140">
        <v>0</v>
      </c>
      <c r="AZ510" s="140">
        <v>0</v>
      </c>
      <c r="BA510" s="140">
        <v>0</v>
      </c>
      <c r="BB510" s="140">
        <v>0</v>
      </c>
      <c r="BC510" s="140">
        <v>0</v>
      </c>
      <c r="BD510" s="140">
        <v>0</v>
      </c>
      <c r="BE510" s="140">
        <v>0</v>
      </c>
      <c r="BF510" s="140">
        <v>0</v>
      </c>
      <c r="BG510" s="140">
        <v>0</v>
      </c>
      <c r="BH510" s="140">
        <v>0</v>
      </c>
      <c r="BI510" s="140">
        <v>0</v>
      </c>
      <c r="BJ510" s="140">
        <v>0</v>
      </c>
      <c r="BK510" s="140">
        <v>0</v>
      </c>
      <c r="BL510" s="140">
        <v>0</v>
      </c>
      <c r="BM510" s="140">
        <v>0</v>
      </c>
      <c r="BN510" s="140">
        <v>0</v>
      </c>
      <c r="BO510" s="140">
        <v>0</v>
      </c>
      <c r="BP510" s="43" t="s">
        <v>141</v>
      </c>
      <c r="BX510" s="43">
        <v>15</v>
      </c>
      <c r="BZ510" s="90">
        <f t="shared" si="47"/>
        <v>0</v>
      </c>
      <c r="CA510" s="90">
        <f t="shared" si="47"/>
        <v>0</v>
      </c>
      <c r="CB510" s="90">
        <f t="shared" si="47"/>
        <v>0</v>
      </c>
      <c r="CT510" s="90">
        <f t="shared" si="38"/>
        <v>0</v>
      </c>
      <c r="CU510" s="90">
        <f t="shared" si="39"/>
        <v>0</v>
      </c>
    </row>
    <row r="511" spans="1:99" ht="12" customHeight="1">
      <c r="A511" s="43">
        <v>1147</v>
      </c>
      <c r="B511" s="89" t="s">
        <v>1515</v>
      </c>
      <c r="C511" s="89" t="s">
        <v>1580</v>
      </c>
      <c r="D511" s="89" t="s">
        <v>1581</v>
      </c>
      <c r="F511" s="43">
        <v>527527</v>
      </c>
      <c r="G511" s="43">
        <v>173093</v>
      </c>
      <c r="H511" s="89" t="s">
        <v>173</v>
      </c>
      <c r="K511" s="140">
        <v>0</v>
      </c>
      <c r="L511" s="140">
        <v>1</v>
      </c>
      <c r="M511" s="140">
        <v>1</v>
      </c>
      <c r="N511" s="140">
        <v>1</v>
      </c>
      <c r="O511" s="140">
        <v>1</v>
      </c>
      <c r="Q511" s="89" t="s">
        <v>1582</v>
      </c>
      <c r="R511" s="43" t="s">
        <v>316</v>
      </c>
      <c r="S511" s="125">
        <v>43725</v>
      </c>
      <c r="T511" s="117">
        <v>43784</v>
      </c>
      <c r="U511" s="43" t="s">
        <v>329</v>
      </c>
      <c r="V511" s="43" t="s">
        <v>317</v>
      </c>
      <c r="X511" s="43" t="s">
        <v>318</v>
      </c>
      <c r="Y511" s="43" t="s">
        <v>336</v>
      </c>
      <c r="Z511" s="43" t="s">
        <v>320</v>
      </c>
      <c r="AA511" s="43" t="s">
        <v>30</v>
      </c>
      <c r="AB511" s="144">
        <v>4.9999998882412902E-3</v>
      </c>
      <c r="AF511" s="43" t="s">
        <v>75</v>
      </c>
      <c r="AG511" s="43" t="s">
        <v>322</v>
      </c>
      <c r="AJ511" s="140">
        <v>0</v>
      </c>
      <c r="AK511" s="140">
        <v>0</v>
      </c>
      <c r="AL511" s="140">
        <v>0</v>
      </c>
      <c r="AM511" s="140">
        <v>0</v>
      </c>
      <c r="AN511" s="140">
        <v>0</v>
      </c>
      <c r="AO511" s="140">
        <v>1</v>
      </c>
      <c r="AP511" s="140">
        <v>0</v>
      </c>
      <c r="AQ511" s="140">
        <v>0</v>
      </c>
      <c r="AR511" s="140">
        <v>0</v>
      </c>
      <c r="AS511" s="140">
        <v>0</v>
      </c>
      <c r="AT511" s="140">
        <v>0</v>
      </c>
      <c r="AU511" s="140">
        <v>0</v>
      </c>
      <c r="AV511" s="140">
        <v>1</v>
      </c>
      <c r="AW511" s="140">
        <v>0</v>
      </c>
      <c r="AX511" s="140">
        <v>0</v>
      </c>
      <c r="AY511" s="140">
        <v>0</v>
      </c>
      <c r="AZ511" s="140">
        <v>0</v>
      </c>
      <c r="BA511" s="140">
        <v>0</v>
      </c>
      <c r="BB511" s="140">
        <v>0</v>
      </c>
      <c r="BC511" s="140">
        <v>0</v>
      </c>
      <c r="BD511" s="140">
        <v>0</v>
      </c>
      <c r="BE511" s="140">
        <v>0</v>
      </c>
      <c r="BF511" s="140">
        <v>0</v>
      </c>
      <c r="BG511" s="140">
        <v>0</v>
      </c>
      <c r="BH511" s="140">
        <v>0</v>
      </c>
      <c r="BI511" s="140">
        <v>0</v>
      </c>
      <c r="BJ511" s="140">
        <v>0</v>
      </c>
      <c r="BK511" s="140">
        <v>0</v>
      </c>
      <c r="BL511" s="140">
        <v>0</v>
      </c>
      <c r="BM511" s="140">
        <v>0</v>
      </c>
      <c r="BN511" s="140">
        <v>0</v>
      </c>
      <c r="BO511" s="140">
        <v>0</v>
      </c>
      <c r="BX511" s="43">
        <v>15</v>
      </c>
      <c r="BZ511" s="90">
        <f t="shared" si="47"/>
        <v>0.33333333333333331</v>
      </c>
      <c r="CA511" s="90">
        <f t="shared" si="47"/>
        <v>0.33333333333333331</v>
      </c>
      <c r="CB511" s="90">
        <f t="shared" si="47"/>
        <v>0.33333333333333331</v>
      </c>
      <c r="CT511" s="90">
        <f t="shared" si="38"/>
        <v>1</v>
      </c>
      <c r="CU511" s="90">
        <f t="shared" si="39"/>
        <v>1</v>
      </c>
    </row>
    <row r="512" spans="1:99" ht="12" customHeight="1">
      <c r="A512" s="43">
        <v>1164</v>
      </c>
      <c r="B512" s="89" t="s">
        <v>1515</v>
      </c>
      <c r="C512" s="89" t="s">
        <v>1583</v>
      </c>
      <c r="D512" s="89" t="s">
        <v>1584</v>
      </c>
      <c r="F512" s="43">
        <v>527684</v>
      </c>
      <c r="G512" s="43">
        <v>175583</v>
      </c>
      <c r="H512" s="89" t="s">
        <v>175</v>
      </c>
      <c r="K512" s="140">
        <v>0</v>
      </c>
      <c r="L512" s="140">
        <v>1</v>
      </c>
      <c r="M512" s="140">
        <v>1</v>
      </c>
      <c r="N512" s="140">
        <v>1</v>
      </c>
      <c r="O512" s="140">
        <v>1</v>
      </c>
      <c r="Q512" s="89" t="s">
        <v>1585</v>
      </c>
      <c r="R512" s="43" t="s">
        <v>316</v>
      </c>
      <c r="S512" s="125">
        <v>43656</v>
      </c>
      <c r="T512" s="117">
        <v>43691</v>
      </c>
      <c r="U512" s="43" t="s">
        <v>329</v>
      </c>
      <c r="V512" s="43" t="s">
        <v>317</v>
      </c>
      <c r="X512" s="43" t="s">
        <v>318</v>
      </c>
      <c r="Y512" s="43" t="s">
        <v>336</v>
      </c>
      <c r="Z512" s="43" t="s">
        <v>320</v>
      </c>
      <c r="AA512" s="43" t="s">
        <v>30</v>
      </c>
      <c r="AB512" s="144">
        <v>6.0000000521540598E-3</v>
      </c>
      <c r="AF512" s="43" t="s">
        <v>75</v>
      </c>
      <c r="AG512" s="43" t="s">
        <v>322</v>
      </c>
      <c r="AJ512" s="140">
        <v>0</v>
      </c>
      <c r="AK512" s="140">
        <v>0</v>
      </c>
      <c r="AL512" s="140">
        <v>0</v>
      </c>
      <c r="AM512" s="140">
        <v>0</v>
      </c>
      <c r="AN512" s="140">
        <v>0</v>
      </c>
      <c r="AO512" s="140">
        <v>1</v>
      </c>
      <c r="AP512" s="140">
        <v>0</v>
      </c>
      <c r="AQ512" s="140">
        <v>0</v>
      </c>
      <c r="AR512" s="140">
        <v>0</v>
      </c>
      <c r="AS512" s="140">
        <v>0</v>
      </c>
      <c r="AT512" s="140">
        <v>0</v>
      </c>
      <c r="AU512" s="140">
        <v>0</v>
      </c>
      <c r="AV512" s="140">
        <v>1</v>
      </c>
      <c r="AW512" s="140">
        <v>0</v>
      </c>
      <c r="AX512" s="140">
        <v>0</v>
      </c>
      <c r="AY512" s="140">
        <v>0</v>
      </c>
      <c r="AZ512" s="140">
        <v>0</v>
      </c>
      <c r="BA512" s="140">
        <v>0</v>
      </c>
      <c r="BB512" s="140">
        <v>0</v>
      </c>
      <c r="BC512" s="140">
        <v>0</v>
      </c>
      <c r="BD512" s="140">
        <v>0</v>
      </c>
      <c r="BE512" s="140">
        <v>0</v>
      </c>
      <c r="BF512" s="140">
        <v>0</v>
      </c>
      <c r="BG512" s="140">
        <v>0</v>
      </c>
      <c r="BH512" s="140">
        <v>0</v>
      </c>
      <c r="BI512" s="140">
        <v>0</v>
      </c>
      <c r="BJ512" s="140">
        <v>0</v>
      </c>
      <c r="BK512" s="140">
        <v>0</v>
      </c>
      <c r="BL512" s="140">
        <v>0</v>
      </c>
      <c r="BM512" s="140">
        <v>0</v>
      </c>
      <c r="BN512" s="140">
        <v>0</v>
      </c>
      <c r="BO512" s="140">
        <v>0</v>
      </c>
      <c r="BX512" s="43">
        <v>15</v>
      </c>
      <c r="BZ512" s="90">
        <f t="shared" si="47"/>
        <v>0.33333333333333331</v>
      </c>
      <c r="CA512" s="90">
        <f t="shared" si="47"/>
        <v>0.33333333333333331</v>
      </c>
      <c r="CB512" s="90">
        <f t="shared" si="47"/>
        <v>0.33333333333333331</v>
      </c>
      <c r="CT512" s="90">
        <f t="shared" si="38"/>
        <v>1</v>
      </c>
      <c r="CU512" s="90">
        <f t="shared" si="39"/>
        <v>1</v>
      </c>
    </row>
    <row r="513" spans="1:99" ht="12" customHeight="1">
      <c r="A513" s="43">
        <v>1188</v>
      </c>
      <c r="B513" s="89" t="s">
        <v>1515</v>
      </c>
      <c r="C513" s="89" t="s">
        <v>1586</v>
      </c>
      <c r="D513" s="89" t="s">
        <v>1587</v>
      </c>
      <c r="F513" s="43">
        <v>526940</v>
      </c>
      <c r="G513" s="43">
        <v>175148</v>
      </c>
      <c r="H513" s="89" t="s">
        <v>170</v>
      </c>
      <c r="K513" s="140">
        <v>0</v>
      </c>
      <c r="L513" s="140">
        <v>3</v>
      </c>
      <c r="M513" s="140">
        <v>3</v>
      </c>
      <c r="N513" s="140">
        <v>3</v>
      </c>
      <c r="O513" s="140">
        <v>3</v>
      </c>
      <c r="Q513" s="89" t="s">
        <v>1588</v>
      </c>
      <c r="R513" s="43" t="s">
        <v>316</v>
      </c>
      <c r="S513" s="125">
        <v>43468</v>
      </c>
      <c r="T513" s="117">
        <v>43644</v>
      </c>
      <c r="U513" s="43" t="s">
        <v>329</v>
      </c>
      <c r="V513" s="43" t="s">
        <v>317</v>
      </c>
      <c r="X513" s="43" t="s">
        <v>318</v>
      </c>
      <c r="Y513" s="43" t="s">
        <v>319</v>
      </c>
      <c r="Z513" s="43" t="s">
        <v>320</v>
      </c>
      <c r="AA513" s="43" t="s">
        <v>353</v>
      </c>
      <c r="AB513" s="144">
        <v>7.0000002160668399E-3</v>
      </c>
      <c r="AF513" s="43" t="s">
        <v>75</v>
      </c>
      <c r="AG513" s="43" t="s">
        <v>322</v>
      </c>
      <c r="AJ513" s="140">
        <v>0</v>
      </c>
      <c r="AK513" s="140">
        <v>0</v>
      </c>
      <c r="AL513" s="140">
        <v>0</v>
      </c>
      <c r="AM513" s="140">
        <v>0</v>
      </c>
      <c r="AN513" s="140">
        <v>0</v>
      </c>
      <c r="AO513" s="140">
        <v>0</v>
      </c>
      <c r="AP513" s="140">
        <v>3</v>
      </c>
      <c r="AQ513" s="140">
        <v>0</v>
      </c>
      <c r="AR513" s="140">
        <v>0</v>
      </c>
      <c r="AS513" s="140">
        <v>0</v>
      </c>
      <c r="AT513" s="140">
        <v>0</v>
      </c>
      <c r="AU513" s="140">
        <v>0</v>
      </c>
      <c r="AV513" s="140">
        <v>0</v>
      </c>
      <c r="AW513" s="140">
        <v>3</v>
      </c>
      <c r="AX513" s="140">
        <v>0</v>
      </c>
      <c r="AY513" s="140">
        <v>0</v>
      </c>
      <c r="AZ513" s="140">
        <v>0</v>
      </c>
      <c r="BA513" s="140">
        <v>0</v>
      </c>
      <c r="BB513" s="140">
        <v>0</v>
      </c>
      <c r="BC513" s="140">
        <v>0</v>
      </c>
      <c r="BD513" s="140">
        <v>0</v>
      </c>
      <c r="BE513" s="140">
        <v>0</v>
      </c>
      <c r="BF513" s="140">
        <v>0</v>
      </c>
      <c r="BG513" s="140">
        <v>0</v>
      </c>
      <c r="BH513" s="140">
        <v>0</v>
      </c>
      <c r="BI513" s="140">
        <v>0</v>
      </c>
      <c r="BJ513" s="140">
        <v>0</v>
      </c>
      <c r="BK513" s="140">
        <v>0</v>
      </c>
      <c r="BL513" s="140">
        <v>0</v>
      </c>
      <c r="BM513" s="140">
        <v>0</v>
      </c>
      <c r="BN513" s="140">
        <v>0</v>
      </c>
      <c r="BO513" s="140">
        <v>0</v>
      </c>
      <c r="BX513" s="43">
        <v>15</v>
      </c>
      <c r="BZ513" s="90">
        <f t="shared" si="47"/>
        <v>1</v>
      </c>
      <c r="CA513" s="90">
        <f t="shared" si="47"/>
        <v>1</v>
      </c>
      <c r="CB513" s="90">
        <f t="shared" si="47"/>
        <v>1</v>
      </c>
      <c r="CT513" s="90">
        <f t="shared" si="38"/>
        <v>3</v>
      </c>
      <c r="CU513" s="90">
        <f t="shared" si="39"/>
        <v>3</v>
      </c>
    </row>
    <row r="514" spans="1:99" ht="12" customHeight="1">
      <c r="A514" s="43">
        <v>1426</v>
      </c>
      <c r="B514" s="89" t="s">
        <v>1515</v>
      </c>
      <c r="C514" s="89" t="s">
        <v>1589</v>
      </c>
      <c r="D514" s="89" t="s">
        <v>1590</v>
      </c>
      <c r="F514" s="43">
        <v>527486</v>
      </c>
      <c r="G514" s="43">
        <v>171495</v>
      </c>
      <c r="H514" s="89" t="s">
        <v>172</v>
      </c>
      <c r="K514" s="140">
        <v>2</v>
      </c>
      <c r="L514" s="140">
        <v>5</v>
      </c>
      <c r="M514" s="140">
        <v>3</v>
      </c>
      <c r="N514" s="140">
        <v>5</v>
      </c>
      <c r="O514" s="140">
        <v>3</v>
      </c>
      <c r="Q514" s="89" t="s">
        <v>1591</v>
      </c>
      <c r="R514" s="43" t="s">
        <v>316</v>
      </c>
      <c r="S514" s="125">
        <v>42935</v>
      </c>
      <c r="T514" s="117">
        <v>43077</v>
      </c>
      <c r="V514" s="43" t="s">
        <v>317</v>
      </c>
      <c r="X514" s="43" t="s">
        <v>318</v>
      </c>
      <c r="Y514" s="43" t="s">
        <v>319</v>
      </c>
      <c r="Z514" s="43" t="s">
        <v>320</v>
      </c>
      <c r="AA514" s="43" t="s">
        <v>321</v>
      </c>
      <c r="AB514" s="144">
        <v>8.0000003799796104E-3</v>
      </c>
      <c r="AF514" s="43" t="s">
        <v>75</v>
      </c>
      <c r="AG514" s="43" t="s">
        <v>322</v>
      </c>
      <c r="AH514" s="43" t="s">
        <v>1022</v>
      </c>
      <c r="AJ514" s="140">
        <v>0</v>
      </c>
      <c r="AK514" s="140">
        <v>0</v>
      </c>
      <c r="AL514" s="140">
        <v>0</v>
      </c>
      <c r="AM514" s="140">
        <v>0</v>
      </c>
      <c r="AN514" s="140">
        <v>0</v>
      </c>
      <c r="AO514" s="140">
        <v>4</v>
      </c>
      <c r="AP514" s="140">
        <v>-2</v>
      </c>
      <c r="AQ514" s="140">
        <v>1</v>
      </c>
      <c r="AR514" s="140">
        <v>0</v>
      </c>
      <c r="AS514" s="140">
        <v>0</v>
      </c>
      <c r="AT514" s="140">
        <v>0</v>
      </c>
      <c r="AU514" s="140">
        <v>0</v>
      </c>
      <c r="AV514" s="140">
        <v>4</v>
      </c>
      <c r="AW514" s="140">
        <v>-2</v>
      </c>
      <c r="AX514" s="140">
        <v>1</v>
      </c>
      <c r="AY514" s="140">
        <v>0</v>
      </c>
      <c r="AZ514" s="140">
        <v>0</v>
      </c>
      <c r="BA514" s="140">
        <v>0</v>
      </c>
      <c r="BB514" s="140">
        <v>0</v>
      </c>
      <c r="BC514" s="140">
        <v>0</v>
      </c>
      <c r="BD514" s="140">
        <v>0</v>
      </c>
      <c r="BE514" s="140">
        <v>0</v>
      </c>
      <c r="BF514" s="140">
        <v>0</v>
      </c>
      <c r="BG514" s="140">
        <v>0</v>
      </c>
      <c r="BH514" s="140">
        <v>0</v>
      </c>
      <c r="BI514" s="140">
        <v>0</v>
      </c>
      <c r="BJ514" s="140">
        <v>0</v>
      </c>
      <c r="BK514" s="140">
        <v>0</v>
      </c>
      <c r="BL514" s="140">
        <v>0</v>
      </c>
      <c r="BM514" s="140">
        <v>0</v>
      </c>
      <c r="BN514" s="140">
        <v>0</v>
      </c>
      <c r="BO514" s="140">
        <v>0</v>
      </c>
      <c r="BP514" s="43" t="s">
        <v>141</v>
      </c>
      <c r="BX514" s="43">
        <v>15</v>
      </c>
      <c r="BZ514" s="90">
        <f t="shared" si="47"/>
        <v>1</v>
      </c>
      <c r="CA514" s="90">
        <f t="shared" si="47"/>
        <v>1</v>
      </c>
      <c r="CB514" s="90">
        <f t="shared" si="47"/>
        <v>1</v>
      </c>
      <c r="CT514" s="90">
        <f t="shared" ref="CT514:CT577" si="48">SUM(BZ514:CD514)</f>
        <v>3</v>
      </c>
      <c r="CU514" s="90">
        <f t="shared" ref="CU514:CU577" si="49">SUM(BZ514:CI514)</f>
        <v>3</v>
      </c>
    </row>
    <row r="515" spans="1:99" ht="12" customHeight="1">
      <c r="A515" s="43">
        <v>1433</v>
      </c>
      <c r="B515" s="89" t="s">
        <v>1515</v>
      </c>
      <c r="C515" s="89" t="s">
        <v>1592</v>
      </c>
      <c r="D515" s="89" t="s">
        <v>1593</v>
      </c>
      <c r="F515" s="43">
        <v>525363</v>
      </c>
      <c r="G515" s="43">
        <v>174695</v>
      </c>
      <c r="H515" s="89" t="s">
        <v>170</v>
      </c>
      <c r="K515" s="140">
        <v>0</v>
      </c>
      <c r="L515" s="140">
        <v>2</v>
      </c>
      <c r="M515" s="140">
        <v>2</v>
      </c>
      <c r="N515" s="140">
        <v>2</v>
      </c>
      <c r="O515" s="140">
        <v>2</v>
      </c>
      <c r="Q515" s="89" t="s">
        <v>1594</v>
      </c>
      <c r="R515" s="43" t="s">
        <v>316</v>
      </c>
      <c r="S515" s="125">
        <v>43108</v>
      </c>
      <c r="T515" s="117">
        <v>43164</v>
      </c>
      <c r="V515" s="43" t="s">
        <v>317</v>
      </c>
      <c r="X515" s="43" t="s">
        <v>318</v>
      </c>
      <c r="Y515" s="43" t="s">
        <v>379</v>
      </c>
      <c r="Z515" s="43" t="s">
        <v>320</v>
      </c>
      <c r="AA515" s="43" t="s">
        <v>340</v>
      </c>
      <c r="AB515" s="144">
        <v>4.9999998882412902E-3</v>
      </c>
      <c r="AF515" s="43" t="s">
        <v>75</v>
      </c>
      <c r="AG515" s="43" t="s">
        <v>322</v>
      </c>
      <c r="AJ515" s="140">
        <v>0</v>
      </c>
      <c r="AK515" s="140">
        <v>0</v>
      </c>
      <c r="AL515" s="140">
        <v>0</v>
      </c>
      <c r="AM515" s="140">
        <v>0</v>
      </c>
      <c r="AN515" s="140">
        <v>0</v>
      </c>
      <c r="AO515" s="140">
        <v>0</v>
      </c>
      <c r="AP515" s="140">
        <v>2</v>
      </c>
      <c r="AQ515" s="140">
        <v>0</v>
      </c>
      <c r="AR515" s="140">
        <v>0</v>
      </c>
      <c r="AS515" s="140">
        <v>0</v>
      </c>
      <c r="AT515" s="140">
        <v>0</v>
      </c>
      <c r="AU515" s="140">
        <v>0</v>
      </c>
      <c r="AV515" s="140">
        <v>0</v>
      </c>
      <c r="AW515" s="140">
        <v>2</v>
      </c>
      <c r="AX515" s="140">
        <v>0</v>
      </c>
      <c r="AY515" s="140">
        <v>0</v>
      </c>
      <c r="AZ515" s="140">
        <v>0</v>
      </c>
      <c r="BA515" s="140">
        <v>0</v>
      </c>
      <c r="BB515" s="140">
        <v>0</v>
      </c>
      <c r="BC515" s="140">
        <v>0</v>
      </c>
      <c r="BD515" s="140">
        <v>0</v>
      </c>
      <c r="BE515" s="140">
        <v>0</v>
      </c>
      <c r="BF515" s="140">
        <v>0</v>
      </c>
      <c r="BG515" s="140">
        <v>0</v>
      </c>
      <c r="BH515" s="140">
        <v>0</v>
      </c>
      <c r="BI515" s="140">
        <v>0</v>
      </c>
      <c r="BJ515" s="140">
        <v>0</v>
      </c>
      <c r="BK515" s="140">
        <v>0</v>
      </c>
      <c r="BL515" s="140">
        <v>0</v>
      </c>
      <c r="BM515" s="140">
        <v>0</v>
      </c>
      <c r="BN515" s="140">
        <v>0</v>
      </c>
      <c r="BO515" s="140">
        <v>0</v>
      </c>
      <c r="BP515" s="43" t="s">
        <v>142</v>
      </c>
      <c r="BR515" s="43" t="s">
        <v>329</v>
      </c>
      <c r="BX515" s="43">
        <v>15</v>
      </c>
      <c r="BZ515" s="90">
        <f t="shared" si="47"/>
        <v>0.66666666666666663</v>
      </c>
      <c r="CA515" s="90">
        <f t="shared" si="47"/>
        <v>0.66666666666666663</v>
      </c>
      <c r="CB515" s="90">
        <f t="shared" si="47"/>
        <v>0.66666666666666663</v>
      </c>
      <c r="CT515" s="90">
        <f t="shared" si="48"/>
        <v>2</v>
      </c>
      <c r="CU515" s="90">
        <f t="shared" si="49"/>
        <v>2</v>
      </c>
    </row>
    <row r="516" spans="1:99" ht="12" customHeight="1">
      <c r="A516" s="43">
        <v>1563</v>
      </c>
      <c r="B516" s="89" t="s">
        <v>1515</v>
      </c>
      <c r="C516" s="89" t="s">
        <v>1595</v>
      </c>
      <c r="D516" s="89" t="s">
        <v>1596</v>
      </c>
      <c r="E516" s="89" t="s">
        <v>346</v>
      </c>
      <c r="F516" s="43">
        <v>527638</v>
      </c>
      <c r="G516" s="43">
        <v>171599</v>
      </c>
      <c r="H516" s="89" t="s">
        <v>172</v>
      </c>
      <c r="K516" s="140">
        <v>3</v>
      </c>
      <c r="L516" s="140">
        <v>3</v>
      </c>
      <c r="M516" s="140">
        <v>0</v>
      </c>
      <c r="N516" s="140">
        <v>4</v>
      </c>
      <c r="O516" s="140">
        <v>1</v>
      </c>
      <c r="Q516" s="89" t="s">
        <v>1597</v>
      </c>
      <c r="R516" s="43" t="s">
        <v>316</v>
      </c>
      <c r="S516" s="125">
        <v>43244</v>
      </c>
      <c r="T516" s="117">
        <v>43294</v>
      </c>
      <c r="V516" s="43" t="s">
        <v>317</v>
      </c>
      <c r="X516" s="43" t="s">
        <v>318</v>
      </c>
      <c r="Y516" s="43" t="s">
        <v>319</v>
      </c>
      <c r="Z516" s="43" t="s">
        <v>320</v>
      </c>
      <c r="AA516" s="43" t="s">
        <v>321</v>
      </c>
      <c r="AB516" s="144">
        <v>4.9999998882412902E-3</v>
      </c>
      <c r="AF516" s="43" t="s">
        <v>75</v>
      </c>
      <c r="AG516" s="43" t="s">
        <v>322</v>
      </c>
      <c r="AH516" s="43" t="s">
        <v>1022</v>
      </c>
      <c r="AJ516" s="140">
        <v>0</v>
      </c>
      <c r="AK516" s="140">
        <v>0</v>
      </c>
      <c r="AL516" s="140">
        <v>0</v>
      </c>
      <c r="AM516" s="140">
        <v>0</v>
      </c>
      <c r="AN516" s="140">
        <v>0</v>
      </c>
      <c r="AO516" s="140">
        <v>1</v>
      </c>
      <c r="AP516" s="140">
        <v>-1</v>
      </c>
      <c r="AQ516" s="140">
        <v>0</v>
      </c>
      <c r="AR516" s="140">
        <v>0</v>
      </c>
      <c r="AS516" s="140">
        <v>0</v>
      </c>
      <c r="AT516" s="140">
        <v>0</v>
      </c>
      <c r="AU516" s="140">
        <v>0</v>
      </c>
      <c r="AV516" s="140">
        <v>1</v>
      </c>
      <c r="AW516" s="140">
        <v>-1</v>
      </c>
      <c r="AX516" s="140">
        <v>0</v>
      </c>
      <c r="AY516" s="140">
        <v>0</v>
      </c>
      <c r="AZ516" s="140">
        <v>0</v>
      </c>
      <c r="BA516" s="140">
        <v>0</v>
      </c>
      <c r="BB516" s="140">
        <v>0</v>
      </c>
      <c r="BC516" s="140">
        <v>0</v>
      </c>
      <c r="BD516" s="140">
        <v>0</v>
      </c>
      <c r="BE516" s="140">
        <v>0</v>
      </c>
      <c r="BF516" s="140">
        <v>0</v>
      </c>
      <c r="BG516" s="140">
        <v>0</v>
      </c>
      <c r="BH516" s="140">
        <v>0</v>
      </c>
      <c r="BI516" s="140">
        <v>0</v>
      </c>
      <c r="BJ516" s="140">
        <v>0</v>
      </c>
      <c r="BK516" s="140">
        <v>0</v>
      </c>
      <c r="BL516" s="140">
        <v>0</v>
      </c>
      <c r="BM516" s="140">
        <v>0</v>
      </c>
      <c r="BN516" s="140">
        <v>0</v>
      </c>
      <c r="BO516" s="140">
        <v>0</v>
      </c>
      <c r="BP516" s="43" t="s">
        <v>141</v>
      </c>
      <c r="BX516" s="43">
        <v>15</v>
      </c>
      <c r="BZ516" s="90">
        <f t="shared" si="47"/>
        <v>0</v>
      </c>
      <c r="CA516" s="90">
        <f t="shared" si="47"/>
        <v>0</v>
      </c>
      <c r="CB516" s="90">
        <f t="shared" si="47"/>
        <v>0</v>
      </c>
      <c r="CT516" s="90">
        <f t="shared" si="48"/>
        <v>0</v>
      </c>
      <c r="CU516" s="90">
        <f t="shared" si="49"/>
        <v>0</v>
      </c>
    </row>
    <row r="517" spans="1:99" ht="12" customHeight="1">
      <c r="A517" s="43">
        <v>1563</v>
      </c>
      <c r="B517" s="89" t="s">
        <v>1515</v>
      </c>
      <c r="C517" s="89" t="s">
        <v>1595</v>
      </c>
      <c r="D517" s="89" t="s">
        <v>1596</v>
      </c>
      <c r="E517" s="89" t="s">
        <v>1598</v>
      </c>
      <c r="F517" s="43">
        <v>527638</v>
      </c>
      <c r="G517" s="43">
        <v>171599</v>
      </c>
      <c r="H517" s="89" t="s">
        <v>172</v>
      </c>
      <c r="K517" s="140">
        <v>0</v>
      </c>
      <c r="L517" s="140">
        <v>1</v>
      </c>
      <c r="M517" s="140">
        <v>1</v>
      </c>
      <c r="N517" s="140">
        <v>4</v>
      </c>
      <c r="O517" s="140">
        <v>1</v>
      </c>
      <c r="Q517" s="89" t="s">
        <v>1597</v>
      </c>
      <c r="R517" s="43" t="s">
        <v>316</v>
      </c>
      <c r="S517" s="125">
        <v>43244</v>
      </c>
      <c r="T517" s="117">
        <v>43294</v>
      </c>
      <c r="V517" s="43" t="s">
        <v>317</v>
      </c>
      <c r="X517" s="43" t="s">
        <v>318</v>
      </c>
      <c r="Y517" s="43" t="s">
        <v>319</v>
      </c>
      <c r="Z517" s="43" t="s">
        <v>320</v>
      </c>
      <c r="AA517" s="43" t="s">
        <v>340</v>
      </c>
      <c r="AB517" s="144">
        <v>2.0000000949949E-3</v>
      </c>
      <c r="AF517" s="43" t="s">
        <v>75</v>
      </c>
      <c r="AG517" s="43" t="s">
        <v>322</v>
      </c>
      <c r="AH517" s="43" t="s">
        <v>1022</v>
      </c>
      <c r="AJ517" s="140">
        <v>0</v>
      </c>
      <c r="AK517" s="140">
        <v>0</v>
      </c>
      <c r="AL517" s="140">
        <v>0</v>
      </c>
      <c r="AM517" s="140">
        <v>0</v>
      </c>
      <c r="AN517" s="140">
        <v>0</v>
      </c>
      <c r="AO517" s="140">
        <v>0</v>
      </c>
      <c r="AP517" s="140">
        <v>1</v>
      </c>
      <c r="AQ517" s="140">
        <v>0</v>
      </c>
      <c r="AR517" s="140">
        <v>0</v>
      </c>
      <c r="AS517" s="140">
        <v>0</v>
      </c>
      <c r="AT517" s="140">
        <v>0</v>
      </c>
      <c r="AU517" s="140">
        <v>0</v>
      </c>
      <c r="AV517" s="140">
        <v>0</v>
      </c>
      <c r="AW517" s="140">
        <v>1</v>
      </c>
      <c r="AX517" s="140">
        <v>0</v>
      </c>
      <c r="AY517" s="140">
        <v>0</v>
      </c>
      <c r="AZ517" s="140">
        <v>0</v>
      </c>
      <c r="BA517" s="140">
        <v>0</v>
      </c>
      <c r="BB517" s="140">
        <v>0</v>
      </c>
      <c r="BC517" s="140">
        <v>0</v>
      </c>
      <c r="BD517" s="140">
        <v>0</v>
      </c>
      <c r="BE517" s="140">
        <v>0</v>
      </c>
      <c r="BF517" s="140">
        <v>0</v>
      </c>
      <c r="BG517" s="140">
        <v>0</v>
      </c>
      <c r="BH517" s="140">
        <v>0</v>
      </c>
      <c r="BI517" s="140">
        <v>0</v>
      </c>
      <c r="BJ517" s="140">
        <v>0</v>
      </c>
      <c r="BK517" s="140">
        <v>0</v>
      </c>
      <c r="BL517" s="140">
        <v>0</v>
      </c>
      <c r="BM517" s="140">
        <v>0</v>
      </c>
      <c r="BN517" s="140">
        <v>0</v>
      </c>
      <c r="BO517" s="140">
        <v>0</v>
      </c>
      <c r="BP517" s="43" t="s">
        <v>141</v>
      </c>
      <c r="BX517" s="43">
        <v>15</v>
      </c>
      <c r="BZ517" s="90">
        <f t="shared" si="47"/>
        <v>0.33333333333333331</v>
      </c>
      <c r="CA517" s="90">
        <f t="shared" si="47"/>
        <v>0.33333333333333331</v>
      </c>
      <c r="CB517" s="90">
        <f t="shared" si="47"/>
        <v>0.33333333333333331</v>
      </c>
      <c r="CT517" s="90">
        <f t="shared" si="48"/>
        <v>1</v>
      </c>
      <c r="CU517" s="90">
        <f t="shared" si="49"/>
        <v>1</v>
      </c>
    </row>
    <row r="518" spans="1:99" ht="12" customHeight="1">
      <c r="A518" s="43">
        <v>1587</v>
      </c>
      <c r="B518" s="89" t="s">
        <v>1515</v>
      </c>
      <c r="C518" s="89" t="s">
        <v>1599</v>
      </c>
      <c r="D518" s="89" t="s">
        <v>1600</v>
      </c>
      <c r="F518" s="43">
        <v>526103</v>
      </c>
      <c r="G518" s="43">
        <v>173307</v>
      </c>
      <c r="H518" s="89" t="s">
        <v>168</v>
      </c>
      <c r="K518" s="140">
        <v>0</v>
      </c>
      <c r="L518" s="140">
        <v>1</v>
      </c>
      <c r="M518" s="140">
        <v>1</v>
      </c>
      <c r="N518" s="140">
        <v>1</v>
      </c>
      <c r="O518" s="140">
        <v>1</v>
      </c>
      <c r="Q518" s="89" t="s">
        <v>1601</v>
      </c>
      <c r="R518" s="43" t="s">
        <v>316</v>
      </c>
      <c r="S518" s="125">
        <v>43168</v>
      </c>
      <c r="T518" s="117">
        <v>43238</v>
      </c>
      <c r="V518" s="43" t="s">
        <v>317</v>
      </c>
      <c r="X518" s="43" t="s">
        <v>318</v>
      </c>
      <c r="Y518" s="43" t="s">
        <v>319</v>
      </c>
      <c r="Z518" s="43" t="s">
        <v>320</v>
      </c>
      <c r="AA518" s="43" t="s">
        <v>33</v>
      </c>
      <c r="AB518" s="144">
        <v>8.0000003799796104E-3</v>
      </c>
      <c r="AF518" s="43" t="s">
        <v>75</v>
      </c>
      <c r="AG518" s="43" t="s">
        <v>322</v>
      </c>
      <c r="AJ518" s="140">
        <v>0</v>
      </c>
      <c r="AK518" s="140">
        <v>0</v>
      </c>
      <c r="AL518" s="140">
        <v>0</v>
      </c>
      <c r="AM518" s="140">
        <v>0</v>
      </c>
      <c r="AN518" s="140">
        <v>0</v>
      </c>
      <c r="AO518" s="140">
        <v>1</v>
      </c>
      <c r="AP518" s="140">
        <v>0</v>
      </c>
      <c r="AQ518" s="140">
        <v>0</v>
      </c>
      <c r="AR518" s="140">
        <v>0</v>
      </c>
      <c r="AS518" s="140">
        <v>0</v>
      </c>
      <c r="AT518" s="140">
        <v>0</v>
      </c>
      <c r="AU518" s="140">
        <v>0</v>
      </c>
      <c r="AV518" s="140">
        <v>1</v>
      </c>
      <c r="AW518" s="140">
        <v>0</v>
      </c>
      <c r="AX518" s="140">
        <v>0</v>
      </c>
      <c r="AY518" s="140">
        <v>0</v>
      </c>
      <c r="AZ518" s="140">
        <v>0</v>
      </c>
      <c r="BA518" s="140">
        <v>0</v>
      </c>
      <c r="BB518" s="140">
        <v>0</v>
      </c>
      <c r="BC518" s="140">
        <v>0</v>
      </c>
      <c r="BD518" s="140">
        <v>0</v>
      </c>
      <c r="BE518" s="140">
        <v>0</v>
      </c>
      <c r="BF518" s="140">
        <v>0</v>
      </c>
      <c r="BG518" s="140">
        <v>0</v>
      </c>
      <c r="BH518" s="140">
        <v>0</v>
      </c>
      <c r="BI518" s="140">
        <v>0</v>
      </c>
      <c r="BJ518" s="140">
        <v>0</v>
      </c>
      <c r="BK518" s="140">
        <v>0</v>
      </c>
      <c r="BL518" s="140">
        <v>0</v>
      </c>
      <c r="BM518" s="140">
        <v>0</v>
      </c>
      <c r="BN518" s="140">
        <v>0</v>
      </c>
      <c r="BO518" s="140">
        <v>0</v>
      </c>
      <c r="BX518" s="43">
        <v>15</v>
      </c>
      <c r="BZ518" s="90">
        <f t="shared" si="47"/>
        <v>0.33333333333333331</v>
      </c>
      <c r="CA518" s="90">
        <f t="shared" si="47"/>
        <v>0.33333333333333331</v>
      </c>
      <c r="CB518" s="90">
        <f t="shared" si="47"/>
        <v>0.33333333333333331</v>
      </c>
      <c r="CT518" s="90">
        <f t="shared" si="48"/>
        <v>1</v>
      </c>
      <c r="CU518" s="90">
        <f t="shared" si="49"/>
        <v>1</v>
      </c>
    </row>
    <row r="519" spans="1:99" ht="12" customHeight="1">
      <c r="A519" s="43">
        <v>1623</v>
      </c>
      <c r="B519" s="89" t="s">
        <v>1515</v>
      </c>
      <c r="C519" s="89" t="s">
        <v>1602</v>
      </c>
      <c r="D519" s="89" t="s">
        <v>1603</v>
      </c>
      <c r="F519" s="43">
        <v>523905</v>
      </c>
      <c r="G519" s="43">
        <v>174935</v>
      </c>
      <c r="H519" s="89" t="s">
        <v>169</v>
      </c>
      <c r="K519" s="140">
        <v>1</v>
      </c>
      <c r="L519" s="140">
        <v>2</v>
      </c>
      <c r="M519" s="140">
        <v>1</v>
      </c>
      <c r="N519" s="140">
        <v>2</v>
      </c>
      <c r="O519" s="140">
        <v>1</v>
      </c>
      <c r="Q519" s="89" t="s">
        <v>1604</v>
      </c>
      <c r="R519" s="43" t="s">
        <v>383</v>
      </c>
      <c r="S519" s="125">
        <v>42759</v>
      </c>
      <c r="T519" s="117">
        <v>42815</v>
      </c>
      <c r="V519" s="43" t="s">
        <v>384</v>
      </c>
      <c r="W519" s="117">
        <v>42962</v>
      </c>
      <c r="X519" s="43" t="s">
        <v>318</v>
      </c>
      <c r="Y519" s="43" t="s">
        <v>361</v>
      </c>
      <c r="Z519" s="43" t="s">
        <v>320</v>
      </c>
      <c r="AA519" s="43" t="s">
        <v>353</v>
      </c>
      <c r="AB519" s="144">
        <v>9.9999997764825804E-3</v>
      </c>
      <c r="AF519" s="43" t="s">
        <v>75</v>
      </c>
      <c r="AG519" s="43" t="s">
        <v>322</v>
      </c>
      <c r="AJ519" s="140">
        <v>0</v>
      </c>
      <c r="AK519" s="140">
        <v>0</v>
      </c>
      <c r="AL519" s="140">
        <v>1</v>
      </c>
      <c r="AM519" s="140">
        <v>0</v>
      </c>
      <c r="AN519" s="140">
        <v>-1</v>
      </c>
      <c r="AO519" s="140">
        <v>2</v>
      </c>
      <c r="AP519" s="140">
        <v>0</v>
      </c>
      <c r="AQ519" s="140">
        <v>0</v>
      </c>
      <c r="AR519" s="140">
        <v>0</v>
      </c>
      <c r="AS519" s="140">
        <v>0</v>
      </c>
      <c r="AT519" s="140">
        <v>0</v>
      </c>
      <c r="AU519" s="140">
        <v>-1</v>
      </c>
      <c r="AV519" s="140">
        <v>2</v>
      </c>
      <c r="AW519" s="140">
        <v>0</v>
      </c>
      <c r="AX519" s="140">
        <v>0</v>
      </c>
      <c r="AY519" s="140">
        <v>0</v>
      </c>
      <c r="AZ519" s="140">
        <v>0</v>
      </c>
      <c r="BA519" s="140">
        <v>0</v>
      </c>
      <c r="BB519" s="140">
        <v>0</v>
      </c>
      <c r="BC519" s="140">
        <v>0</v>
      </c>
      <c r="BD519" s="140">
        <v>0</v>
      </c>
      <c r="BE519" s="140">
        <v>0</v>
      </c>
      <c r="BF519" s="140">
        <v>0</v>
      </c>
      <c r="BG519" s="140">
        <v>0</v>
      </c>
      <c r="BH519" s="140">
        <v>0</v>
      </c>
      <c r="BI519" s="140">
        <v>0</v>
      </c>
      <c r="BJ519" s="140">
        <v>0</v>
      </c>
      <c r="BK519" s="140">
        <v>0</v>
      </c>
      <c r="BL519" s="140">
        <v>0</v>
      </c>
      <c r="BM519" s="140">
        <v>0</v>
      </c>
      <c r="BN519" s="140">
        <v>0</v>
      </c>
      <c r="BO519" s="140">
        <v>0</v>
      </c>
      <c r="BX519" s="43">
        <v>6</v>
      </c>
      <c r="CA519" s="90">
        <f>$M519/4</f>
        <v>0.25</v>
      </c>
      <c r="CB519" s="90">
        <f>$M519/4</f>
        <v>0.25</v>
      </c>
      <c r="CC519" s="90">
        <f>$M519/4</f>
        <v>0.25</v>
      </c>
      <c r="CD519" s="90">
        <f>$M519/4</f>
        <v>0.25</v>
      </c>
      <c r="CT519" s="90">
        <f t="shared" si="48"/>
        <v>1</v>
      </c>
      <c r="CU519" s="90">
        <f t="shared" si="49"/>
        <v>1</v>
      </c>
    </row>
    <row r="520" spans="1:99" ht="12" customHeight="1">
      <c r="A520" s="43">
        <v>1627</v>
      </c>
      <c r="B520" s="89" t="s">
        <v>1515</v>
      </c>
      <c r="C520" s="89" t="s">
        <v>1605</v>
      </c>
      <c r="D520" s="89" t="s">
        <v>1606</v>
      </c>
      <c r="F520" s="43">
        <v>527243</v>
      </c>
      <c r="G520" s="43">
        <v>171511</v>
      </c>
      <c r="H520" s="89" t="s">
        <v>141</v>
      </c>
      <c r="K520" s="140">
        <v>2</v>
      </c>
      <c r="L520" s="140">
        <v>1</v>
      </c>
      <c r="M520" s="140">
        <v>-1</v>
      </c>
      <c r="N520" s="140">
        <v>1</v>
      </c>
      <c r="O520" s="140">
        <v>-1</v>
      </c>
      <c r="Q520" s="89" t="s">
        <v>1607</v>
      </c>
      <c r="R520" s="43" t="s">
        <v>316</v>
      </c>
      <c r="S520" s="125">
        <v>43501</v>
      </c>
      <c r="T520" s="117">
        <v>43557</v>
      </c>
      <c r="U520" s="43" t="s">
        <v>329</v>
      </c>
      <c r="V520" s="43" t="s">
        <v>317</v>
      </c>
      <c r="X520" s="43" t="s">
        <v>318</v>
      </c>
      <c r="Y520" s="43" t="s">
        <v>348</v>
      </c>
      <c r="Z520" s="43" t="s">
        <v>320</v>
      </c>
      <c r="AA520" s="43" t="s">
        <v>22</v>
      </c>
      <c r="AB520" s="144">
        <v>1.09999999403954E-2</v>
      </c>
      <c r="AF520" s="43" t="s">
        <v>75</v>
      </c>
      <c r="AG520" s="43" t="s">
        <v>322</v>
      </c>
      <c r="AJ520" s="140">
        <v>0</v>
      </c>
      <c r="AK520" s="140">
        <v>0</v>
      </c>
      <c r="AL520" s="140">
        <v>0</v>
      </c>
      <c r="AM520" s="140">
        <v>0</v>
      </c>
      <c r="AN520" s="140">
        <v>0</v>
      </c>
      <c r="AO520" s="140">
        <v>0</v>
      </c>
      <c r="AP520" s="140">
        <v>-1</v>
      </c>
      <c r="AQ520" s="140">
        <v>-1</v>
      </c>
      <c r="AR520" s="140">
        <v>0</v>
      </c>
      <c r="AS520" s="140">
        <v>1</v>
      </c>
      <c r="AT520" s="140">
        <v>0</v>
      </c>
      <c r="AU520" s="140">
        <v>0</v>
      </c>
      <c r="AV520" s="140">
        <v>0</v>
      </c>
      <c r="AW520" s="140">
        <v>-1</v>
      </c>
      <c r="AX520" s="140">
        <v>-1</v>
      </c>
      <c r="AY520" s="140">
        <v>0</v>
      </c>
      <c r="AZ520" s="140">
        <v>0</v>
      </c>
      <c r="BA520" s="140">
        <v>0</v>
      </c>
      <c r="BB520" s="140">
        <v>0</v>
      </c>
      <c r="BC520" s="140">
        <v>0</v>
      </c>
      <c r="BD520" s="140">
        <v>0</v>
      </c>
      <c r="BE520" s="140">
        <v>0</v>
      </c>
      <c r="BF520" s="140">
        <v>0</v>
      </c>
      <c r="BG520" s="140">
        <v>1</v>
      </c>
      <c r="BH520" s="140">
        <v>0</v>
      </c>
      <c r="BI520" s="140">
        <v>0</v>
      </c>
      <c r="BJ520" s="140">
        <v>0</v>
      </c>
      <c r="BK520" s="140">
        <v>0</v>
      </c>
      <c r="BL520" s="140">
        <v>0</v>
      </c>
      <c r="BM520" s="140">
        <v>0</v>
      </c>
      <c r="BN520" s="140">
        <v>0</v>
      </c>
      <c r="BO520" s="140">
        <v>0</v>
      </c>
      <c r="BX520" s="43">
        <v>15</v>
      </c>
      <c r="BZ520" s="90">
        <f t="shared" ref="BZ520:CB522" si="50">$M520/3</f>
        <v>-0.33333333333333331</v>
      </c>
      <c r="CA520" s="90">
        <f t="shared" si="50"/>
        <v>-0.33333333333333331</v>
      </c>
      <c r="CB520" s="90">
        <f t="shared" si="50"/>
        <v>-0.33333333333333331</v>
      </c>
      <c r="CT520" s="90">
        <f t="shared" si="48"/>
        <v>-1</v>
      </c>
      <c r="CU520" s="90">
        <f t="shared" si="49"/>
        <v>-1</v>
      </c>
    </row>
    <row r="521" spans="1:99" ht="12" customHeight="1">
      <c r="A521" s="43">
        <v>1765</v>
      </c>
      <c r="B521" s="89" t="s">
        <v>1515</v>
      </c>
      <c r="C521" s="89" t="s">
        <v>1608</v>
      </c>
      <c r="D521" s="89" t="s">
        <v>1609</v>
      </c>
      <c r="F521" s="43">
        <v>527401</v>
      </c>
      <c r="G521" s="43">
        <v>171784</v>
      </c>
      <c r="H521" s="89" t="s">
        <v>141</v>
      </c>
      <c r="K521" s="140">
        <v>0</v>
      </c>
      <c r="L521" s="140">
        <v>1</v>
      </c>
      <c r="M521" s="140">
        <v>1</v>
      </c>
      <c r="N521" s="140">
        <v>1</v>
      </c>
      <c r="O521" s="140">
        <v>1</v>
      </c>
      <c r="Q521" s="89" t="s">
        <v>1610</v>
      </c>
      <c r="R521" s="43" t="s">
        <v>316</v>
      </c>
      <c r="S521" s="125">
        <v>43304</v>
      </c>
      <c r="T521" s="117">
        <v>43360</v>
      </c>
      <c r="V521" s="43" t="s">
        <v>317</v>
      </c>
      <c r="X521" s="43" t="s">
        <v>318</v>
      </c>
      <c r="Y521" s="43" t="s">
        <v>348</v>
      </c>
      <c r="Z521" s="43" t="s">
        <v>320</v>
      </c>
      <c r="AA521" s="43" t="s">
        <v>340</v>
      </c>
      <c r="AB521" s="144">
        <v>6.0000000521540598E-3</v>
      </c>
      <c r="AF521" s="43" t="s">
        <v>75</v>
      </c>
      <c r="AG521" s="43" t="s">
        <v>322</v>
      </c>
      <c r="AJ521" s="140">
        <v>0</v>
      </c>
      <c r="AK521" s="140">
        <v>0</v>
      </c>
      <c r="AL521" s="140">
        <v>0</v>
      </c>
      <c r="AM521" s="140">
        <v>0</v>
      </c>
      <c r="AN521" s="140">
        <v>1</v>
      </c>
      <c r="AO521" s="140">
        <v>0</v>
      </c>
      <c r="AP521" s="140">
        <v>0</v>
      </c>
      <c r="AQ521" s="140">
        <v>0</v>
      </c>
      <c r="AR521" s="140">
        <v>0</v>
      </c>
      <c r="AS521" s="140">
        <v>0</v>
      </c>
      <c r="AT521" s="140">
        <v>0</v>
      </c>
      <c r="AU521" s="140">
        <v>1</v>
      </c>
      <c r="AV521" s="140">
        <v>0</v>
      </c>
      <c r="AW521" s="140">
        <v>0</v>
      </c>
      <c r="AX521" s="140">
        <v>0</v>
      </c>
      <c r="AY521" s="140">
        <v>0</v>
      </c>
      <c r="AZ521" s="140">
        <v>0</v>
      </c>
      <c r="BA521" s="140">
        <v>0</v>
      </c>
      <c r="BB521" s="140">
        <v>0</v>
      </c>
      <c r="BC521" s="140">
        <v>0</v>
      </c>
      <c r="BD521" s="140">
        <v>0</v>
      </c>
      <c r="BE521" s="140">
        <v>0</v>
      </c>
      <c r="BF521" s="140">
        <v>0</v>
      </c>
      <c r="BG521" s="140">
        <v>0</v>
      </c>
      <c r="BH521" s="140">
        <v>0</v>
      </c>
      <c r="BI521" s="140">
        <v>0</v>
      </c>
      <c r="BJ521" s="140">
        <v>0</v>
      </c>
      <c r="BK521" s="140">
        <v>0</v>
      </c>
      <c r="BL521" s="140">
        <v>0</v>
      </c>
      <c r="BM521" s="140">
        <v>0</v>
      </c>
      <c r="BN521" s="140">
        <v>0</v>
      </c>
      <c r="BO521" s="140">
        <v>0</v>
      </c>
      <c r="BX521" s="43">
        <v>15</v>
      </c>
      <c r="BZ521" s="90">
        <f t="shared" si="50"/>
        <v>0.33333333333333331</v>
      </c>
      <c r="CA521" s="90">
        <f t="shared" si="50"/>
        <v>0.33333333333333331</v>
      </c>
      <c r="CB521" s="90">
        <f t="shared" si="50"/>
        <v>0.33333333333333331</v>
      </c>
      <c r="CT521" s="90">
        <f t="shared" si="48"/>
        <v>1</v>
      </c>
      <c r="CU521" s="90">
        <f t="shared" si="49"/>
        <v>1</v>
      </c>
    </row>
    <row r="522" spans="1:99" ht="12" customHeight="1">
      <c r="A522" s="43">
        <v>1886</v>
      </c>
      <c r="B522" s="89" t="s">
        <v>1515</v>
      </c>
      <c r="C522" s="89" t="s">
        <v>1611</v>
      </c>
      <c r="D522" s="89" t="s">
        <v>1612</v>
      </c>
      <c r="F522" s="43">
        <v>528075</v>
      </c>
      <c r="G522" s="43">
        <v>172371</v>
      </c>
      <c r="H522" s="89" t="s">
        <v>167</v>
      </c>
      <c r="K522" s="140">
        <v>0</v>
      </c>
      <c r="L522" s="140">
        <v>2</v>
      </c>
      <c r="M522" s="140">
        <v>2</v>
      </c>
      <c r="N522" s="140">
        <v>2</v>
      </c>
      <c r="O522" s="140">
        <v>2</v>
      </c>
      <c r="Q522" s="89" t="s">
        <v>1613</v>
      </c>
      <c r="R522" s="43" t="s">
        <v>316</v>
      </c>
      <c r="S522" s="125">
        <v>42613</v>
      </c>
      <c r="T522" s="117">
        <v>42699</v>
      </c>
      <c r="V522" s="43" t="s">
        <v>317</v>
      </c>
      <c r="X522" s="43" t="s">
        <v>318</v>
      </c>
      <c r="Y522" s="43" t="s">
        <v>379</v>
      </c>
      <c r="Z522" s="43" t="s">
        <v>320</v>
      </c>
      <c r="AA522" s="43" t="s">
        <v>340</v>
      </c>
      <c r="AB522" s="144">
        <v>8.9999996125698107E-3</v>
      </c>
      <c r="AF522" s="43" t="s">
        <v>75</v>
      </c>
      <c r="AG522" s="43" t="s">
        <v>322</v>
      </c>
      <c r="AJ522" s="140">
        <v>0</v>
      </c>
      <c r="AK522" s="140">
        <v>0</v>
      </c>
      <c r="AL522" s="140">
        <v>0</v>
      </c>
      <c r="AM522" s="140">
        <v>0</v>
      </c>
      <c r="AN522" s="140">
        <v>0</v>
      </c>
      <c r="AO522" s="140">
        <v>2</v>
      </c>
      <c r="AP522" s="140">
        <v>0</v>
      </c>
      <c r="AQ522" s="140">
        <v>0</v>
      </c>
      <c r="AR522" s="140">
        <v>0</v>
      </c>
      <c r="AS522" s="140">
        <v>0</v>
      </c>
      <c r="AT522" s="140">
        <v>0</v>
      </c>
      <c r="AU522" s="140">
        <v>0</v>
      </c>
      <c r="AV522" s="140">
        <v>2</v>
      </c>
      <c r="AW522" s="140">
        <v>0</v>
      </c>
      <c r="AX522" s="140">
        <v>0</v>
      </c>
      <c r="AY522" s="140">
        <v>0</v>
      </c>
      <c r="AZ522" s="140">
        <v>0</v>
      </c>
      <c r="BA522" s="140">
        <v>0</v>
      </c>
      <c r="BB522" s="140">
        <v>0</v>
      </c>
      <c r="BC522" s="140">
        <v>0</v>
      </c>
      <c r="BD522" s="140">
        <v>0</v>
      </c>
      <c r="BE522" s="140">
        <v>0</v>
      </c>
      <c r="BF522" s="140">
        <v>0</v>
      </c>
      <c r="BG522" s="140">
        <v>0</v>
      </c>
      <c r="BH522" s="140">
        <v>0</v>
      </c>
      <c r="BI522" s="140">
        <v>0</v>
      </c>
      <c r="BJ522" s="140">
        <v>0</v>
      </c>
      <c r="BK522" s="140">
        <v>0</v>
      </c>
      <c r="BL522" s="140">
        <v>0</v>
      </c>
      <c r="BM522" s="140">
        <v>0</v>
      </c>
      <c r="BN522" s="140">
        <v>0</v>
      </c>
      <c r="BO522" s="140">
        <v>0</v>
      </c>
      <c r="BX522" s="43">
        <v>15</v>
      </c>
      <c r="BZ522" s="90">
        <f t="shared" si="50"/>
        <v>0.66666666666666663</v>
      </c>
      <c r="CA522" s="90">
        <f t="shared" si="50"/>
        <v>0.66666666666666663</v>
      </c>
      <c r="CB522" s="90">
        <f t="shared" si="50"/>
        <v>0.66666666666666663</v>
      </c>
      <c r="CT522" s="90">
        <f t="shared" si="48"/>
        <v>2</v>
      </c>
      <c r="CU522" s="90">
        <f t="shared" si="49"/>
        <v>2</v>
      </c>
    </row>
    <row r="523" spans="1:99" ht="12" customHeight="1">
      <c r="A523" s="43">
        <v>1962</v>
      </c>
      <c r="B523" s="89" t="s">
        <v>1515</v>
      </c>
      <c r="C523" s="89" t="s">
        <v>1614</v>
      </c>
      <c r="D523" s="89" t="s">
        <v>1615</v>
      </c>
      <c r="F523" s="43">
        <v>527618</v>
      </c>
      <c r="G523" s="43">
        <v>174574</v>
      </c>
      <c r="H523" s="89" t="s">
        <v>174</v>
      </c>
      <c r="K523" s="140">
        <v>0</v>
      </c>
      <c r="L523" s="140">
        <v>1</v>
      </c>
      <c r="M523" s="140">
        <v>1</v>
      </c>
      <c r="N523" s="140">
        <v>1</v>
      </c>
      <c r="O523" s="140">
        <v>1</v>
      </c>
      <c r="Q523" s="89" t="s">
        <v>1616</v>
      </c>
      <c r="R523" s="43" t="s">
        <v>316</v>
      </c>
      <c r="S523" s="125">
        <v>43601</v>
      </c>
      <c r="T523" s="117">
        <v>43731</v>
      </c>
      <c r="U523" s="43" t="s">
        <v>329</v>
      </c>
      <c r="V523" s="43" t="s">
        <v>317</v>
      </c>
      <c r="X523" s="43" t="s">
        <v>318</v>
      </c>
      <c r="Y523" s="43" t="s">
        <v>361</v>
      </c>
      <c r="Z523" s="43" t="s">
        <v>320</v>
      </c>
      <c r="AA523" s="43" t="s">
        <v>33</v>
      </c>
      <c r="AB523" s="144">
        <v>8.0000003799796104E-3</v>
      </c>
      <c r="AF523" s="43" t="s">
        <v>75</v>
      </c>
      <c r="AG523" s="43" t="s">
        <v>322</v>
      </c>
      <c r="AJ523" s="140">
        <v>0</v>
      </c>
      <c r="AK523" s="140">
        <v>0</v>
      </c>
      <c r="AL523" s="140">
        <v>0</v>
      </c>
      <c r="AM523" s="140">
        <v>0</v>
      </c>
      <c r="AN523" s="140">
        <v>0</v>
      </c>
      <c r="AO523" s="140">
        <v>1</v>
      </c>
      <c r="AP523" s="140">
        <v>0</v>
      </c>
      <c r="AQ523" s="140">
        <v>0</v>
      </c>
      <c r="AR523" s="140">
        <v>0</v>
      </c>
      <c r="AS523" s="140">
        <v>0</v>
      </c>
      <c r="AT523" s="140">
        <v>0</v>
      </c>
      <c r="AU523" s="140">
        <v>0</v>
      </c>
      <c r="AV523" s="140">
        <v>0</v>
      </c>
      <c r="AW523" s="140">
        <v>0</v>
      </c>
      <c r="AX523" s="140">
        <v>0</v>
      </c>
      <c r="AY523" s="140">
        <v>0</v>
      </c>
      <c r="AZ523" s="140">
        <v>0</v>
      </c>
      <c r="BA523" s="140">
        <v>0</v>
      </c>
      <c r="BB523" s="140">
        <v>0</v>
      </c>
      <c r="BC523" s="140">
        <v>1</v>
      </c>
      <c r="BD523" s="140">
        <v>0</v>
      </c>
      <c r="BE523" s="140">
        <v>0</v>
      </c>
      <c r="BF523" s="140">
        <v>0</v>
      </c>
      <c r="BG523" s="140">
        <v>0</v>
      </c>
      <c r="BH523" s="140">
        <v>0</v>
      </c>
      <c r="BI523" s="140">
        <v>0</v>
      </c>
      <c r="BJ523" s="140">
        <v>0</v>
      </c>
      <c r="BK523" s="140">
        <v>0</v>
      </c>
      <c r="BL523" s="140">
        <v>0</v>
      </c>
      <c r="BM523" s="140">
        <v>0</v>
      </c>
      <c r="BN523" s="140">
        <v>0</v>
      </c>
      <c r="BO523" s="140">
        <v>0</v>
      </c>
      <c r="BX523" s="43">
        <v>6</v>
      </c>
      <c r="CA523" s="90">
        <f t="shared" ref="CA523:CD524" si="51">$M523/4</f>
        <v>0.25</v>
      </c>
      <c r="CB523" s="90">
        <f t="shared" si="51"/>
        <v>0.25</v>
      </c>
      <c r="CC523" s="90">
        <f t="shared" si="51"/>
        <v>0.25</v>
      </c>
      <c r="CD523" s="90">
        <f t="shared" si="51"/>
        <v>0.25</v>
      </c>
      <c r="CT523" s="90">
        <f t="shared" si="48"/>
        <v>1</v>
      </c>
      <c r="CU523" s="90">
        <f t="shared" si="49"/>
        <v>1</v>
      </c>
    </row>
    <row r="524" spans="1:99" ht="12" customHeight="1">
      <c r="A524" s="43">
        <v>1998</v>
      </c>
      <c r="B524" s="89" t="s">
        <v>1515</v>
      </c>
      <c r="C524" s="89" t="s">
        <v>1617</v>
      </c>
      <c r="D524" s="89" t="s">
        <v>1618</v>
      </c>
      <c r="F524" s="43">
        <v>529036</v>
      </c>
      <c r="G524" s="43">
        <v>172599</v>
      </c>
      <c r="H524" s="89" t="s">
        <v>167</v>
      </c>
      <c r="K524" s="140">
        <v>0</v>
      </c>
      <c r="L524" s="140">
        <v>1</v>
      </c>
      <c r="M524" s="140">
        <v>1</v>
      </c>
      <c r="N524" s="140">
        <v>1</v>
      </c>
      <c r="O524" s="140">
        <v>1</v>
      </c>
      <c r="Q524" s="89" t="s">
        <v>1619</v>
      </c>
      <c r="R524" s="43" t="s">
        <v>316</v>
      </c>
      <c r="S524" s="125">
        <v>43048</v>
      </c>
      <c r="T524" s="117">
        <v>43255</v>
      </c>
      <c r="V524" s="43" t="s">
        <v>317</v>
      </c>
      <c r="X524" s="43" t="s">
        <v>318</v>
      </c>
      <c r="Y524" s="43" t="s">
        <v>361</v>
      </c>
      <c r="Z524" s="43" t="s">
        <v>320</v>
      </c>
      <c r="AA524" s="43" t="s">
        <v>353</v>
      </c>
      <c r="AB524" s="144">
        <v>7.9000003635883304E-2</v>
      </c>
      <c r="AF524" s="43" t="s">
        <v>75</v>
      </c>
      <c r="AG524" s="43" t="s">
        <v>322</v>
      </c>
      <c r="AJ524" s="140">
        <v>0</v>
      </c>
      <c r="AK524" s="140">
        <v>0</v>
      </c>
      <c r="AL524" s="140">
        <v>0</v>
      </c>
      <c r="AM524" s="140">
        <v>0</v>
      </c>
      <c r="AN524" s="140">
        <v>0</v>
      </c>
      <c r="AO524" s="140">
        <v>0</v>
      </c>
      <c r="AP524" s="140">
        <v>0</v>
      </c>
      <c r="AQ524" s="140">
        <v>0</v>
      </c>
      <c r="AR524" s="140">
        <v>1</v>
      </c>
      <c r="AS524" s="140">
        <v>0</v>
      </c>
      <c r="AT524" s="140">
        <v>0</v>
      </c>
      <c r="AU524" s="140">
        <v>0</v>
      </c>
      <c r="AV524" s="140">
        <v>0</v>
      </c>
      <c r="AW524" s="140">
        <v>0</v>
      </c>
      <c r="AX524" s="140">
        <v>0</v>
      </c>
      <c r="AY524" s="140">
        <v>0</v>
      </c>
      <c r="AZ524" s="140">
        <v>0</v>
      </c>
      <c r="BA524" s="140">
        <v>0</v>
      </c>
      <c r="BB524" s="140">
        <v>0</v>
      </c>
      <c r="BC524" s="140">
        <v>0</v>
      </c>
      <c r="BD524" s="140">
        <v>0</v>
      </c>
      <c r="BE524" s="140">
        <v>0</v>
      </c>
      <c r="BF524" s="140">
        <v>1</v>
      </c>
      <c r="BG524" s="140">
        <v>0</v>
      </c>
      <c r="BH524" s="140">
        <v>0</v>
      </c>
      <c r="BI524" s="140">
        <v>0</v>
      </c>
      <c r="BJ524" s="140">
        <v>0</v>
      </c>
      <c r="BK524" s="140">
        <v>0</v>
      </c>
      <c r="BL524" s="140">
        <v>0</v>
      </c>
      <c r="BM524" s="140">
        <v>0</v>
      </c>
      <c r="BN524" s="140">
        <v>0</v>
      </c>
      <c r="BO524" s="140">
        <v>0</v>
      </c>
      <c r="BX524" s="43">
        <v>6</v>
      </c>
      <c r="CA524" s="90">
        <f t="shared" si="51"/>
        <v>0.25</v>
      </c>
      <c r="CB524" s="90">
        <f t="shared" si="51"/>
        <v>0.25</v>
      </c>
      <c r="CC524" s="90">
        <f t="shared" si="51"/>
        <v>0.25</v>
      </c>
      <c r="CD524" s="90">
        <f t="shared" si="51"/>
        <v>0.25</v>
      </c>
      <c r="CT524" s="90">
        <f t="shared" si="48"/>
        <v>1</v>
      </c>
      <c r="CU524" s="90">
        <f t="shared" si="49"/>
        <v>1</v>
      </c>
    </row>
    <row r="525" spans="1:99" ht="12" customHeight="1">
      <c r="A525" s="43">
        <v>2032</v>
      </c>
      <c r="B525" s="89" t="s">
        <v>1515</v>
      </c>
      <c r="C525" s="89" t="s">
        <v>1620</v>
      </c>
      <c r="D525" s="89" t="s">
        <v>1621</v>
      </c>
      <c r="F525" s="43">
        <v>528095</v>
      </c>
      <c r="G525" s="43">
        <v>172380</v>
      </c>
      <c r="H525" s="89" t="s">
        <v>167</v>
      </c>
      <c r="K525" s="140">
        <v>0</v>
      </c>
      <c r="L525" s="140">
        <v>1</v>
      </c>
      <c r="M525" s="140">
        <v>1</v>
      </c>
      <c r="N525" s="140">
        <v>1</v>
      </c>
      <c r="O525" s="140">
        <v>1</v>
      </c>
      <c r="Q525" s="89" t="s">
        <v>1622</v>
      </c>
      <c r="R525" s="43" t="s">
        <v>316</v>
      </c>
      <c r="S525" s="125">
        <v>43207</v>
      </c>
      <c r="T525" s="117">
        <v>43251</v>
      </c>
      <c r="V525" s="43" t="s">
        <v>317</v>
      </c>
      <c r="X525" s="43" t="s">
        <v>318</v>
      </c>
      <c r="Y525" s="43" t="s">
        <v>379</v>
      </c>
      <c r="Z525" s="43" t="s">
        <v>320</v>
      </c>
      <c r="AA525" s="43" t="s">
        <v>340</v>
      </c>
      <c r="AB525" s="144">
        <v>1.4999999664723899E-2</v>
      </c>
      <c r="AF525" s="43" t="s">
        <v>75</v>
      </c>
      <c r="AG525" s="43" t="s">
        <v>322</v>
      </c>
      <c r="AJ525" s="140">
        <v>0</v>
      </c>
      <c r="AK525" s="140">
        <v>0</v>
      </c>
      <c r="AL525" s="140">
        <v>0</v>
      </c>
      <c r="AM525" s="140">
        <v>0</v>
      </c>
      <c r="AN525" s="140">
        <v>0</v>
      </c>
      <c r="AO525" s="140">
        <v>0</v>
      </c>
      <c r="AP525" s="140">
        <v>1</v>
      </c>
      <c r="AQ525" s="140">
        <v>0</v>
      </c>
      <c r="AR525" s="140">
        <v>0</v>
      </c>
      <c r="AS525" s="140">
        <v>0</v>
      </c>
      <c r="AT525" s="140">
        <v>0</v>
      </c>
      <c r="AU525" s="140">
        <v>0</v>
      </c>
      <c r="AV525" s="140">
        <v>0</v>
      </c>
      <c r="AW525" s="140">
        <v>1</v>
      </c>
      <c r="AX525" s="140">
        <v>0</v>
      </c>
      <c r="AY525" s="140">
        <v>0</v>
      </c>
      <c r="AZ525" s="140">
        <v>0</v>
      </c>
      <c r="BA525" s="140">
        <v>0</v>
      </c>
      <c r="BB525" s="140">
        <v>0</v>
      </c>
      <c r="BC525" s="140">
        <v>0</v>
      </c>
      <c r="BD525" s="140">
        <v>0</v>
      </c>
      <c r="BE525" s="140">
        <v>0</v>
      </c>
      <c r="BF525" s="140">
        <v>0</v>
      </c>
      <c r="BG525" s="140">
        <v>0</v>
      </c>
      <c r="BH525" s="140">
        <v>0</v>
      </c>
      <c r="BI525" s="140">
        <v>0</v>
      </c>
      <c r="BJ525" s="140">
        <v>0</v>
      </c>
      <c r="BK525" s="140">
        <v>0</v>
      </c>
      <c r="BL525" s="140">
        <v>0</v>
      </c>
      <c r="BM525" s="140">
        <v>0</v>
      </c>
      <c r="BN525" s="140">
        <v>0</v>
      </c>
      <c r="BO525" s="140">
        <v>0</v>
      </c>
      <c r="BX525" s="43">
        <v>15</v>
      </c>
      <c r="BZ525" s="90">
        <f t="shared" ref="BZ525:CB526" si="52">$M525/3</f>
        <v>0.33333333333333331</v>
      </c>
      <c r="CA525" s="90">
        <f t="shared" si="52"/>
        <v>0.33333333333333331</v>
      </c>
      <c r="CB525" s="90">
        <f t="shared" si="52"/>
        <v>0.33333333333333331</v>
      </c>
      <c r="CT525" s="90">
        <f t="shared" si="48"/>
        <v>1</v>
      </c>
      <c r="CU525" s="90">
        <f t="shared" si="49"/>
        <v>1</v>
      </c>
    </row>
    <row r="526" spans="1:99" ht="12" customHeight="1">
      <c r="A526" s="43">
        <v>2034</v>
      </c>
      <c r="B526" s="89" t="s">
        <v>1515</v>
      </c>
      <c r="C526" s="89" t="s">
        <v>1623</v>
      </c>
      <c r="D526" s="89" t="s">
        <v>1624</v>
      </c>
      <c r="F526" s="43">
        <v>528686</v>
      </c>
      <c r="G526" s="43">
        <v>177627</v>
      </c>
      <c r="H526" s="89" t="s">
        <v>148</v>
      </c>
      <c r="K526" s="140">
        <v>2</v>
      </c>
      <c r="L526" s="140">
        <v>1</v>
      </c>
      <c r="M526" s="140">
        <v>-1</v>
      </c>
      <c r="N526" s="140">
        <v>1</v>
      </c>
      <c r="O526" s="140">
        <v>-1</v>
      </c>
      <c r="Q526" s="89" t="s">
        <v>1625</v>
      </c>
      <c r="R526" s="43" t="s">
        <v>316</v>
      </c>
      <c r="S526" s="125">
        <v>42502</v>
      </c>
      <c r="T526" s="117">
        <v>42528</v>
      </c>
      <c r="V526" s="43" t="s">
        <v>317</v>
      </c>
      <c r="X526" s="43" t="s">
        <v>318</v>
      </c>
      <c r="Y526" s="43" t="s">
        <v>348</v>
      </c>
      <c r="Z526" s="43" t="s">
        <v>320</v>
      </c>
      <c r="AA526" s="43" t="s">
        <v>636</v>
      </c>
      <c r="AB526" s="144">
        <v>1.60000007599592E-2</v>
      </c>
      <c r="AF526" s="43" t="s">
        <v>75</v>
      </c>
      <c r="AG526" s="43" t="s">
        <v>322</v>
      </c>
      <c r="AJ526" s="140">
        <v>0</v>
      </c>
      <c r="AK526" s="140">
        <v>0</v>
      </c>
      <c r="AL526" s="140">
        <v>0</v>
      </c>
      <c r="AM526" s="140">
        <v>0</v>
      </c>
      <c r="AN526" s="140">
        <v>0</v>
      </c>
      <c r="AO526" s="140">
        <v>-1</v>
      </c>
      <c r="AP526" s="140">
        <v>-1</v>
      </c>
      <c r="AQ526" s="140">
        <v>1</v>
      </c>
      <c r="AR526" s="140">
        <v>0</v>
      </c>
      <c r="AS526" s="140">
        <v>0</v>
      </c>
      <c r="AT526" s="140">
        <v>0</v>
      </c>
      <c r="AU526" s="140">
        <v>0</v>
      </c>
      <c r="AV526" s="140">
        <v>-1</v>
      </c>
      <c r="AW526" s="140">
        <v>-1</v>
      </c>
      <c r="AX526" s="140">
        <v>1</v>
      </c>
      <c r="AY526" s="140">
        <v>0</v>
      </c>
      <c r="AZ526" s="140">
        <v>0</v>
      </c>
      <c r="BA526" s="140">
        <v>0</v>
      </c>
      <c r="BB526" s="140">
        <v>0</v>
      </c>
      <c r="BC526" s="140">
        <v>0</v>
      </c>
      <c r="BD526" s="140">
        <v>0</v>
      </c>
      <c r="BE526" s="140">
        <v>0</v>
      </c>
      <c r="BF526" s="140">
        <v>0</v>
      </c>
      <c r="BG526" s="140">
        <v>0</v>
      </c>
      <c r="BH526" s="140">
        <v>0</v>
      </c>
      <c r="BI526" s="140">
        <v>0</v>
      </c>
      <c r="BJ526" s="140">
        <v>0</v>
      </c>
      <c r="BK526" s="140">
        <v>0</v>
      </c>
      <c r="BL526" s="140">
        <v>0</v>
      </c>
      <c r="BM526" s="140">
        <v>0</v>
      </c>
      <c r="BN526" s="140">
        <v>0</v>
      </c>
      <c r="BO526" s="140">
        <v>0</v>
      </c>
      <c r="BQ526" s="43" t="s">
        <v>329</v>
      </c>
      <c r="BX526" s="43">
        <v>15</v>
      </c>
      <c r="BZ526" s="90">
        <f t="shared" si="52"/>
        <v>-0.33333333333333331</v>
      </c>
      <c r="CA526" s="90">
        <f t="shared" si="52"/>
        <v>-0.33333333333333331</v>
      </c>
      <c r="CB526" s="90">
        <f t="shared" si="52"/>
        <v>-0.33333333333333331</v>
      </c>
      <c r="CT526" s="90">
        <f t="shared" si="48"/>
        <v>-1</v>
      </c>
      <c r="CU526" s="90">
        <f t="shared" si="49"/>
        <v>-1</v>
      </c>
    </row>
    <row r="527" spans="1:99" ht="12" customHeight="1">
      <c r="A527" s="43">
        <v>2059</v>
      </c>
      <c r="B527" s="89" t="s">
        <v>1515</v>
      </c>
      <c r="C527" s="89" t="s">
        <v>1626</v>
      </c>
      <c r="D527" s="89" t="s">
        <v>1627</v>
      </c>
      <c r="F527" s="43">
        <v>523779</v>
      </c>
      <c r="G527" s="43">
        <v>172570</v>
      </c>
      <c r="H527" s="89" t="s">
        <v>180</v>
      </c>
      <c r="K527" s="140">
        <v>0</v>
      </c>
      <c r="L527" s="140">
        <v>2</v>
      </c>
      <c r="M527" s="140">
        <v>2</v>
      </c>
      <c r="N527" s="140">
        <v>2</v>
      </c>
      <c r="O527" s="140">
        <v>2</v>
      </c>
      <c r="Q527" s="89" t="s">
        <v>1628</v>
      </c>
      <c r="R527" s="43" t="s">
        <v>1629</v>
      </c>
      <c r="S527" s="125">
        <v>42797</v>
      </c>
      <c r="T527" s="117">
        <v>42971</v>
      </c>
      <c r="V527" s="43" t="s">
        <v>317</v>
      </c>
      <c r="X527" s="43" t="s">
        <v>413</v>
      </c>
      <c r="Y527" s="43" t="s">
        <v>361</v>
      </c>
      <c r="Z527" s="43" t="s">
        <v>320</v>
      </c>
      <c r="AA527" s="43" t="s">
        <v>353</v>
      </c>
      <c r="AB527" s="144">
        <v>0.119999997317791</v>
      </c>
      <c r="AF527" s="43" t="s">
        <v>75</v>
      </c>
      <c r="AG527" s="43" t="s">
        <v>322</v>
      </c>
      <c r="AJ527" s="140">
        <v>2</v>
      </c>
      <c r="AK527" s="140">
        <v>0</v>
      </c>
      <c r="AL527" s="140">
        <v>0</v>
      </c>
      <c r="AM527" s="140">
        <v>0</v>
      </c>
      <c r="AN527" s="140">
        <v>0</v>
      </c>
      <c r="AO527" s="140">
        <v>0</v>
      </c>
      <c r="AP527" s="140">
        <v>0</v>
      </c>
      <c r="AQ527" s="140">
        <v>0</v>
      </c>
      <c r="AR527" s="140">
        <v>2</v>
      </c>
      <c r="AS527" s="140">
        <v>0</v>
      </c>
      <c r="AT527" s="140">
        <v>0</v>
      </c>
      <c r="AU527" s="140">
        <v>0</v>
      </c>
      <c r="AV527" s="140">
        <v>0</v>
      </c>
      <c r="AW527" s="140">
        <v>0</v>
      </c>
      <c r="AX527" s="140">
        <v>0</v>
      </c>
      <c r="AY527" s="140">
        <v>0</v>
      </c>
      <c r="AZ527" s="140">
        <v>0</v>
      </c>
      <c r="BA527" s="140">
        <v>0</v>
      </c>
      <c r="BB527" s="140">
        <v>0</v>
      </c>
      <c r="BC527" s="140">
        <v>0</v>
      </c>
      <c r="BD527" s="140">
        <v>0</v>
      </c>
      <c r="BE527" s="140">
        <v>0</v>
      </c>
      <c r="BF527" s="140">
        <v>2</v>
      </c>
      <c r="BG527" s="140">
        <v>0</v>
      </c>
      <c r="BH527" s="140">
        <v>0</v>
      </c>
      <c r="BI527" s="140">
        <v>0</v>
      </c>
      <c r="BJ527" s="140">
        <v>0</v>
      </c>
      <c r="BK527" s="140">
        <v>0</v>
      </c>
      <c r="BL527" s="140">
        <v>0</v>
      </c>
      <c r="BM527" s="140">
        <v>0</v>
      </c>
      <c r="BN527" s="140">
        <v>0</v>
      </c>
      <c r="BO527" s="140">
        <v>0</v>
      </c>
      <c r="BX527" s="43">
        <v>6</v>
      </c>
      <c r="CA527" s="90">
        <f t="shared" ref="CA527:CD530" si="53">$M527/4</f>
        <v>0.5</v>
      </c>
      <c r="CB527" s="90">
        <f t="shared" si="53"/>
        <v>0.5</v>
      </c>
      <c r="CC527" s="90">
        <f t="shared" si="53"/>
        <v>0.5</v>
      </c>
      <c r="CD527" s="90">
        <f t="shared" si="53"/>
        <v>0.5</v>
      </c>
      <c r="CT527" s="90">
        <f t="shared" si="48"/>
        <v>2</v>
      </c>
      <c r="CU527" s="90">
        <f t="shared" si="49"/>
        <v>2</v>
      </c>
    </row>
    <row r="528" spans="1:99" ht="12" customHeight="1">
      <c r="A528" s="43">
        <v>2202</v>
      </c>
      <c r="B528" s="89" t="s">
        <v>1515</v>
      </c>
      <c r="C528" s="89" t="s">
        <v>1630</v>
      </c>
      <c r="D528" s="89" t="s">
        <v>1631</v>
      </c>
      <c r="F528" s="43">
        <v>528351</v>
      </c>
      <c r="G528" s="43">
        <v>173235</v>
      </c>
      <c r="H528" s="89" t="s">
        <v>173</v>
      </c>
      <c r="K528" s="140">
        <v>0</v>
      </c>
      <c r="L528" s="140">
        <v>2</v>
      </c>
      <c r="M528" s="140">
        <v>2</v>
      </c>
      <c r="N528" s="140">
        <v>2</v>
      </c>
      <c r="O528" s="140">
        <v>2</v>
      </c>
      <c r="Q528" s="89" t="s">
        <v>1632</v>
      </c>
      <c r="R528" s="43" t="s">
        <v>316</v>
      </c>
      <c r="S528" s="125">
        <v>43188</v>
      </c>
      <c r="T528" s="117">
        <v>43301</v>
      </c>
      <c r="V528" s="43" t="s">
        <v>317</v>
      </c>
      <c r="X528" s="43" t="s">
        <v>318</v>
      </c>
      <c r="Y528" s="43" t="s">
        <v>361</v>
      </c>
      <c r="Z528" s="43" t="s">
        <v>320</v>
      </c>
      <c r="AA528" s="43" t="s">
        <v>353</v>
      </c>
      <c r="AB528" s="144">
        <v>8.0000003799796104E-3</v>
      </c>
      <c r="AF528" s="43" t="s">
        <v>75</v>
      </c>
      <c r="AG528" s="43" t="s">
        <v>322</v>
      </c>
      <c r="AJ528" s="140">
        <v>0</v>
      </c>
      <c r="AK528" s="140">
        <v>0</v>
      </c>
      <c r="AL528" s="140">
        <v>0</v>
      </c>
      <c r="AM528" s="140">
        <v>0</v>
      </c>
      <c r="AN528" s="140">
        <v>0</v>
      </c>
      <c r="AO528" s="140">
        <v>2</v>
      </c>
      <c r="AP528" s="140">
        <v>0</v>
      </c>
      <c r="AQ528" s="140">
        <v>0</v>
      </c>
      <c r="AR528" s="140">
        <v>0</v>
      </c>
      <c r="AS528" s="140">
        <v>0</v>
      </c>
      <c r="AT528" s="140">
        <v>0</v>
      </c>
      <c r="AU528" s="140">
        <v>0</v>
      </c>
      <c r="AV528" s="140">
        <v>2</v>
      </c>
      <c r="AW528" s="140">
        <v>0</v>
      </c>
      <c r="AX528" s="140">
        <v>0</v>
      </c>
      <c r="AY528" s="140">
        <v>0</v>
      </c>
      <c r="AZ528" s="140">
        <v>0</v>
      </c>
      <c r="BA528" s="140">
        <v>0</v>
      </c>
      <c r="BB528" s="140">
        <v>0</v>
      </c>
      <c r="BC528" s="140">
        <v>0</v>
      </c>
      <c r="BD528" s="140">
        <v>0</v>
      </c>
      <c r="BE528" s="140">
        <v>0</v>
      </c>
      <c r="BF528" s="140">
        <v>0</v>
      </c>
      <c r="BG528" s="140">
        <v>0</v>
      </c>
      <c r="BH528" s="140">
        <v>0</v>
      </c>
      <c r="BI528" s="140">
        <v>0</v>
      </c>
      <c r="BJ528" s="140">
        <v>0</v>
      </c>
      <c r="BK528" s="140">
        <v>0</v>
      </c>
      <c r="BL528" s="140">
        <v>0</v>
      </c>
      <c r="BM528" s="140">
        <v>0</v>
      </c>
      <c r="BN528" s="140">
        <v>0</v>
      </c>
      <c r="BO528" s="140">
        <v>0</v>
      </c>
      <c r="BX528" s="43">
        <v>6</v>
      </c>
      <c r="CA528" s="90">
        <f t="shared" si="53"/>
        <v>0.5</v>
      </c>
      <c r="CB528" s="90">
        <f t="shared" si="53"/>
        <v>0.5</v>
      </c>
      <c r="CC528" s="90">
        <f t="shared" si="53"/>
        <v>0.5</v>
      </c>
      <c r="CD528" s="90">
        <f t="shared" si="53"/>
        <v>0.5</v>
      </c>
      <c r="CT528" s="90">
        <f t="shared" si="48"/>
        <v>2</v>
      </c>
      <c r="CU528" s="90">
        <f t="shared" si="49"/>
        <v>2</v>
      </c>
    </row>
    <row r="529" spans="1:99" ht="12" customHeight="1">
      <c r="A529" s="43">
        <v>2274</v>
      </c>
      <c r="B529" s="89" t="s">
        <v>1515</v>
      </c>
      <c r="C529" s="89" t="s">
        <v>1633</v>
      </c>
      <c r="D529" s="89" t="s">
        <v>1634</v>
      </c>
      <c r="F529" s="43">
        <v>527891</v>
      </c>
      <c r="G529" s="43">
        <v>171427</v>
      </c>
      <c r="H529" s="89" t="s">
        <v>172</v>
      </c>
      <c r="K529" s="140">
        <v>0</v>
      </c>
      <c r="L529" s="140">
        <v>1</v>
      </c>
      <c r="M529" s="140">
        <v>1</v>
      </c>
      <c r="N529" s="140">
        <v>1</v>
      </c>
      <c r="O529" s="140">
        <v>1</v>
      </c>
      <c r="Q529" s="89" t="s">
        <v>1635</v>
      </c>
      <c r="R529" s="43" t="s">
        <v>316</v>
      </c>
      <c r="S529" s="125">
        <v>43606</v>
      </c>
      <c r="T529" s="117">
        <v>43662</v>
      </c>
      <c r="U529" s="43" t="s">
        <v>329</v>
      </c>
      <c r="V529" s="43" t="s">
        <v>317</v>
      </c>
      <c r="X529" s="43" t="s">
        <v>318</v>
      </c>
      <c r="Y529" s="43" t="s">
        <v>361</v>
      </c>
      <c r="Z529" s="43" t="s">
        <v>320</v>
      </c>
      <c r="AA529" s="43" t="s">
        <v>353</v>
      </c>
      <c r="AB529" s="144">
        <v>1.7999999225139601E-2</v>
      </c>
      <c r="AF529" s="43" t="s">
        <v>75</v>
      </c>
      <c r="AG529" s="43" t="s">
        <v>322</v>
      </c>
      <c r="AJ529" s="140">
        <v>0</v>
      </c>
      <c r="AK529" s="140">
        <v>0</v>
      </c>
      <c r="AL529" s="140">
        <v>0</v>
      </c>
      <c r="AM529" s="140">
        <v>0</v>
      </c>
      <c r="AN529" s="140">
        <v>0</v>
      </c>
      <c r="AO529" s="140">
        <v>0</v>
      </c>
      <c r="AP529" s="140">
        <v>0</v>
      </c>
      <c r="AQ529" s="140">
        <v>1</v>
      </c>
      <c r="AR529" s="140">
        <v>0</v>
      </c>
      <c r="AS529" s="140">
        <v>0</v>
      </c>
      <c r="AT529" s="140">
        <v>0</v>
      </c>
      <c r="AU529" s="140">
        <v>0</v>
      </c>
      <c r="AV529" s="140">
        <v>0</v>
      </c>
      <c r="AW529" s="140">
        <v>0</v>
      </c>
      <c r="AX529" s="140">
        <v>0</v>
      </c>
      <c r="AY529" s="140">
        <v>0</v>
      </c>
      <c r="AZ529" s="140">
        <v>0</v>
      </c>
      <c r="BA529" s="140">
        <v>0</v>
      </c>
      <c r="BB529" s="140">
        <v>0</v>
      </c>
      <c r="BC529" s="140">
        <v>0</v>
      </c>
      <c r="BD529" s="140">
        <v>0</v>
      </c>
      <c r="BE529" s="140">
        <v>1</v>
      </c>
      <c r="BF529" s="140">
        <v>0</v>
      </c>
      <c r="BG529" s="140">
        <v>0</v>
      </c>
      <c r="BH529" s="140">
        <v>0</v>
      </c>
      <c r="BI529" s="140">
        <v>0</v>
      </c>
      <c r="BJ529" s="140">
        <v>0</v>
      </c>
      <c r="BK529" s="140">
        <v>0</v>
      </c>
      <c r="BL529" s="140">
        <v>0</v>
      </c>
      <c r="BM529" s="140">
        <v>0</v>
      </c>
      <c r="BN529" s="140">
        <v>0</v>
      </c>
      <c r="BO529" s="140">
        <v>0</v>
      </c>
      <c r="BX529" s="43">
        <v>6</v>
      </c>
      <c r="CA529" s="90">
        <f t="shared" si="53"/>
        <v>0.25</v>
      </c>
      <c r="CB529" s="90">
        <f t="shared" si="53"/>
        <v>0.25</v>
      </c>
      <c r="CC529" s="90">
        <f t="shared" si="53"/>
        <v>0.25</v>
      </c>
      <c r="CD529" s="90">
        <f t="shared" si="53"/>
        <v>0.25</v>
      </c>
      <c r="CT529" s="90">
        <f t="shared" si="48"/>
        <v>1</v>
      </c>
      <c r="CU529" s="90">
        <f t="shared" si="49"/>
        <v>1</v>
      </c>
    </row>
    <row r="530" spans="1:99" ht="12" customHeight="1">
      <c r="A530" s="43">
        <v>2318</v>
      </c>
      <c r="B530" s="89" t="s">
        <v>1515</v>
      </c>
      <c r="C530" s="89" t="s">
        <v>1636</v>
      </c>
      <c r="D530" s="89" t="s">
        <v>1637</v>
      </c>
      <c r="F530" s="43">
        <v>522870</v>
      </c>
      <c r="G530" s="43">
        <v>174041</v>
      </c>
      <c r="H530" s="89" t="s">
        <v>181</v>
      </c>
      <c r="K530" s="140">
        <v>1</v>
      </c>
      <c r="L530" s="140">
        <v>1</v>
      </c>
      <c r="M530" s="140">
        <v>0</v>
      </c>
      <c r="N530" s="140">
        <v>1</v>
      </c>
      <c r="O530" s="140">
        <v>0</v>
      </c>
      <c r="Q530" s="89" t="s">
        <v>1638</v>
      </c>
      <c r="R530" s="43" t="s">
        <v>316</v>
      </c>
      <c r="S530" s="125">
        <v>43409</v>
      </c>
      <c r="T530" s="117">
        <v>43524</v>
      </c>
      <c r="V530" s="43" t="s">
        <v>317</v>
      </c>
      <c r="X530" s="43" t="s">
        <v>318</v>
      </c>
      <c r="Y530" s="43" t="s">
        <v>361</v>
      </c>
      <c r="Z530" s="43" t="s">
        <v>320</v>
      </c>
      <c r="AA530" s="43" t="s">
        <v>353</v>
      </c>
      <c r="AB530" s="144">
        <v>1.7999999225139601E-2</v>
      </c>
      <c r="AF530" s="43" t="s">
        <v>75</v>
      </c>
      <c r="AG530" s="43" t="s">
        <v>322</v>
      </c>
      <c r="AJ530" s="140">
        <v>0</v>
      </c>
      <c r="AK530" s="140">
        <v>0</v>
      </c>
      <c r="AL530" s="140">
        <v>0</v>
      </c>
      <c r="AM530" s="140">
        <v>0</v>
      </c>
      <c r="AN530" s="140">
        <v>0</v>
      </c>
      <c r="AO530" s="140">
        <v>0</v>
      </c>
      <c r="AP530" s="140">
        <v>0</v>
      </c>
      <c r="AQ530" s="140">
        <v>0</v>
      </c>
      <c r="AR530" s="140">
        <v>0</v>
      </c>
      <c r="AS530" s="140">
        <v>0</v>
      </c>
      <c r="AT530" s="140">
        <v>0</v>
      </c>
      <c r="AU530" s="140">
        <v>0</v>
      </c>
      <c r="AV530" s="140">
        <v>0</v>
      </c>
      <c r="AW530" s="140">
        <v>0</v>
      </c>
      <c r="AX530" s="140">
        <v>0</v>
      </c>
      <c r="AY530" s="140">
        <v>0</v>
      </c>
      <c r="AZ530" s="140">
        <v>0</v>
      </c>
      <c r="BA530" s="140">
        <v>0</v>
      </c>
      <c r="BB530" s="140">
        <v>0</v>
      </c>
      <c r="BC530" s="140">
        <v>0</v>
      </c>
      <c r="BD530" s="140">
        <v>0</v>
      </c>
      <c r="BE530" s="140">
        <v>0</v>
      </c>
      <c r="BF530" s="140">
        <v>0</v>
      </c>
      <c r="BG530" s="140">
        <v>0</v>
      </c>
      <c r="BH530" s="140">
        <v>0</v>
      </c>
      <c r="BI530" s="140">
        <v>0</v>
      </c>
      <c r="BJ530" s="140">
        <v>0</v>
      </c>
      <c r="BK530" s="140">
        <v>0</v>
      </c>
      <c r="BL530" s="140">
        <v>0</v>
      </c>
      <c r="BM530" s="140">
        <v>0</v>
      </c>
      <c r="BN530" s="140">
        <v>0</v>
      </c>
      <c r="BO530" s="140">
        <v>0</v>
      </c>
      <c r="BX530" s="43">
        <v>6</v>
      </c>
      <c r="CA530" s="90">
        <f t="shared" si="53"/>
        <v>0</v>
      </c>
      <c r="CB530" s="90">
        <f t="shared" si="53"/>
        <v>0</v>
      </c>
      <c r="CC530" s="90">
        <f t="shared" si="53"/>
        <v>0</v>
      </c>
      <c r="CD530" s="90">
        <f t="shared" si="53"/>
        <v>0</v>
      </c>
      <c r="CT530" s="90">
        <f t="shared" si="48"/>
        <v>0</v>
      </c>
      <c r="CU530" s="90">
        <f t="shared" si="49"/>
        <v>0</v>
      </c>
    </row>
    <row r="531" spans="1:99" ht="12" customHeight="1">
      <c r="A531" s="43">
        <v>2320</v>
      </c>
      <c r="B531" s="89" t="s">
        <v>1515</v>
      </c>
      <c r="C531" s="89" t="s">
        <v>1639</v>
      </c>
      <c r="D531" s="89" t="s">
        <v>1640</v>
      </c>
      <c r="F531" s="43">
        <v>527260</v>
      </c>
      <c r="G531" s="43">
        <v>177215</v>
      </c>
      <c r="H531" s="89" t="s">
        <v>177</v>
      </c>
      <c r="I531" s="125">
        <v>43190</v>
      </c>
      <c r="K531" s="140">
        <v>0</v>
      </c>
      <c r="L531" s="140">
        <v>94</v>
      </c>
      <c r="M531" s="140">
        <v>94</v>
      </c>
      <c r="N531" s="140">
        <v>118</v>
      </c>
      <c r="O531" s="140">
        <v>118</v>
      </c>
      <c r="P531" s="43" t="s">
        <v>329</v>
      </c>
      <c r="Q531" s="89" t="s">
        <v>1641</v>
      </c>
      <c r="R531" s="43" t="s">
        <v>392</v>
      </c>
      <c r="S531" s="125">
        <v>41855</v>
      </c>
      <c r="T531" s="117">
        <v>42185</v>
      </c>
      <c r="V531" s="43" t="s">
        <v>317</v>
      </c>
      <c r="X531" s="43" t="s">
        <v>318</v>
      </c>
      <c r="Y531" s="43" t="s">
        <v>361</v>
      </c>
      <c r="Z531" s="43" t="s">
        <v>361</v>
      </c>
      <c r="AA531" s="43" t="s">
        <v>320</v>
      </c>
      <c r="AB531" s="144">
        <v>0.24699999392032601</v>
      </c>
      <c r="AF531" s="43" t="s">
        <v>75</v>
      </c>
      <c r="AG531" s="43" t="s">
        <v>322</v>
      </c>
      <c r="AH531" s="43" t="s">
        <v>1642</v>
      </c>
      <c r="AJ531" s="140">
        <v>94</v>
      </c>
      <c r="AK531" s="140">
        <v>0</v>
      </c>
      <c r="AL531" s="140">
        <v>94</v>
      </c>
      <c r="AM531" s="140">
        <v>0</v>
      </c>
      <c r="AN531" s="140">
        <v>0</v>
      </c>
      <c r="AO531" s="140">
        <v>21</v>
      </c>
      <c r="AP531" s="140">
        <v>47</v>
      </c>
      <c r="AQ531" s="140">
        <v>23</v>
      </c>
      <c r="AR531" s="140">
        <v>3</v>
      </c>
      <c r="AS531" s="140">
        <v>0</v>
      </c>
      <c r="AT531" s="140">
        <v>0</v>
      </c>
      <c r="AU531" s="140">
        <v>0</v>
      </c>
      <c r="AV531" s="140">
        <v>21</v>
      </c>
      <c r="AW531" s="140">
        <v>47</v>
      </c>
      <c r="AX531" s="140">
        <v>23</v>
      </c>
      <c r="AY531" s="140">
        <v>3</v>
      </c>
      <c r="AZ531" s="140">
        <v>0</v>
      </c>
      <c r="BA531" s="140">
        <v>0</v>
      </c>
      <c r="BB531" s="140">
        <v>0</v>
      </c>
      <c r="BC531" s="140">
        <v>0</v>
      </c>
      <c r="BD531" s="140">
        <v>0</v>
      </c>
      <c r="BE531" s="140">
        <v>0</v>
      </c>
      <c r="BF531" s="140">
        <v>0</v>
      </c>
      <c r="BG531" s="140">
        <v>0</v>
      </c>
      <c r="BH531" s="140">
        <v>0</v>
      </c>
      <c r="BI531" s="140">
        <v>0</v>
      </c>
      <c r="BJ531" s="140">
        <v>0</v>
      </c>
      <c r="BK531" s="140">
        <v>0</v>
      </c>
      <c r="BL531" s="140">
        <v>0</v>
      </c>
      <c r="BM531" s="140">
        <v>0</v>
      </c>
      <c r="BN531" s="140">
        <v>0</v>
      </c>
      <c r="BO531" s="140">
        <v>0</v>
      </c>
      <c r="BV531" s="43" t="s">
        <v>329</v>
      </c>
      <c r="BX531" s="43">
        <v>9</v>
      </c>
      <c r="CC531" s="90">
        <f t="shared" ref="CC531:CE533" si="54">$M531/3</f>
        <v>31.333333333333332</v>
      </c>
      <c r="CD531" s="90">
        <f t="shared" si="54"/>
        <v>31.333333333333332</v>
      </c>
      <c r="CE531" s="90">
        <f t="shared" si="54"/>
        <v>31.333333333333332</v>
      </c>
      <c r="CT531" s="90">
        <f t="shared" si="48"/>
        <v>62.666666666666664</v>
      </c>
      <c r="CU531" s="90">
        <f t="shared" si="49"/>
        <v>94</v>
      </c>
    </row>
    <row r="532" spans="1:99" ht="12" customHeight="1">
      <c r="A532" s="43">
        <v>2320</v>
      </c>
      <c r="B532" s="89" t="s">
        <v>1515</v>
      </c>
      <c r="C532" s="89" t="s">
        <v>1639</v>
      </c>
      <c r="D532" s="89" t="s">
        <v>1640</v>
      </c>
      <c r="F532" s="43">
        <v>527260</v>
      </c>
      <c r="G532" s="43">
        <v>177215</v>
      </c>
      <c r="H532" s="89" t="s">
        <v>177</v>
      </c>
      <c r="I532" s="125">
        <v>43190</v>
      </c>
      <c r="K532" s="140">
        <v>0</v>
      </c>
      <c r="L532" s="140">
        <v>14</v>
      </c>
      <c r="M532" s="140">
        <v>14</v>
      </c>
      <c r="N532" s="140">
        <v>118</v>
      </c>
      <c r="O532" s="140">
        <v>118</v>
      </c>
      <c r="P532" s="43" t="s">
        <v>329</v>
      </c>
      <c r="Q532" s="89" t="s">
        <v>1641</v>
      </c>
      <c r="R532" s="43" t="s">
        <v>392</v>
      </c>
      <c r="S532" s="125">
        <v>41855</v>
      </c>
      <c r="T532" s="117">
        <v>42185</v>
      </c>
      <c r="V532" s="43" t="s">
        <v>317</v>
      </c>
      <c r="X532" s="43" t="s">
        <v>318</v>
      </c>
      <c r="Y532" s="43" t="s">
        <v>361</v>
      </c>
      <c r="Z532" s="43" t="s">
        <v>361</v>
      </c>
      <c r="AA532" s="43" t="s">
        <v>320</v>
      </c>
      <c r="AB532" s="144">
        <v>3.70000004768372E-2</v>
      </c>
      <c r="AF532" s="43" t="s">
        <v>55</v>
      </c>
      <c r="AG532" s="43" t="s">
        <v>526</v>
      </c>
      <c r="AH532" s="43" t="s">
        <v>1642</v>
      </c>
      <c r="AJ532" s="140">
        <v>14</v>
      </c>
      <c r="AK532" s="140">
        <v>0</v>
      </c>
      <c r="AL532" s="140">
        <v>14</v>
      </c>
      <c r="AM532" s="140">
        <v>0</v>
      </c>
      <c r="AN532" s="140">
        <v>0</v>
      </c>
      <c r="AO532" s="140">
        <v>1</v>
      </c>
      <c r="AP532" s="140">
        <v>0</v>
      </c>
      <c r="AQ532" s="140">
        <v>13</v>
      </c>
      <c r="AR532" s="140">
        <v>0</v>
      </c>
      <c r="AS532" s="140">
        <v>0</v>
      </c>
      <c r="AT532" s="140">
        <v>0</v>
      </c>
      <c r="AU532" s="140">
        <v>0</v>
      </c>
      <c r="AV532" s="140">
        <v>1</v>
      </c>
      <c r="AW532" s="140">
        <v>0</v>
      </c>
      <c r="AX532" s="140">
        <v>13</v>
      </c>
      <c r="AY532" s="140">
        <v>0</v>
      </c>
      <c r="AZ532" s="140">
        <v>0</v>
      </c>
      <c r="BA532" s="140">
        <v>0</v>
      </c>
      <c r="BB532" s="140">
        <v>0</v>
      </c>
      <c r="BC532" s="140">
        <v>0</v>
      </c>
      <c r="BD532" s="140">
        <v>0</v>
      </c>
      <c r="BE532" s="140">
        <v>0</v>
      </c>
      <c r="BF532" s="140">
        <v>0</v>
      </c>
      <c r="BG532" s="140">
        <v>0</v>
      </c>
      <c r="BH532" s="140">
        <v>0</v>
      </c>
      <c r="BI532" s="140">
        <v>0</v>
      </c>
      <c r="BJ532" s="140">
        <v>0</v>
      </c>
      <c r="BK532" s="140">
        <v>0</v>
      </c>
      <c r="BL532" s="140">
        <v>0</v>
      </c>
      <c r="BM532" s="140">
        <v>0</v>
      </c>
      <c r="BN532" s="140">
        <v>0</v>
      </c>
      <c r="BO532" s="140">
        <v>0</v>
      </c>
      <c r="BV532" s="43" t="s">
        <v>329</v>
      </c>
      <c r="BX532" s="43">
        <v>9</v>
      </c>
      <c r="CC532" s="90">
        <f t="shared" si="54"/>
        <v>4.666666666666667</v>
      </c>
      <c r="CD532" s="90">
        <f t="shared" si="54"/>
        <v>4.666666666666667</v>
      </c>
      <c r="CE532" s="90">
        <f t="shared" si="54"/>
        <v>4.666666666666667</v>
      </c>
      <c r="CT532" s="90">
        <f t="shared" si="48"/>
        <v>9.3333333333333339</v>
      </c>
      <c r="CU532" s="90">
        <f t="shared" si="49"/>
        <v>14</v>
      </c>
    </row>
    <row r="533" spans="1:99" ht="12" customHeight="1">
      <c r="A533" s="43">
        <v>2320</v>
      </c>
      <c r="B533" s="89" t="s">
        <v>1515</v>
      </c>
      <c r="C533" s="89" t="s">
        <v>1639</v>
      </c>
      <c r="D533" s="89" t="s">
        <v>1640</v>
      </c>
      <c r="F533" s="43">
        <v>527260</v>
      </c>
      <c r="G533" s="43">
        <v>177215</v>
      </c>
      <c r="H533" s="89" t="s">
        <v>177</v>
      </c>
      <c r="I533" s="125">
        <v>43190</v>
      </c>
      <c r="K533" s="140">
        <v>0</v>
      </c>
      <c r="L533" s="140">
        <v>10</v>
      </c>
      <c r="M533" s="140">
        <v>10</v>
      </c>
      <c r="N533" s="140">
        <v>118</v>
      </c>
      <c r="O533" s="140">
        <v>118</v>
      </c>
      <c r="P533" s="43" t="s">
        <v>329</v>
      </c>
      <c r="Q533" s="89" t="s">
        <v>1641</v>
      </c>
      <c r="R533" s="43" t="s">
        <v>392</v>
      </c>
      <c r="S533" s="125">
        <v>41855</v>
      </c>
      <c r="T533" s="117">
        <v>42185</v>
      </c>
      <c r="V533" s="43" t="s">
        <v>317</v>
      </c>
      <c r="X533" s="43" t="s">
        <v>318</v>
      </c>
      <c r="Y533" s="43" t="s">
        <v>361</v>
      </c>
      <c r="Z533" s="43" t="s">
        <v>361</v>
      </c>
      <c r="AA533" s="43" t="s">
        <v>320</v>
      </c>
      <c r="AB533" s="144">
        <v>2.60000005364418E-2</v>
      </c>
      <c r="AF533" s="43" t="s">
        <v>54</v>
      </c>
      <c r="AG533" s="43" t="s">
        <v>399</v>
      </c>
      <c r="AH533" s="43" t="s">
        <v>1642</v>
      </c>
      <c r="AJ533" s="140">
        <v>10</v>
      </c>
      <c r="AK533" s="140">
        <v>0</v>
      </c>
      <c r="AL533" s="140">
        <v>10</v>
      </c>
      <c r="AM533" s="140">
        <v>0</v>
      </c>
      <c r="AN533" s="140">
        <v>0</v>
      </c>
      <c r="AO533" s="140">
        <v>6</v>
      </c>
      <c r="AP533" s="140">
        <v>2</v>
      </c>
      <c r="AQ533" s="140">
        <v>2</v>
      </c>
      <c r="AR533" s="140">
        <v>0</v>
      </c>
      <c r="AS533" s="140">
        <v>0</v>
      </c>
      <c r="AT533" s="140">
        <v>0</v>
      </c>
      <c r="AU533" s="140">
        <v>0</v>
      </c>
      <c r="AV533" s="140">
        <v>6</v>
      </c>
      <c r="AW533" s="140">
        <v>2</v>
      </c>
      <c r="AX533" s="140">
        <v>2</v>
      </c>
      <c r="AY533" s="140">
        <v>0</v>
      </c>
      <c r="AZ533" s="140">
        <v>0</v>
      </c>
      <c r="BA533" s="140">
        <v>0</v>
      </c>
      <c r="BB533" s="140">
        <v>0</v>
      </c>
      <c r="BC533" s="140">
        <v>0</v>
      </c>
      <c r="BD533" s="140">
        <v>0</v>
      </c>
      <c r="BE533" s="140">
        <v>0</v>
      </c>
      <c r="BF533" s="140">
        <v>0</v>
      </c>
      <c r="BG533" s="140">
        <v>0</v>
      </c>
      <c r="BH533" s="140">
        <v>0</v>
      </c>
      <c r="BI533" s="140">
        <v>0</v>
      </c>
      <c r="BJ533" s="140">
        <v>0</v>
      </c>
      <c r="BK533" s="140">
        <v>0</v>
      </c>
      <c r="BL533" s="140">
        <v>0</v>
      </c>
      <c r="BM533" s="140">
        <v>0</v>
      </c>
      <c r="BN533" s="140">
        <v>0</v>
      </c>
      <c r="BO533" s="140">
        <v>0</v>
      </c>
      <c r="BV533" s="43" t="s">
        <v>329</v>
      </c>
      <c r="BX533" s="43">
        <v>9</v>
      </c>
      <c r="CC533" s="90">
        <f t="shared" si="54"/>
        <v>3.3333333333333335</v>
      </c>
      <c r="CD533" s="90">
        <f t="shared" si="54"/>
        <v>3.3333333333333335</v>
      </c>
      <c r="CE533" s="90">
        <f t="shared" si="54"/>
        <v>3.3333333333333335</v>
      </c>
      <c r="CT533" s="90">
        <f t="shared" si="48"/>
        <v>6.666666666666667</v>
      </c>
      <c r="CU533" s="90">
        <f t="shared" si="49"/>
        <v>10</v>
      </c>
    </row>
    <row r="534" spans="1:99" ht="12" customHeight="1">
      <c r="A534" s="43">
        <v>2356</v>
      </c>
      <c r="B534" s="89" t="s">
        <v>1515</v>
      </c>
      <c r="C534" s="89" t="s">
        <v>1643</v>
      </c>
      <c r="D534" s="89" t="s">
        <v>1644</v>
      </c>
      <c r="F534" s="43">
        <v>525955</v>
      </c>
      <c r="G534" s="43">
        <v>174077</v>
      </c>
      <c r="H534" s="89" t="s">
        <v>170</v>
      </c>
      <c r="K534" s="140">
        <v>0</v>
      </c>
      <c r="L534" s="140">
        <v>4</v>
      </c>
      <c r="M534" s="140">
        <v>4</v>
      </c>
      <c r="N534" s="140">
        <v>4</v>
      </c>
      <c r="O534" s="140">
        <v>4</v>
      </c>
      <c r="Q534" s="89" t="s">
        <v>1645</v>
      </c>
      <c r="R534" s="43" t="s">
        <v>316</v>
      </c>
      <c r="S534" s="125">
        <v>43458</v>
      </c>
      <c r="T534" s="117">
        <v>43517</v>
      </c>
      <c r="V534" s="43" t="s">
        <v>317</v>
      </c>
      <c r="X534" s="43" t="s">
        <v>318</v>
      </c>
      <c r="Y534" s="43" t="s">
        <v>336</v>
      </c>
      <c r="Z534" s="43" t="s">
        <v>320</v>
      </c>
      <c r="AA534" s="43" t="s">
        <v>36</v>
      </c>
      <c r="AB534" s="144">
        <v>2.19999998807907E-2</v>
      </c>
      <c r="AF534" s="43" t="s">
        <v>75</v>
      </c>
      <c r="AG534" s="43" t="s">
        <v>322</v>
      </c>
      <c r="AJ534" s="140">
        <v>0</v>
      </c>
      <c r="AK534" s="140">
        <v>0</v>
      </c>
      <c r="AL534" s="140">
        <v>0</v>
      </c>
      <c r="AM534" s="140">
        <v>0</v>
      </c>
      <c r="AN534" s="140">
        <v>0</v>
      </c>
      <c r="AO534" s="140">
        <v>1</v>
      </c>
      <c r="AP534" s="140">
        <v>3</v>
      </c>
      <c r="AQ534" s="140">
        <v>0</v>
      </c>
      <c r="AR534" s="140">
        <v>0</v>
      </c>
      <c r="AS534" s="140">
        <v>0</v>
      </c>
      <c r="AT534" s="140">
        <v>0</v>
      </c>
      <c r="AU534" s="140">
        <v>0</v>
      </c>
      <c r="AV534" s="140">
        <v>1</v>
      </c>
      <c r="AW534" s="140">
        <v>3</v>
      </c>
      <c r="AX534" s="140">
        <v>0</v>
      </c>
      <c r="AY534" s="140">
        <v>0</v>
      </c>
      <c r="AZ534" s="140">
        <v>0</v>
      </c>
      <c r="BA534" s="140">
        <v>0</v>
      </c>
      <c r="BB534" s="140">
        <v>0</v>
      </c>
      <c r="BC534" s="140">
        <v>0</v>
      </c>
      <c r="BD534" s="140">
        <v>0</v>
      </c>
      <c r="BE534" s="140">
        <v>0</v>
      </c>
      <c r="BF534" s="140">
        <v>0</v>
      </c>
      <c r="BG534" s="140">
        <v>0</v>
      </c>
      <c r="BH534" s="140">
        <v>0</v>
      </c>
      <c r="BI534" s="140">
        <v>0</v>
      </c>
      <c r="BJ534" s="140">
        <v>0</v>
      </c>
      <c r="BK534" s="140">
        <v>0</v>
      </c>
      <c r="BL534" s="140">
        <v>0</v>
      </c>
      <c r="BM534" s="140">
        <v>0</v>
      </c>
      <c r="BN534" s="140">
        <v>0</v>
      </c>
      <c r="BO534" s="140">
        <v>0</v>
      </c>
      <c r="BX534" s="43">
        <v>15</v>
      </c>
      <c r="BZ534" s="90">
        <f>$M534/3</f>
        <v>1.3333333333333333</v>
      </c>
      <c r="CA534" s="90">
        <f>$M534/3</f>
        <v>1.3333333333333333</v>
      </c>
      <c r="CB534" s="90">
        <f>$M534/3</f>
        <v>1.3333333333333333</v>
      </c>
      <c r="CT534" s="90">
        <f t="shared" si="48"/>
        <v>4</v>
      </c>
      <c r="CU534" s="90">
        <f t="shared" si="49"/>
        <v>4</v>
      </c>
    </row>
    <row r="535" spans="1:99" ht="12" customHeight="1">
      <c r="A535" s="43">
        <v>2390</v>
      </c>
      <c r="B535" s="89" t="s">
        <v>1515</v>
      </c>
      <c r="C535" s="89" t="s">
        <v>1646</v>
      </c>
      <c r="D535" s="89" t="s">
        <v>1647</v>
      </c>
      <c r="F535" s="43">
        <v>525245</v>
      </c>
      <c r="G535" s="43">
        <v>174192</v>
      </c>
      <c r="H535" s="89" t="s">
        <v>176</v>
      </c>
      <c r="K535" s="140">
        <v>0</v>
      </c>
      <c r="L535" s="140">
        <v>1</v>
      </c>
      <c r="M535" s="140">
        <v>1</v>
      </c>
      <c r="N535" s="140">
        <v>1</v>
      </c>
      <c r="O535" s="140">
        <v>1</v>
      </c>
      <c r="Q535" s="89" t="s">
        <v>1648</v>
      </c>
      <c r="R535" s="43" t="s">
        <v>316</v>
      </c>
      <c r="S535" s="125">
        <v>43063</v>
      </c>
      <c r="T535" s="117">
        <v>43209</v>
      </c>
      <c r="V535" s="43" t="s">
        <v>317</v>
      </c>
      <c r="X535" s="43" t="s">
        <v>413</v>
      </c>
      <c r="Y535" s="43" t="s">
        <v>361</v>
      </c>
      <c r="Z535" s="43" t="s">
        <v>320</v>
      </c>
      <c r="AA535" s="43" t="s">
        <v>353</v>
      </c>
      <c r="AB535" s="144">
        <v>1.7000000923872001E-2</v>
      </c>
      <c r="AF535" s="43" t="s">
        <v>75</v>
      </c>
      <c r="AG535" s="43" t="s">
        <v>322</v>
      </c>
      <c r="AJ535" s="140">
        <v>0</v>
      </c>
      <c r="AK535" s="140">
        <v>0</v>
      </c>
      <c r="AL535" s="140">
        <v>0</v>
      </c>
      <c r="AM535" s="140">
        <v>0</v>
      </c>
      <c r="AN535" s="140">
        <v>0</v>
      </c>
      <c r="AO535" s="140">
        <v>0</v>
      </c>
      <c r="AP535" s="140">
        <v>0</v>
      </c>
      <c r="AQ535" s="140">
        <v>0</v>
      </c>
      <c r="AR535" s="140">
        <v>1</v>
      </c>
      <c r="AS535" s="140">
        <v>0</v>
      </c>
      <c r="AT535" s="140">
        <v>0</v>
      </c>
      <c r="AU535" s="140">
        <v>0</v>
      </c>
      <c r="AV535" s="140">
        <v>0</v>
      </c>
      <c r="AW535" s="140">
        <v>0</v>
      </c>
      <c r="AX535" s="140">
        <v>0</v>
      </c>
      <c r="AY535" s="140">
        <v>0</v>
      </c>
      <c r="AZ535" s="140">
        <v>0</v>
      </c>
      <c r="BA535" s="140">
        <v>0</v>
      </c>
      <c r="BB535" s="140">
        <v>0</v>
      </c>
      <c r="BC535" s="140">
        <v>0</v>
      </c>
      <c r="BD535" s="140">
        <v>0</v>
      </c>
      <c r="BE535" s="140">
        <v>0</v>
      </c>
      <c r="BF535" s="140">
        <v>1</v>
      </c>
      <c r="BG535" s="140">
        <v>0</v>
      </c>
      <c r="BH535" s="140">
        <v>0</v>
      </c>
      <c r="BI535" s="140">
        <v>0</v>
      </c>
      <c r="BJ535" s="140">
        <v>0</v>
      </c>
      <c r="BK535" s="140">
        <v>0</v>
      </c>
      <c r="BL535" s="140">
        <v>0</v>
      </c>
      <c r="BM535" s="140">
        <v>0</v>
      </c>
      <c r="BN535" s="140">
        <v>0</v>
      </c>
      <c r="BO535" s="140">
        <v>0</v>
      </c>
      <c r="BX535" s="43">
        <v>6</v>
      </c>
      <c r="CA535" s="90">
        <f t="shared" ref="CA535:CD536" si="55">$M535/4</f>
        <v>0.25</v>
      </c>
      <c r="CB535" s="90">
        <f t="shared" si="55"/>
        <v>0.25</v>
      </c>
      <c r="CC535" s="90">
        <f t="shared" si="55"/>
        <v>0.25</v>
      </c>
      <c r="CD535" s="90">
        <f t="shared" si="55"/>
        <v>0.25</v>
      </c>
      <c r="CT535" s="90">
        <f t="shared" si="48"/>
        <v>1</v>
      </c>
      <c r="CU535" s="90">
        <f t="shared" si="49"/>
        <v>1</v>
      </c>
    </row>
    <row r="536" spans="1:99" ht="12" customHeight="1">
      <c r="A536" s="43">
        <v>2410</v>
      </c>
      <c r="B536" s="89" t="s">
        <v>1515</v>
      </c>
      <c r="C536" s="89" t="s">
        <v>1649</v>
      </c>
      <c r="D536" s="89" t="s">
        <v>1650</v>
      </c>
      <c r="F536" s="43">
        <v>527525</v>
      </c>
      <c r="G536" s="43">
        <v>174930</v>
      </c>
      <c r="H536" s="89" t="s">
        <v>174</v>
      </c>
      <c r="K536" s="140">
        <v>0</v>
      </c>
      <c r="L536" s="140">
        <v>1</v>
      </c>
      <c r="M536" s="140">
        <v>1</v>
      </c>
      <c r="N536" s="140">
        <v>1</v>
      </c>
      <c r="O536" s="140">
        <v>1</v>
      </c>
      <c r="Q536" s="89" t="s">
        <v>1651</v>
      </c>
      <c r="R536" s="43" t="s">
        <v>316</v>
      </c>
      <c r="S536" s="125">
        <v>42914</v>
      </c>
      <c r="T536" s="117">
        <v>43040</v>
      </c>
      <c r="V536" s="43" t="s">
        <v>317</v>
      </c>
      <c r="X536" s="43" t="s">
        <v>318</v>
      </c>
      <c r="Y536" s="43" t="s">
        <v>361</v>
      </c>
      <c r="Z536" s="43" t="s">
        <v>320</v>
      </c>
      <c r="AA536" s="43" t="s">
        <v>353</v>
      </c>
      <c r="AB536" s="144">
        <v>9.9999997764825804E-3</v>
      </c>
      <c r="AF536" s="43" t="s">
        <v>75</v>
      </c>
      <c r="AG536" s="43" t="s">
        <v>322</v>
      </c>
      <c r="AJ536" s="140">
        <v>0</v>
      </c>
      <c r="AK536" s="140">
        <v>0</v>
      </c>
      <c r="AL536" s="140">
        <v>0</v>
      </c>
      <c r="AM536" s="140">
        <v>0</v>
      </c>
      <c r="AN536" s="140">
        <v>0</v>
      </c>
      <c r="AO536" s="140">
        <v>0</v>
      </c>
      <c r="AP536" s="140">
        <v>0</v>
      </c>
      <c r="AQ536" s="140">
        <v>0</v>
      </c>
      <c r="AR536" s="140">
        <v>1</v>
      </c>
      <c r="AS536" s="140">
        <v>0</v>
      </c>
      <c r="AT536" s="140">
        <v>0</v>
      </c>
      <c r="AU536" s="140">
        <v>0</v>
      </c>
      <c r="AV536" s="140">
        <v>0</v>
      </c>
      <c r="AW536" s="140">
        <v>0</v>
      </c>
      <c r="AX536" s="140">
        <v>0</v>
      </c>
      <c r="AY536" s="140">
        <v>0</v>
      </c>
      <c r="AZ536" s="140">
        <v>0</v>
      </c>
      <c r="BA536" s="140">
        <v>0</v>
      </c>
      <c r="BB536" s="140">
        <v>0</v>
      </c>
      <c r="BC536" s="140">
        <v>0</v>
      </c>
      <c r="BD536" s="140">
        <v>0</v>
      </c>
      <c r="BE536" s="140">
        <v>0</v>
      </c>
      <c r="BF536" s="140">
        <v>1</v>
      </c>
      <c r="BG536" s="140">
        <v>0</v>
      </c>
      <c r="BH536" s="140">
        <v>0</v>
      </c>
      <c r="BI536" s="140">
        <v>0</v>
      </c>
      <c r="BJ536" s="140">
        <v>0</v>
      </c>
      <c r="BK536" s="140">
        <v>0</v>
      </c>
      <c r="BL536" s="140">
        <v>0</v>
      </c>
      <c r="BM536" s="140">
        <v>0</v>
      </c>
      <c r="BN536" s="140">
        <v>0</v>
      </c>
      <c r="BO536" s="140">
        <v>0</v>
      </c>
      <c r="BP536" s="43" t="s">
        <v>139</v>
      </c>
      <c r="BX536" s="43">
        <v>6</v>
      </c>
      <c r="CA536" s="90">
        <f t="shared" si="55"/>
        <v>0.25</v>
      </c>
      <c r="CB536" s="90">
        <f t="shared" si="55"/>
        <v>0.25</v>
      </c>
      <c r="CC536" s="90">
        <f t="shared" si="55"/>
        <v>0.25</v>
      </c>
      <c r="CD536" s="90">
        <f t="shared" si="55"/>
        <v>0.25</v>
      </c>
      <c r="CT536" s="90">
        <f t="shared" si="48"/>
        <v>1</v>
      </c>
      <c r="CU536" s="90">
        <f t="shared" si="49"/>
        <v>1</v>
      </c>
    </row>
    <row r="537" spans="1:99" ht="12" customHeight="1">
      <c r="A537" s="43">
        <v>2411</v>
      </c>
      <c r="B537" s="89" t="s">
        <v>1515</v>
      </c>
      <c r="C537" s="89" t="s">
        <v>1652</v>
      </c>
      <c r="D537" s="89" t="s">
        <v>913</v>
      </c>
      <c r="E537" s="89" t="s">
        <v>1653</v>
      </c>
      <c r="F537" s="43">
        <v>528934</v>
      </c>
      <c r="G537" s="43">
        <v>177496</v>
      </c>
      <c r="H537" s="89" t="s">
        <v>148</v>
      </c>
      <c r="I537" s="125">
        <v>41599</v>
      </c>
      <c r="K537" s="140">
        <v>0</v>
      </c>
      <c r="L537" s="140">
        <v>664</v>
      </c>
      <c r="M537" s="140">
        <v>664</v>
      </c>
      <c r="N537" s="140">
        <v>2735</v>
      </c>
      <c r="O537" s="140">
        <v>2735</v>
      </c>
      <c r="P537" s="43" t="s">
        <v>329</v>
      </c>
      <c r="Q537" s="89" t="s">
        <v>1654</v>
      </c>
      <c r="R537" s="43" t="s">
        <v>360</v>
      </c>
      <c r="S537" s="125">
        <v>42431</v>
      </c>
      <c r="T537" s="117">
        <v>42682</v>
      </c>
      <c r="V537" s="43" t="s">
        <v>317</v>
      </c>
      <c r="X537" s="43" t="s">
        <v>318</v>
      </c>
      <c r="Y537" s="43" t="s">
        <v>361</v>
      </c>
      <c r="Z537" s="43" t="s">
        <v>361</v>
      </c>
      <c r="AA537" s="43" t="s">
        <v>320</v>
      </c>
      <c r="AB537" s="144">
        <v>0.83799999952316295</v>
      </c>
      <c r="AF537" s="43" t="s">
        <v>75</v>
      </c>
      <c r="AG537" s="43" t="s">
        <v>322</v>
      </c>
      <c r="AH537" s="43" t="s">
        <v>916</v>
      </c>
      <c r="AJ537" s="140">
        <v>664</v>
      </c>
      <c r="AK537" s="140">
        <v>0</v>
      </c>
      <c r="AL537" s="140">
        <v>66</v>
      </c>
      <c r="AM537" s="140">
        <v>0</v>
      </c>
      <c r="AN537" s="140">
        <v>0</v>
      </c>
      <c r="AO537" s="140">
        <v>275</v>
      </c>
      <c r="AP537" s="140">
        <v>267</v>
      </c>
      <c r="AQ537" s="140">
        <v>95</v>
      </c>
      <c r="AR537" s="140">
        <v>8</v>
      </c>
      <c r="AS537" s="140">
        <v>19</v>
      </c>
      <c r="AT537" s="140">
        <v>0</v>
      </c>
      <c r="AU537" s="140">
        <v>0</v>
      </c>
      <c r="AV537" s="140">
        <v>275</v>
      </c>
      <c r="AW537" s="140">
        <v>267</v>
      </c>
      <c r="AX537" s="140">
        <v>95</v>
      </c>
      <c r="AY537" s="140">
        <v>8</v>
      </c>
      <c r="AZ537" s="140">
        <v>19</v>
      </c>
      <c r="BA537" s="140">
        <v>0</v>
      </c>
      <c r="BB537" s="140">
        <v>0</v>
      </c>
      <c r="BC537" s="140">
        <v>0</v>
      </c>
      <c r="BD537" s="140">
        <v>0</v>
      </c>
      <c r="BE537" s="140">
        <v>0</v>
      </c>
      <c r="BF537" s="140">
        <v>0</v>
      </c>
      <c r="BG537" s="140">
        <v>0</v>
      </c>
      <c r="BH537" s="140">
        <v>0</v>
      </c>
      <c r="BI537" s="140">
        <v>0</v>
      </c>
      <c r="BJ537" s="140">
        <v>0</v>
      </c>
      <c r="BK537" s="140">
        <v>0</v>
      </c>
      <c r="BL537" s="140">
        <v>0</v>
      </c>
      <c r="BM537" s="140">
        <v>0</v>
      </c>
      <c r="BN537" s="140">
        <v>0</v>
      </c>
      <c r="BO537" s="140">
        <v>0</v>
      </c>
      <c r="BQ537" s="43" t="s">
        <v>329</v>
      </c>
      <c r="BX537" s="43">
        <v>21</v>
      </c>
      <c r="CB537" s="90">
        <f>M537</f>
        <v>664</v>
      </c>
      <c r="CT537" s="90">
        <f t="shared" si="48"/>
        <v>664</v>
      </c>
      <c r="CU537" s="90">
        <f t="shared" si="49"/>
        <v>664</v>
      </c>
    </row>
    <row r="538" spans="1:99" ht="12" customHeight="1">
      <c r="A538" s="43">
        <v>2411</v>
      </c>
      <c r="B538" s="89" t="s">
        <v>1515</v>
      </c>
      <c r="C538" s="89" t="s">
        <v>1652</v>
      </c>
      <c r="D538" s="89" t="s">
        <v>913</v>
      </c>
      <c r="E538" s="89" t="s">
        <v>1655</v>
      </c>
      <c r="F538" s="43">
        <v>528934</v>
      </c>
      <c r="G538" s="43">
        <v>177496</v>
      </c>
      <c r="H538" s="89" t="s">
        <v>148</v>
      </c>
      <c r="I538" s="125">
        <v>41599</v>
      </c>
      <c r="K538" s="140">
        <v>0</v>
      </c>
      <c r="L538" s="140">
        <v>152</v>
      </c>
      <c r="M538" s="140">
        <v>152</v>
      </c>
      <c r="N538" s="140">
        <v>2735</v>
      </c>
      <c r="O538" s="140">
        <v>2735</v>
      </c>
      <c r="P538" s="43" t="s">
        <v>329</v>
      </c>
      <c r="Q538" s="89" t="s">
        <v>1654</v>
      </c>
      <c r="R538" s="43" t="s">
        <v>360</v>
      </c>
      <c r="S538" s="125">
        <v>42431</v>
      </c>
      <c r="T538" s="117">
        <v>42682</v>
      </c>
      <c r="V538" s="43" t="s">
        <v>317</v>
      </c>
      <c r="X538" s="43" t="s">
        <v>318</v>
      </c>
      <c r="Y538" s="43" t="s">
        <v>361</v>
      </c>
      <c r="Z538" s="43" t="s">
        <v>361</v>
      </c>
      <c r="AA538" s="43" t="s">
        <v>320</v>
      </c>
      <c r="AB538" s="144">
        <v>0.20999999344348899</v>
      </c>
      <c r="AF538" s="43" t="s">
        <v>75</v>
      </c>
      <c r="AG538" s="43" t="s">
        <v>322</v>
      </c>
      <c r="AH538" s="43" t="s">
        <v>916</v>
      </c>
      <c r="AJ538" s="140">
        <v>152</v>
      </c>
      <c r="AK538" s="140">
        <v>0</v>
      </c>
      <c r="AL538" s="140">
        <v>15</v>
      </c>
      <c r="AM538" s="140">
        <v>0</v>
      </c>
      <c r="AN538" s="140">
        <v>26</v>
      </c>
      <c r="AO538" s="140">
        <v>1</v>
      </c>
      <c r="AP538" s="140">
        <v>31</v>
      </c>
      <c r="AQ538" s="140">
        <v>55</v>
      </c>
      <c r="AR538" s="140">
        <v>14</v>
      </c>
      <c r="AS538" s="140">
        <v>25</v>
      </c>
      <c r="AT538" s="140">
        <v>0</v>
      </c>
      <c r="AU538" s="140">
        <v>26</v>
      </c>
      <c r="AV538" s="140">
        <v>1</v>
      </c>
      <c r="AW538" s="140">
        <v>31</v>
      </c>
      <c r="AX538" s="140">
        <v>55</v>
      </c>
      <c r="AY538" s="140">
        <v>14</v>
      </c>
      <c r="AZ538" s="140">
        <v>25</v>
      </c>
      <c r="BA538" s="140">
        <v>0</v>
      </c>
      <c r="BB538" s="140">
        <v>0</v>
      </c>
      <c r="BC538" s="140">
        <v>0</v>
      </c>
      <c r="BD538" s="140">
        <v>0</v>
      </c>
      <c r="BE538" s="140">
        <v>0</v>
      </c>
      <c r="BF538" s="140">
        <v>0</v>
      </c>
      <c r="BG538" s="140">
        <v>0</v>
      </c>
      <c r="BH538" s="140">
        <v>0</v>
      </c>
      <c r="BI538" s="140">
        <v>0</v>
      </c>
      <c r="BJ538" s="140">
        <v>0</v>
      </c>
      <c r="BK538" s="140">
        <v>0</v>
      </c>
      <c r="BL538" s="140">
        <v>0</v>
      </c>
      <c r="BM538" s="140">
        <v>0</v>
      </c>
      <c r="BN538" s="140">
        <v>0</v>
      </c>
      <c r="BO538" s="140">
        <v>0</v>
      </c>
      <c r="BQ538" s="43" t="s">
        <v>329</v>
      </c>
      <c r="BX538" s="43">
        <v>21</v>
      </c>
      <c r="CE538" s="90">
        <f>M538</f>
        <v>152</v>
      </c>
      <c r="CT538" s="90">
        <f t="shared" si="48"/>
        <v>0</v>
      </c>
      <c r="CU538" s="90">
        <f t="shared" si="49"/>
        <v>152</v>
      </c>
    </row>
    <row r="539" spans="1:99" ht="12" customHeight="1">
      <c r="A539" s="43">
        <v>2411</v>
      </c>
      <c r="B539" s="89" t="s">
        <v>1515</v>
      </c>
      <c r="C539" s="89" t="s">
        <v>1656</v>
      </c>
      <c r="D539" s="89" t="s">
        <v>913</v>
      </c>
      <c r="E539" s="89" t="s">
        <v>1657</v>
      </c>
      <c r="F539" s="43">
        <v>528934</v>
      </c>
      <c r="G539" s="43">
        <v>177496</v>
      </c>
      <c r="H539" s="89" t="s">
        <v>148</v>
      </c>
      <c r="I539" s="125">
        <v>42506</v>
      </c>
      <c r="K539" s="140">
        <v>0</v>
      </c>
      <c r="L539" s="140">
        <v>147</v>
      </c>
      <c r="M539" s="140">
        <v>147</v>
      </c>
      <c r="N539" s="140">
        <v>1192</v>
      </c>
      <c r="O539" s="140">
        <v>1192</v>
      </c>
      <c r="P539" s="43" t="s">
        <v>329</v>
      </c>
      <c r="Q539" s="89" t="s">
        <v>1658</v>
      </c>
      <c r="R539" s="43" t="s">
        <v>460</v>
      </c>
      <c r="S539" s="125">
        <v>42809</v>
      </c>
      <c r="T539" s="117">
        <v>43049</v>
      </c>
      <c r="V539" s="43" t="s">
        <v>317</v>
      </c>
      <c r="X539" s="43" t="s">
        <v>318</v>
      </c>
      <c r="Y539" s="43" t="s">
        <v>361</v>
      </c>
      <c r="Z539" s="43" t="s">
        <v>361</v>
      </c>
      <c r="AA539" s="43" t="s">
        <v>320</v>
      </c>
      <c r="AB539" s="144">
        <v>0.18600000441074399</v>
      </c>
      <c r="AF539" s="43" t="s">
        <v>54</v>
      </c>
      <c r="AG539" s="43" t="s">
        <v>1659</v>
      </c>
      <c r="AH539" s="43" t="s">
        <v>916</v>
      </c>
      <c r="AJ539" s="140">
        <v>147</v>
      </c>
      <c r="AK539" s="140">
        <v>0</v>
      </c>
      <c r="AL539" s="140">
        <v>15</v>
      </c>
      <c r="AM539" s="140">
        <v>0</v>
      </c>
      <c r="AN539" s="140">
        <v>0</v>
      </c>
      <c r="AO539" s="140">
        <v>21</v>
      </c>
      <c r="AP539" s="140">
        <v>71</v>
      </c>
      <c r="AQ539" s="140">
        <v>47</v>
      </c>
      <c r="AR539" s="140">
        <v>8</v>
      </c>
      <c r="AS539" s="140">
        <v>0</v>
      </c>
      <c r="AT539" s="140">
        <v>0</v>
      </c>
      <c r="AU539" s="140">
        <v>0</v>
      </c>
      <c r="AV539" s="140">
        <v>21</v>
      </c>
      <c r="AW539" s="140">
        <v>71</v>
      </c>
      <c r="AX539" s="140">
        <v>47</v>
      </c>
      <c r="AY539" s="140">
        <v>8</v>
      </c>
      <c r="AZ539" s="140">
        <v>0</v>
      </c>
      <c r="BA539" s="140">
        <v>0</v>
      </c>
      <c r="BB539" s="140">
        <v>0</v>
      </c>
      <c r="BC539" s="140">
        <v>0</v>
      </c>
      <c r="BD539" s="140">
        <v>0</v>
      </c>
      <c r="BE539" s="140">
        <v>0</v>
      </c>
      <c r="BF539" s="140">
        <v>0</v>
      </c>
      <c r="BG539" s="140">
        <v>0</v>
      </c>
      <c r="BH539" s="140">
        <v>0</v>
      </c>
      <c r="BI539" s="140">
        <v>0</v>
      </c>
      <c r="BJ539" s="140">
        <v>0</v>
      </c>
      <c r="BK539" s="140">
        <v>0</v>
      </c>
      <c r="BL539" s="140">
        <v>0</v>
      </c>
      <c r="BM539" s="140">
        <v>0</v>
      </c>
      <c r="BN539" s="140">
        <v>0</v>
      </c>
      <c r="BO539" s="140">
        <v>0</v>
      </c>
      <c r="BQ539" s="43" t="s">
        <v>329</v>
      </c>
      <c r="BX539" s="43">
        <v>21</v>
      </c>
      <c r="CF539" s="90">
        <f>M539</f>
        <v>147</v>
      </c>
      <c r="CT539" s="90">
        <f t="shared" si="48"/>
        <v>0</v>
      </c>
      <c r="CU539" s="90">
        <f t="shared" si="49"/>
        <v>147</v>
      </c>
    </row>
    <row r="540" spans="1:99" ht="12" customHeight="1">
      <c r="A540" s="43">
        <v>2411</v>
      </c>
      <c r="B540" s="89" t="s">
        <v>1515</v>
      </c>
      <c r="C540" s="89" t="s">
        <v>1656</v>
      </c>
      <c r="D540" s="89" t="s">
        <v>913</v>
      </c>
      <c r="E540" s="89" t="s">
        <v>1657</v>
      </c>
      <c r="F540" s="43">
        <v>528934</v>
      </c>
      <c r="G540" s="43">
        <v>177496</v>
      </c>
      <c r="H540" s="89" t="s">
        <v>148</v>
      </c>
      <c r="I540" s="125">
        <v>42506</v>
      </c>
      <c r="K540" s="140">
        <v>0</v>
      </c>
      <c r="L540" s="140">
        <v>11</v>
      </c>
      <c r="M540" s="140">
        <v>11</v>
      </c>
      <c r="N540" s="140">
        <v>1192</v>
      </c>
      <c r="O540" s="140">
        <v>1192</v>
      </c>
      <c r="P540" s="43" t="s">
        <v>329</v>
      </c>
      <c r="Q540" s="89" t="s">
        <v>1658</v>
      </c>
      <c r="R540" s="43" t="s">
        <v>460</v>
      </c>
      <c r="S540" s="125">
        <v>42809</v>
      </c>
      <c r="T540" s="117">
        <v>43049</v>
      </c>
      <c r="V540" s="43" t="s">
        <v>317</v>
      </c>
      <c r="X540" s="43" t="s">
        <v>318</v>
      </c>
      <c r="Y540" s="43" t="s">
        <v>361</v>
      </c>
      <c r="Z540" s="43" t="s">
        <v>361</v>
      </c>
      <c r="AA540" s="43" t="s">
        <v>320</v>
      </c>
      <c r="AB540" s="144">
        <v>1.4000000432133701E-2</v>
      </c>
      <c r="AF540" s="43" t="s">
        <v>54</v>
      </c>
      <c r="AG540" s="43" t="s">
        <v>831</v>
      </c>
      <c r="AH540" s="43" t="s">
        <v>916</v>
      </c>
      <c r="AJ540" s="140">
        <v>11</v>
      </c>
      <c r="AK540" s="140">
        <v>0</v>
      </c>
      <c r="AL540" s="140">
        <v>1</v>
      </c>
      <c r="AM540" s="140">
        <v>0</v>
      </c>
      <c r="AN540" s="140">
        <v>0</v>
      </c>
      <c r="AO540" s="140">
        <v>11</v>
      </c>
      <c r="AP540" s="140">
        <v>0</v>
      </c>
      <c r="AQ540" s="140">
        <v>0</v>
      </c>
      <c r="AR540" s="140">
        <v>0</v>
      </c>
      <c r="AS540" s="140">
        <v>0</v>
      </c>
      <c r="AT540" s="140">
        <v>0</v>
      </c>
      <c r="AU540" s="140">
        <v>0</v>
      </c>
      <c r="AV540" s="140">
        <v>11</v>
      </c>
      <c r="AW540" s="140">
        <v>0</v>
      </c>
      <c r="AX540" s="140">
        <v>0</v>
      </c>
      <c r="AY540" s="140">
        <v>0</v>
      </c>
      <c r="AZ540" s="140">
        <v>0</v>
      </c>
      <c r="BA540" s="140">
        <v>0</v>
      </c>
      <c r="BB540" s="140">
        <v>0</v>
      </c>
      <c r="BC540" s="140">
        <v>0</v>
      </c>
      <c r="BD540" s="140">
        <v>0</v>
      </c>
      <c r="BE540" s="140">
        <v>0</v>
      </c>
      <c r="BF540" s="140">
        <v>0</v>
      </c>
      <c r="BG540" s="140">
        <v>0</v>
      </c>
      <c r="BH540" s="140">
        <v>0</v>
      </c>
      <c r="BI540" s="140">
        <v>0</v>
      </c>
      <c r="BJ540" s="140">
        <v>0</v>
      </c>
      <c r="BK540" s="140">
        <v>0</v>
      </c>
      <c r="BL540" s="140">
        <v>0</v>
      </c>
      <c r="BM540" s="140">
        <v>0</v>
      </c>
      <c r="BN540" s="140">
        <v>0</v>
      </c>
      <c r="BO540" s="140">
        <v>0</v>
      </c>
      <c r="BQ540" s="43" t="s">
        <v>329</v>
      </c>
      <c r="BX540" s="43">
        <v>21</v>
      </c>
      <c r="CF540" s="90">
        <f>M540</f>
        <v>11</v>
      </c>
      <c r="CT540" s="90">
        <f t="shared" si="48"/>
        <v>0</v>
      </c>
      <c r="CU540" s="90">
        <f t="shared" si="49"/>
        <v>11</v>
      </c>
    </row>
    <row r="541" spans="1:99" ht="12" customHeight="1">
      <c r="A541" s="43">
        <v>2411</v>
      </c>
      <c r="B541" s="89" t="s">
        <v>1515</v>
      </c>
      <c r="C541" s="89" t="s">
        <v>1656</v>
      </c>
      <c r="D541" s="89" t="s">
        <v>913</v>
      </c>
      <c r="E541" s="89" t="s">
        <v>1660</v>
      </c>
      <c r="F541" s="43">
        <v>528934</v>
      </c>
      <c r="G541" s="43">
        <v>177496</v>
      </c>
      <c r="H541" s="89" t="s">
        <v>148</v>
      </c>
      <c r="I541" s="125">
        <v>42506</v>
      </c>
      <c r="K541" s="140">
        <v>0</v>
      </c>
      <c r="L541" s="140">
        <v>306</v>
      </c>
      <c r="M541" s="140">
        <v>306</v>
      </c>
      <c r="N541" s="140">
        <v>1192</v>
      </c>
      <c r="O541" s="140">
        <v>1192</v>
      </c>
      <c r="P541" s="43" t="s">
        <v>329</v>
      </c>
      <c r="Q541" s="89" t="s">
        <v>1658</v>
      </c>
      <c r="R541" s="43" t="s">
        <v>460</v>
      </c>
      <c r="S541" s="125">
        <v>42809</v>
      </c>
      <c r="T541" s="117">
        <v>43049</v>
      </c>
      <c r="V541" s="43" t="s">
        <v>317</v>
      </c>
      <c r="X541" s="43" t="s">
        <v>318</v>
      </c>
      <c r="Y541" s="43" t="s">
        <v>361</v>
      </c>
      <c r="Z541" s="43" t="s">
        <v>361</v>
      </c>
      <c r="AA541" s="43" t="s">
        <v>320</v>
      </c>
      <c r="AB541" s="144">
        <v>0.38600000739097601</v>
      </c>
      <c r="AF541" s="43" t="s">
        <v>75</v>
      </c>
      <c r="AG541" s="43" t="s">
        <v>322</v>
      </c>
      <c r="AH541" s="43" t="s">
        <v>916</v>
      </c>
      <c r="AJ541" s="140">
        <v>306</v>
      </c>
      <c r="AK541" s="140">
        <v>0</v>
      </c>
      <c r="AL541" s="140">
        <v>31</v>
      </c>
      <c r="AM541" s="140">
        <v>0</v>
      </c>
      <c r="AN541" s="140">
        <v>29</v>
      </c>
      <c r="AO541" s="140">
        <v>0</v>
      </c>
      <c r="AP541" s="140">
        <v>36</v>
      </c>
      <c r="AQ541" s="140">
        <v>140</v>
      </c>
      <c r="AR541" s="140">
        <v>35</v>
      </c>
      <c r="AS541" s="140">
        <v>66</v>
      </c>
      <c r="AT541" s="140">
        <v>0</v>
      </c>
      <c r="AU541" s="140">
        <v>29</v>
      </c>
      <c r="AV541" s="140">
        <v>0</v>
      </c>
      <c r="AW541" s="140">
        <v>36</v>
      </c>
      <c r="AX541" s="140">
        <v>140</v>
      </c>
      <c r="AY541" s="140">
        <v>35</v>
      </c>
      <c r="AZ541" s="140">
        <v>66</v>
      </c>
      <c r="BA541" s="140">
        <v>0</v>
      </c>
      <c r="BB541" s="140">
        <v>0</v>
      </c>
      <c r="BC541" s="140">
        <v>0</v>
      </c>
      <c r="BD541" s="140">
        <v>0</v>
      </c>
      <c r="BE541" s="140">
        <v>0</v>
      </c>
      <c r="BF541" s="140">
        <v>0</v>
      </c>
      <c r="BG541" s="140">
        <v>0</v>
      </c>
      <c r="BH541" s="140">
        <v>0</v>
      </c>
      <c r="BI541" s="140">
        <v>0</v>
      </c>
      <c r="BJ541" s="140">
        <v>0</v>
      </c>
      <c r="BK541" s="140">
        <v>0</v>
      </c>
      <c r="BL541" s="140">
        <v>0</v>
      </c>
      <c r="BM541" s="140">
        <v>0</v>
      </c>
      <c r="BN541" s="140">
        <v>0</v>
      </c>
      <c r="BO541" s="140">
        <v>0</v>
      </c>
      <c r="BQ541" s="43" t="s">
        <v>329</v>
      </c>
      <c r="BX541" s="43">
        <v>21</v>
      </c>
      <c r="CD541" s="90">
        <f>M541</f>
        <v>306</v>
      </c>
      <c r="CT541" s="90">
        <f t="shared" si="48"/>
        <v>306</v>
      </c>
      <c r="CU541" s="90">
        <f t="shared" si="49"/>
        <v>306</v>
      </c>
    </row>
    <row r="542" spans="1:99" ht="12" customHeight="1">
      <c r="A542" s="43">
        <v>2411</v>
      </c>
      <c r="B542" s="89" t="s">
        <v>1515</v>
      </c>
      <c r="C542" s="89" t="s">
        <v>1656</v>
      </c>
      <c r="D542" s="89" t="s">
        <v>913</v>
      </c>
      <c r="E542" s="89" t="s">
        <v>1660</v>
      </c>
      <c r="F542" s="43">
        <v>528934</v>
      </c>
      <c r="G542" s="43">
        <v>177496</v>
      </c>
      <c r="H542" s="89" t="s">
        <v>148</v>
      </c>
      <c r="I542" s="125">
        <v>42506</v>
      </c>
      <c r="K542" s="140">
        <v>0</v>
      </c>
      <c r="L542" s="140">
        <v>92</v>
      </c>
      <c r="M542" s="140">
        <v>92</v>
      </c>
      <c r="N542" s="140">
        <v>1192</v>
      </c>
      <c r="O542" s="140">
        <v>1192</v>
      </c>
      <c r="P542" s="43" t="s">
        <v>329</v>
      </c>
      <c r="Q542" s="89" t="s">
        <v>1658</v>
      </c>
      <c r="R542" s="43" t="s">
        <v>460</v>
      </c>
      <c r="S542" s="125">
        <v>42809</v>
      </c>
      <c r="T542" s="117">
        <v>43049</v>
      </c>
      <c r="V542" s="43" t="s">
        <v>317</v>
      </c>
      <c r="X542" s="43" t="s">
        <v>318</v>
      </c>
      <c r="Y542" s="43" t="s">
        <v>361</v>
      </c>
      <c r="Z542" s="43" t="s">
        <v>361</v>
      </c>
      <c r="AA542" s="43" t="s">
        <v>320</v>
      </c>
      <c r="AB542" s="144">
        <v>0.11599999666214</v>
      </c>
      <c r="AF542" s="43" t="s">
        <v>54</v>
      </c>
      <c r="AG542" s="43" t="s">
        <v>831</v>
      </c>
      <c r="AH542" s="43" t="s">
        <v>916</v>
      </c>
      <c r="AJ542" s="140">
        <v>92</v>
      </c>
      <c r="AK542" s="140">
        <v>0</v>
      </c>
      <c r="AL542" s="140">
        <v>9</v>
      </c>
      <c r="AM542" s="140">
        <v>0</v>
      </c>
      <c r="AN542" s="140">
        <v>0</v>
      </c>
      <c r="AO542" s="140">
        <v>41</v>
      </c>
      <c r="AP542" s="140">
        <v>48</v>
      </c>
      <c r="AQ542" s="140">
        <v>3</v>
      </c>
      <c r="AR542" s="140">
        <v>0</v>
      </c>
      <c r="AS542" s="140">
        <v>0</v>
      </c>
      <c r="AT542" s="140">
        <v>0</v>
      </c>
      <c r="AU542" s="140">
        <v>0</v>
      </c>
      <c r="AV542" s="140">
        <v>41</v>
      </c>
      <c r="AW542" s="140">
        <v>48</v>
      </c>
      <c r="AX542" s="140">
        <v>3</v>
      </c>
      <c r="AY542" s="140">
        <v>0</v>
      </c>
      <c r="AZ542" s="140">
        <v>0</v>
      </c>
      <c r="BA542" s="140">
        <v>0</v>
      </c>
      <c r="BB542" s="140">
        <v>0</v>
      </c>
      <c r="BC542" s="140">
        <v>0</v>
      </c>
      <c r="BD542" s="140">
        <v>0</v>
      </c>
      <c r="BE542" s="140">
        <v>0</v>
      </c>
      <c r="BF542" s="140">
        <v>0</v>
      </c>
      <c r="BG542" s="140">
        <v>0</v>
      </c>
      <c r="BH542" s="140">
        <v>0</v>
      </c>
      <c r="BI542" s="140">
        <v>0</v>
      </c>
      <c r="BJ542" s="140">
        <v>0</v>
      </c>
      <c r="BK542" s="140">
        <v>0</v>
      </c>
      <c r="BL542" s="140">
        <v>0</v>
      </c>
      <c r="BM542" s="140">
        <v>0</v>
      </c>
      <c r="BN542" s="140">
        <v>0</v>
      </c>
      <c r="BO542" s="140">
        <v>0</v>
      </c>
      <c r="BQ542" s="43" t="s">
        <v>329</v>
      </c>
      <c r="BX542" s="43">
        <v>21</v>
      </c>
      <c r="CD542" s="90">
        <f>M542</f>
        <v>92</v>
      </c>
      <c r="CT542" s="90">
        <f t="shared" si="48"/>
        <v>92</v>
      </c>
      <c r="CU542" s="90">
        <f t="shared" si="49"/>
        <v>92</v>
      </c>
    </row>
    <row r="543" spans="1:99" ht="12" customHeight="1">
      <c r="A543" s="43">
        <v>2492</v>
      </c>
      <c r="B543" s="89" t="s">
        <v>1515</v>
      </c>
      <c r="C543" s="89" t="s">
        <v>1661</v>
      </c>
      <c r="D543" s="89" t="s">
        <v>1662</v>
      </c>
      <c r="E543" s="89" t="s">
        <v>1663</v>
      </c>
      <c r="F543" s="43">
        <v>528761</v>
      </c>
      <c r="G543" s="43">
        <v>172884</v>
      </c>
      <c r="H543" s="89" t="s">
        <v>167</v>
      </c>
      <c r="K543" s="140">
        <v>0</v>
      </c>
      <c r="L543" s="140">
        <v>2</v>
      </c>
      <c r="M543" s="140">
        <v>2</v>
      </c>
      <c r="N543" s="140">
        <v>3</v>
      </c>
      <c r="O543" s="140">
        <v>3</v>
      </c>
      <c r="Q543" s="89" t="s">
        <v>1664</v>
      </c>
      <c r="R543" s="43" t="s">
        <v>316</v>
      </c>
      <c r="S543" s="125">
        <v>43410</v>
      </c>
      <c r="T543" s="117">
        <v>43493</v>
      </c>
      <c r="V543" s="43" t="s">
        <v>317</v>
      </c>
      <c r="X543" s="43" t="s">
        <v>318</v>
      </c>
      <c r="Y543" s="43" t="s">
        <v>319</v>
      </c>
      <c r="Z543" s="43" t="s">
        <v>320</v>
      </c>
      <c r="AA543" s="43" t="s">
        <v>340</v>
      </c>
      <c r="AB543" s="144">
        <v>1.09999999403954E-2</v>
      </c>
      <c r="AF543" s="43" t="s">
        <v>75</v>
      </c>
      <c r="AG543" s="43" t="s">
        <v>322</v>
      </c>
      <c r="AJ543" s="140">
        <v>0</v>
      </c>
      <c r="AK543" s="140">
        <v>0</v>
      </c>
      <c r="AL543" s="140">
        <v>0</v>
      </c>
      <c r="AM543" s="140">
        <v>0</v>
      </c>
      <c r="AN543" s="140">
        <v>0</v>
      </c>
      <c r="AO543" s="140">
        <v>0</v>
      </c>
      <c r="AP543" s="140">
        <v>2</v>
      </c>
      <c r="AQ543" s="140">
        <v>0</v>
      </c>
      <c r="AR543" s="140">
        <v>0</v>
      </c>
      <c r="AS543" s="140">
        <v>0</v>
      </c>
      <c r="AT543" s="140">
        <v>0</v>
      </c>
      <c r="AU543" s="140">
        <v>0</v>
      </c>
      <c r="AV543" s="140">
        <v>0</v>
      </c>
      <c r="AW543" s="140">
        <v>2</v>
      </c>
      <c r="AX543" s="140">
        <v>0</v>
      </c>
      <c r="AY543" s="140">
        <v>0</v>
      </c>
      <c r="AZ543" s="140">
        <v>0</v>
      </c>
      <c r="BA543" s="140">
        <v>0</v>
      </c>
      <c r="BB543" s="140">
        <v>0</v>
      </c>
      <c r="BC543" s="140">
        <v>0</v>
      </c>
      <c r="BD543" s="140">
        <v>0</v>
      </c>
      <c r="BE543" s="140">
        <v>0</v>
      </c>
      <c r="BF543" s="140">
        <v>0</v>
      </c>
      <c r="BG543" s="140">
        <v>0</v>
      </c>
      <c r="BH543" s="140">
        <v>0</v>
      </c>
      <c r="BI543" s="140">
        <v>0</v>
      </c>
      <c r="BJ543" s="140">
        <v>0</v>
      </c>
      <c r="BK543" s="140">
        <v>0</v>
      </c>
      <c r="BL543" s="140">
        <v>0</v>
      </c>
      <c r="BM543" s="140">
        <v>0</v>
      </c>
      <c r="BN543" s="140">
        <v>0</v>
      </c>
      <c r="BO543" s="140">
        <v>0</v>
      </c>
      <c r="BX543" s="43">
        <v>15</v>
      </c>
      <c r="BZ543" s="90">
        <f t="shared" ref="BZ543:CB544" si="56">$M543/3</f>
        <v>0.66666666666666663</v>
      </c>
      <c r="CA543" s="90">
        <f t="shared" si="56"/>
        <v>0.66666666666666663</v>
      </c>
      <c r="CB543" s="90">
        <f t="shared" si="56"/>
        <v>0.66666666666666663</v>
      </c>
      <c r="CT543" s="90">
        <f t="shared" si="48"/>
        <v>2</v>
      </c>
      <c r="CU543" s="90">
        <f t="shared" si="49"/>
        <v>2</v>
      </c>
    </row>
    <row r="544" spans="1:99" ht="12" customHeight="1">
      <c r="A544" s="43">
        <v>2492</v>
      </c>
      <c r="B544" s="89" t="s">
        <v>1515</v>
      </c>
      <c r="C544" s="89" t="s">
        <v>1661</v>
      </c>
      <c r="D544" s="89" t="s">
        <v>1662</v>
      </c>
      <c r="E544" s="89" t="s">
        <v>59</v>
      </c>
      <c r="F544" s="43">
        <v>528761</v>
      </c>
      <c r="G544" s="43">
        <v>172884</v>
      </c>
      <c r="H544" s="89" t="s">
        <v>167</v>
      </c>
      <c r="K544" s="140">
        <v>0</v>
      </c>
      <c r="L544" s="140">
        <v>1</v>
      </c>
      <c r="M544" s="140">
        <v>1</v>
      </c>
      <c r="N544" s="140">
        <v>3</v>
      </c>
      <c r="O544" s="140">
        <v>3</v>
      </c>
      <c r="Q544" s="89" t="s">
        <v>1664</v>
      </c>
      <c r="R544" s="43" t="s">
        <v>316</v>
      </c>
      <c r="S544" s="125">
        <v>43410</v>
      </c>
      <c r="T544" s="117">
        <v>43493</v>
      </c>
      <c r="V544" s="43" t="s">
        <v>317</v>
      </c>
      <c r="X544" s="43" t="s">
        <v>318</v>
      </c>
      <c r="Y544" s="43" t="s">
        <v>319</v>
      </c>
      <c r="Z544" s="43" t="s">
        <v>320</v>
      </c>
      <c r="AA544" s="43" t="s">
        <v>353</v>
      </c>
      <c r="AB544" s="144">
        <v>1.4999999664723899E-2</v>
      </c>
      <c r="AF544" s="43" t="s">
        <v>75</v>
      </c>
      <c r="AG544" s="43" t="s">
        <v>322</v>
      </c>
      <c r="AJ544" s="140">
        <v>0</v>
      </c>
      <c r="AK544" s="140">
        <v>0</v>
      </c>
      <c r="AL544" s="140">
        <v>0</v>
      </c>
      <c r="AM544" s="140">
        <v>1</v>
      </c>
      <c r="AN544" s="140">
        <v>0</v>
      </c>
      <c r="AO544" s="140">
        <v>0</v>
      </c>
      <c r="AP544" s="140">
        <v>0</v>
      </c>
      <c r="AQ544" s="140">
        <v>0</v>
      </c>
      <c r="AR544" s="140">
        <v>1</v>
      </c>
      <c r="AS544" s="140">
        <v>0</v>
      </c>
      <c r="AT544" s="140">
        <v>0</v>
      </c>
      <c r="AU544" s="140">
        <v>0</v>
      </c>
      <c r="AV544" s="140">
        <v>0</v>
      </c>
      <c r="AW544" s="140">
        <v>0</v>
      </c>
      <c r="AX544" s="140">
        <v>0</v>
      </c>
      <c r="AY544" s="140">
        <v>1</v>
      </c>
      <c r="AZ544" s="140">
        <v>0</v>
      </c>
      <c r="BA544" s="140">
        <v>0</v>
      </c>
      <c r="BB544" s="140">
        <v>0</v>
      </c>
      <c r="BC544" s="140">
        <v>0</v>
      </c>
      <c r="BD544" s="140">
        <v>0</v>
      </c>
      <c r="BE544" s="140">
        <v>0</v>
      </c>
      <c r="BF544" s="140">
        <v>0</v>
      </c>
      <c r="BG544" s="140">
        <v>0</v>
      </c>
      <c r="BH544" s="140">
        <v>0</v>
      </c>
      <c r="BI544" s="140">
        <v>0</v>
      </c>
      <c r="BJ544" s="140">
        <v>0</v>
      </c>
      <c r="BK544" s="140">
        <v>0</v>
      </c>
      <c r="BL544" s="140">
        <v>0</v>
      </c>
      <c r="BM544" s="140">
        <v>0</v>
      </c>
      <c r="BN544" s="140">
        <v>0</v>
      </c>
      <c r="BO544" s="140">
        <v>0</v>
      </c>
      <c r="BX544" s="43">
        <v>15</v>
      </c>
      <c r="BZ544" s="90">
        <f t="shared" si="56"/>
        <v>0.33333333333333331</v>
      </c>
      <c r="CA544" s="90">
        <f t="shared" si="56"/>
        <v>0.33333333333333331</v>
      </c>
      <c r="CB544" s="90">
        <f t="shared" si="56"/>
        <v>0.33333333333333331</v>
      </c>
      <c r="CT544" s="90">
        <f t="shared" si="48"/>
        <v>1</v>
      </c>
      <c r="CU544" s="90">
        <f t="shared" si="49"/>
        <v>1</v>
      </c>
    </row>
    <row r="545" spans="1:99" ht="12" customHeight="1">
      <c r="A545" s="43">
        <v>2502</v>
      </c>
      <c r="B545" s="89" t="s">
        <v>1515</v>
      </c>
      <c r="C545" s="89" t="s">
        <v>1665</v>
      </c>
      <c r="D545" s="89" t="s">
        <v>1666</v>
      </c>
      <c r="E545" s="89" t="s">
        <v>1667</v>
      </c>
      <c r="F545" s="43">
        <v>527221</v>
      </c>
      <c r="G545" s="43">
        <v>172443</v>
      </c>
      <c r="H545" s="89" t="s">
        <v>179</v>
      </c>
      <c r="I545" s="125">
        <v>42244</v>
      </c>
      <c r="K545" s="140">
        <v>0</v>
      </c>
      <c r="L545" s="140">
        <v>46</v>
      </c>
      <c r="M545" s="140">
        <v>46</v>
      </c>
      <c r="N545" s="140">
        <v>839</v>
      </c>
      <c r="O545" s="140">
        <v>839</v>
      </c>
      <c r="P545" s="43" t="s">
        <v>329</v>
      </c>
      <c r="Q545" s="89" t="s">
        <v>1668</v>
      </c>
      <c r="R545" s="43" t="s">
        <v>383</v>
      </c>
      <c r="S545" s="125">
        <v>40431</v>
      </c>
      <c r="T545" s="117">
        <v>40587</v>
      </c>
      <c r="V545" s="43" t="s">
        <v>384</v>
      </c>
      <c r="W545" s="117">
        <v>41082</v>
      </c>
      <c r="X545" s="43" t="s">
        <v>318</v>
      </c>
      <c r="Y545" s="43" t="s">
        <v>319</v>
      </c>
      <c r="Z545" s="43" t="s">
        <v>361</v>
      </c>
      <c r="AA545" s="43" t="s">
        <v>320</v>
      </c>
      <c r="AB545" s="144">
        <v>0.64399999380111705</v>
      </c>
      <c r="AF545" s="43" t="s">
        <v>55</v>
      </c>
      <c r="AG545" s="43" t="s">
        <v>526</v>
      </c>
      <c r="AH545" s="43" t="s">
        <v>1669</v>
      </c>
      <c r="AJ545" s="140">
        <v>46</v>
      </c>
      <c r="AK545" s="140">
        <v>0</v>
      </c>
      <c r="AL545" s="140">
        <v>4</v>
      </c>
      <c r="AM545" s="140">
        <v>0</v>
      </c>
      <c r="AN545" s="140">
        <v>0</v>
      </c>
      <c r="AO545" s="140">
        <v>40</v>
      </c>
      <c r="AP545" s="140">
        <v>6</v>
      </c>
      <c r="AQ545" s="140">
        <v>0</v>
      </c>
      <c r="AR545" s="140">
        <v>0</v>
      </c>
      <c r="AS545" s="140">
        <v>0</v>
      </c>
      <c r="AT545" s="140">
        <v>0</v>
      </c>
      <c r="AU545" s="140">
        <v>0</v>
      </c>
      <c r="AV545" s="140">
        <v>40</v>
      </c>
      <c r="AW545" s="140">
        <v>6</v>
      </c>
      <c r="AX545" s="140">
        <v>0</v>
      </c>
      <c r="AY545" s="140">
        <v>0</v>
      </c>
      <c r="AZ545" s="140">
        <v>0</v>
      </c>
      <c r="BA545" s="140">
        <v>0</v>
      </c>
      <c r="BB545" s="140">
        <v>0</v>
      </c>
      <c r="BC545" s="140">
        <v>0</v>
      </c>
      <c r="BD545" s="140">
        <v>0</v>
      </c>
      <c r="BE545" s="140">
        <v>0</v>
      </c>
      <c r="BF545" s="140">
        <v>0</v>
      </c>
      <c r="BG545" s="140">
        <v>0</v>
      </c>
      <c r="BH545" s="140">
        <v>0</v>
      </c>
      <c r="BI545" s="140">
        <v>0</v>
      </c>
      <c r="BJ545" s="140">
        <v>0</v>
      </c>
      <c r="BK545" s="140">
        <v>0</v>
      </c>
      <c r="BL545" s="140">
        <v>0</v>
      </c>
      <c r="BM545" s="140">
        <v>0</v>
      </c>
      <c r="BN545" s="140">
        <v>0</v>
      </c>
      <c r="BO545" s="140">
        <v>0</v>
      </c>
      <c r="BX545" s="43">
        <v>7</v>
      </c>
      <c r="CA545" s="90">
        <f t="shared" ref="CA545:CC546" si="57">$M545*0.769716088328076*1/3</f>
        <v>11.802313354363832</v>
      </c>
      <c r="CB545" s="90">
        <f t="shared" si="57"/>
        <v>11.802313354363832</v>
      </c>
      <c r="CC545" s="90">
        <f t="shared" si="57"/>
        <v>11.802313354363832</v>
      </c>
      <c r="CE545" s="90">
        <f>M545*0.230283911671924</f>
        <v>10.593059936908503</v>
      </c>
      <c r="CT545" s="90">
        <f t="shared" si="48"/>
        <v>35.406940063091497</v>
      </c>
      <c r="CU545" s="90">
        <f t="shared" si="49"/>
        <v>46</v>
      </c>
    </row>
    <row r="546" spans="1:99" ht="12" customHeight="1">
      <c r="A546" s="43">
        <v>2502</v>
      </c>
      <c r="B546" s="89" t="s">
        <v>1515</v>
      </c>
      <c r="C546" s="89" t="s">
        <v>1665</v>
      </c>
      <c r="D546" s="89" t="s">
        <v>1666</v>
      </c>
      <c r="E546" s="89" t="s">
        <v>1670</v>
      </c>
      <c r="F546" s="43">
        <v>527221</v>
      </c>
      <c r="G546" s="43">
        <v>172443</v>
      </c>
      <c r="H546" s="89" t="s">
        <v>179</v>
      </c>
      <c r="I546" s="125">
        <v>42244</v>
      </c>
      <c r="K546" s="140">
        <v>0</v>
      </c>
      <c r="L546" s="140">
        <v>10</v>
      </c>
      <c r="M546" s="140">
        <v>10</v>
      </c>
      <c r="N546" s="140">
        <v>839</v>
      </c>
      <c r="O546" s="140">
        <v>839</v>
      </c>
      <c r="P546" s="43" t="s">
        <v>329</v>
      </c>
      <c r="Q546" s="89" t="s">
        <v>1668</v>
      </c>
      <c r="R546" s="43" t="s">
        <v>383</v>
      </c>
      <c r="S546" s="125">
        <v>40431</v>
      </c>
      <c r="T546" s="117">
        <v>40587</v>
      </c>
      <c r="V546" s="43" t="s">
        <v>384</v>
      </c>
      <c r="W546" s="117">
        <v>41082</v>
      </c>
      <c r="X546" s="43" t="s">
        <v>318</v>
      </c>
      <c r="Y546" s="43" t="s">
        <v>319</v>
      </c>
      <c r="Z546" s="43" t="s">
        <v>361</v>
      </c>
      <c r="AA546" s="43" t="s">
        <v>320</v>
      </c>
      <c r="AB546" s="144">
        <v>1.4000000432133701E-2</v>
      </c>
      <c r="AF546" s="43" t="s">
        <v>55</v>
      </c>
      <c r="AG546" s="43" t="s">
        <v>457</v>
      </c>
      <c r="AH546" s="43" t="s">
        <v>1669</v>
      </c>
      <c r="AJ546" s="140">
        <v>10</v>
      </c>
      <c r="AK546" s="140">
        <v>0</v>
      </c>
      <c r="AL546" s="140">
        <v>1</v>
      </c>
      <c r="AM546" s="140">
        <v>0</v>
      </c>
      <c r="AN546" s="140">
        <v>0</v>
      </c>
      <c r="AO546" s="140">
        <v>10</v>
      </c>
      <c r="AP546" s="140">
        <v>0</v>
      </c>
      <c r="AQ546" s="140">
        <v>0</v>
      </c>
      <c r="AR546" s="140">
        <v>0</v>
      </c>
      <c r="AS546" s="140">
        <v>0</v>
      </c>
      <c r="AT546" s="140">
        <v>0</v>
      </c>
      <c r="AU546" s="140">
        <v>0</v>
      </c>
      <c r="AV546" s="140">
        <v>10</v>
      </c>
      <c r="AW546" s="140">
        <v>0</v>
      </c>
      <c r="AX546" s="140">
        <v>0</v>
      </c>
      <c r="AY546" s="140">
        <v>0</v>
      </c>
      <c r="AZ546" s="140">
        <v>0</v>
      </c>
      <c r="BA546" s="140">
        <v>0</v>
      </c>
      <c r="BB546" s="140">
        <v>0</v>
      </c>
      <c r="BC546" s="140">
        <v>0</v>
      </c>
      <c r="BD546" s="140">
        <v>0</v>
      </c>
      <c r="BE546" s="140">
        <v>0</v>
      </c>
      <c r="BF546" s="140">
        <v>0</v>
      </c>
      <c r="BG546" s="140">
        <v>0</v>
      </c>
      <c r="BH546" s="140">
        <v>0</v>
      </c>
      <c r="BI546" s="140">
        <v>0</v>
      </c>
      <c r="BJ546" s="140">
        <v>0</v>
      </c>
      <c r="BK546" s="140">
        <v>0</v>
      </c>
      <c r="BL546" s="140">
        <v>0</v>
      </c>
      <c r="BM546" s="140">
        <v>0</v>
      </c>
      <c r="BN546" s="140">
        <v>0</v>
      </c>
      <c r="BO546" s="140">
        <v>0</v>
      </c>
      <c r="BX546" s="43">
        <v>7</v>
      </c>
      <c r="CA546" s="90">
        <f t="shared" si="57"/>
        <v>2.5657202944269204</v>
      </c>
      <c r="CB546" s="90">
        <f t="shared" si="57"/>
        <v>2.5657202944269204</v>
      </c>
      <c r="CC546" s="90">
        <f t="shared" si="57"/>
        <v>2.5657202944269204</v>
      </c>
      <c r="CE546" s="90">
        <f>M546*0.230283911671924</f>
        <v>2.3028391167192401</v>
      </c>
      <c r="CT546" s="90">
        <f t="shared" si="48"/>
        <v>7.6971608832807608</v>
      </c>
      <c r="CU546" s="90">
        <f t="shared" si="49"/>
        <v>10</v>
      </c>
    </row>
    <row r="547" spans="1:99" ht="12" customHeight="1">
      <c r="A547" s="43">
        <v>2502</v>
      </c>
      <c r="B547" s="89" t="s">
        <v>1515</v>
      </c>
      <c r="C547" s="89" t="s">
        <v>1665</v>
      </c>
      <c r="D547" s="89" t="s">
        <v>1666</v>
      </c>
      <c r="F547" s="43">
        <v>527221</v>
      </c>
      <c r="G547" s="43">
        <v>172443</v>
      </c>
      <c r="H547" s="89" t="s">
        <v>179</v>
      </c>
      <c r="I547" s="125">
        <v>42244</v>
      </c>
      <c r="K547" s="140">
        <v>0</v>
      </c>
      <c r="L547" s="140">
        <v>383</v>
      </c>
      <c r="M547" s="140">
        <v>383</v>
      </c>
      <c r="N547" s="140">
        <v>839</v>
      </c>
      <c r="O547" s="140">
        <v>839</v>
      </c>
      <c r="P547" s="43" t="s">
        <v>329</v>
      </c>
      <c r="Q547" s="89" t="s">
        <v>1668</v>
      </c>
      <c r="R547" s="43" t="s">
        <v>383</v>
      </c>
      <c r="S547" s="125">
        <v>40431</v>
      </c>
      <c r="T547" s="117">
        <v>40587</v>
      </c>
      <c r="V547" s="43" t="s">
        <v>384</v>
      </c>
      <c r="W547" s="117">
        <v>41082</v>
      </c>
      <c r="X547" s="43" t="s">
        <v>318</v>
      </c>
      <c r="Y547" s="43" t="s">
        <v>319</v>
      </c>
      <c r="Z547" s="43" t="s">
        <v>361</v>
      </c>
      <c r="AA547" s="43" t="s">
        <v>320</v>
      </c>
      <c r="AB547" s="144">
        <v>5.72300004959106</v>
      </c>
      <c r="AF547" s="43" t="s">
        <v>75</v>
      </c>
      <c r="AG547" s="43" t="s">
        <v>322</v>
      </c>
      <c r="AH547" s="43" t="s">
        <v>1669</v>
      </c>
      <c r="AJ547" s="140">
        <v>409</v>
      </c>
      <c r="AK547" s="140">
        <v>0</v>
      </c>
      <c r="AL547" s="140">
        <v>40</v>
      </c>
      <c r="AM547" s="140">
        <v>0</v>
      </c>
      <c r="AN547" s="140">
        <v>0</v>
      </c>
      <c r="AO547" s="140">
        <v>87</v>
      </c>
      <c r="AP547" s="140">
        <v>105</v>
      </c>
      <c r="AQ547" s="140">
        <v>107</v>
      </c>
      <c r="AR547" s="140">
        <v>24</v>
      </c>
      <c r="AS547" s="140">
        <v>60</v>
      </c>
      <c r="AT547" s="140">
        <v>0</v>
      </c>
      <c r="AU547" s="140">
        <v>0</v>
      </c>
      <c r="AV547" s="140">
        <v>87</v>
      </c>
      <c r="AW547" s="140">
        <v>67</v>
      </c>
      <c r="AX547" s="140">
        <v>36</v>
      </c>
      <c r="AY547" s="140">
        <v>0</v>
      </c>
      <c r="AZ547" s="140">
        <v>0</v>
      </c>
      <c r="BA547" s="140">
        <v>0</v>
      </c>
      <c r="BB547" s="140">
        <v>0</v>
      </c>
      <c r="BC547" s="140">
        <v>0</v>
      </c>
      <c r="BD547" s="140">
        <v>38</v>
      </c>
      <c r="BE547" s="140">
        <v>71</v>
      </c>
      <c r="BF547" s="140">
        <v>24</v>
      </c>
      <c r="BG547" s="140">
        <v>60</v>
      </c>
      <c r="BH547" s="140">
        <v>0</v>
      </c>
      <c r="BI547" s="140">
        <v>0</v>
      </c>
      <c r="BJ547" s="140">
        <v>0</v>
      </c>
      <c r="BK547" s="140">
        <v>0</v>
      </c>
      <c r="BL547" s="140">
        <v>0</v>
      </c>
      <c r="BM547" s="140">
        <v>0</v>
      </c>
      <c r="BN547" s="140">
        <v>0</v>
      </c>
      <c r="BO547" s="140">
        <v>0</v>
      </c>
      <c r="BX547" s="43">
        <v>7</v>
      </c>
      <c r="CA547" s="90">
        <f>115/3</f>
        <v>38.333333333333336</v>
      </c>
      <c r="CB547" s="90">
        <f>115/3</f>
        <v>38.333333333333336</v>
      </c>
      <c r="CC547" s="90">
        <f>115/3</f>
        <v>38.333333333333336</v>
      </c>
      <c r="CE547" s="90">
        <f>M547-115</f>
        <v>268</v>
      </c>
      <c r="CT547" s="90">
        <f t="shared" si="48"/>
        <v>115</v>
      </c>
      <c r="CU547" s="90">
        <f t="shared" si="49"/>
        <v>383</v>
      </c>
    </row>
    <row r="548" spans="1:99" ht="12" customHeight="1">
      <c r="A548" s="43">
        <v>2502</v>
      </c>
      <c r="B548" s="89" t="s">
        <v>1515</v>
      </c>
      <c r="C548" s="89" t="s">
        <v>1665</v>
      </c>
      <c r="D548" s="89" t="s">
        <v>1666</v>
      </c>
      <c r="F548" s="43">
        <v>527221</v>
      </c>
      <c r="G548" s="43">
        <v>172443</v>
      </c>
      <c r="H548" s="89" t="s">
        <v>179</v>
      </c>
      <c r="I548" s="125">
        <v>42244</v>
      </c>
      <c r="K548" s="140">
        <v>0</v>
      </c>
      <c r="L548" s="140">
        <v>262</v>
      </c>
      <c r="M548" s="140">
        <v>262</v>
      </c>
      <c r="N548" s="140">
        <v>839</v>
      </c>
      <c r="O548" s="140">
        <v>839</v>
      </c>
      <c r="P548" s="43" t="s">
        <v>329</v>
      </c>
      <c r="Q548" s="89" t="s">
        <v>1668</v>
      </c>
      <c r="R548" s="43" t="s">
        <v>383</v>
      </c>
      <c r="S548" s="125">
        <v>40431</v>
      </c>
      <c r="T548" s="117">
        <v>40587</v>
      </c>
      <c r="V548" s="43" t="s">
        <v>384</v>
      </c>
      <c r="W548" s="117">
        <v>41082</v>
      </c>
      <c r="X548" s="43" t="s">
        <v>318</v>
      </c>
      <c r="Y548" s="43" t="s">
        <v>319</v>
      </c>
      <c r="Z548" s="43" t="s">
        <v>1671</v>
      </c>
      <c r="AA548" s="43" t="s">
        <v>320</v>
      </c>
      <c r="AB548" s="144">
        <v>3.6659998893737802</v>
      </c>
      <c r="AF548" s="43" t="s">
        <v>75</v>
      </c>
      <c r="AG548" s="43" t="s">
        <v>322</v>
      </c>
      <c r="AH548" s="43" t="s">
        <v>1669</v>
      </c>
      <c r="AJ548" s="140">
        <v>262</v>
      </c>
      <c r="AK548" s="140">
        <v>0</v>
      </c>
      <c r="AL548" s="140">
        <v>26</v>
      </c>
      <c r="AM548" s="140">
        <v>0</v>
      </c>
      <c r="AN548" s="140">
        <v>0</v>
      </c>
      <c r="AO548" s="140">
        <v>41</v>
      </c>
      <c r="AP548" s="140">
        <v>150</v>
      </c>
      <c r="AQ548" s="140">
        <v>71</v>
      </c>
      <c r="AR548" s="140">
        <v>0</v>
      </c>
      <c r="AS548" s="140">
        <v>0</v>
      </c>
      <c r="AT548" s="140">
        <v>0</v>
      </c>
      <c r="AU548" s="140">
        <v>0</v>
      </c>
      <c r="AV548" s="140">
        <v>41</v>
      </c>
      <c r="AW548" s="140">
        <v>150</v>
      </c>
      <c r="AX548" s="140">
        <v>70</v>
      </c>
      <c r="AY548" s="140">
        <v>0</v>
      </c>
      <c r="AZ548" s="140">
        <v>0</v>
      </c>
      <c r="BA548" s="140">
        <v>0</v>
      </c>
      <c r="BB548" s="140">
        <v>0</v>
      </c>
      <c r="BC548" s="140">
        <v>0</v>
      </c>
      <c r="BD548" s="140">
        <v>0</v>
      </c>
      <c r="BE548" s="140">
        <v>1</v>
      </c>
      <c r="BF548" s="140">
        <v>0</v>
      </c>
      <c r="BG548" s="140">
        <v>0</v>
      </c>
      <c r="BH548" s="140">
        <v>0</v>
      </c>
      <c r="BI548" s="140">
        <v>0</v>
      </c>
      <c r="BJ548" s="140">
        <v>0</v>
      </c>
      <c r="BK548" s="140">
        <v>0</v>
      </c>
      <c r="BL548" s="140">
        <v>0</v>
      </c>
      <c r="BM548" s="140">
        <v>0</v>
      </c>
      <c r="BN548" s="140">
        <v>0</v>
      </c>
      <c r="BO548" s="140">
        <v>0</v>
      </c>
      <c r="BX548" s="43">
        <v>16</v>
      </c>
      <c r="CE548" s="90">
        <f>M548</f>
        <v>262</v>
      </c>
      <c r="CT548" s="90">
        <f t="shared" si="48"/>
        <v>0</v>
      </c>
      <c r="CU548" s="90">
        <f t="shared" si="49"/>
        <v>262</v>
      </c>
    </row>
    <row r="549" spans="1:99" ht="12" customHeight="1">
      <c r="A549" s="43">
        <v>2502</v>
      </c>
      <c r="B549" s="89" t="s">
        <v>1515</v>
      </c>
      <c r="C549" s="89" t="s">
        <v>1665</v>
      </c>
      <c r="D549" s="89" t="s">
        <v>1666</v>
      </c>
      <c r="F549" s="43">
        <v>527221</v>
      </c>
      <c r="G549" s="43">
        <v>172443</v>
      </c>
      <c r="H549" s="89" t="s">
        <v>179</v>
      </c>
      <c r="I549" s="125">
        <v>42244</v>
      </c>
      <c r="K549" s="140">
        <v>0</v>
      </c>
      <c r="L549" s="140">
        <v>69</v>
      </c>
      <c r="M549" s="140">
        <v>69</v>
      </c>
      <c r="N549" s="140">
        <v>839</v>
      </c>
      <c r="O549" s="140">
        <v>839</v>
      </c>
      <c r="P549" s="43" t="s">
        <v>329</v>
      </c>
      <c r="Q549" s="89" t="s">
        <v>1668</v>
      </c>
      <c r="R549" s="43" t="s">
        <v>383</v>
      </c>
      <c r="S549" s="125">
        <v>40431</v>
      </c>
      <c r="T549" s="117">
        <v>40587</v>
      </c>
      <c r="V549" s="43" t="s">
        <v>384</v>
      </c>
      <c r="W549" s="117">
        <v>41082</v>
      </c>
      <c r="X549" s="43" t="s">
        <v>318</v>
      </c>
      <c r="Y549" s="43" t="s">
        <v>319</v>
      </c>
      <c r="Z549" s="43" t="s">
        <v>361</v>
      </c>
      <c r="AA549" s="43" t="s">
        <v>320</v>
      </c>
      <c r="AB549" s="144">
        <v>0.96600002050399802</v>
      </c>
      <c r="AF549" s="43" t="s">
        <v>55</v>
      </c>
      <c r="AG549" s="43" t="s">
        <v>457</v>
      </c>
      <c r="AH549" s="43" t="s">
        <v>1669</v>
      </c>
      <c r="AJ549" s="140">
        <v>69</v>
      </c>
      <c r="AK549" s="140">
        <v>0</v>
      </c>
      <c r="AL549" s="140">
        <v>6</v>
      </c>
      <c r="AM549" s="140">
        <v>0</v>
      </c>
      <c r="AN549" s="140">
        <v>0</v>
      </c>
      <c r="AO549" s="140">
        <v>0</v>
      </c>
      <c r="AP549" s="140">
        <v>10</v>
      </c>
      <c r="AQ549" s="140">
        <v>52</v>
      </c>
      <c r="AR549" s="140">
        <v>7</v>
      </c>
      <c r="AS549" s="140">
        <v>0</v>
      </c>
      <c r="AT549" s="140">
        <v>0</v>
      </c>
      <c r="AU549" s="140">
        <v>0</v>
      </c>
      <c r="AV549" s="140">
        <v>0</v>
      </c>
      <c r="AW549" s="140">
        <v>0</v>
      </c>
      <c r="AX549" s="140">
        <v>0</v>
      </c>
      <c r="AY549" s="140">
        <v>0</v>
      </c>
      <c r="AZ549" s="140">
        <v>0</v>
      </c>
      <c r="BA549" s="140">
        <v>0</v>
      </c>
      <c r="BB549" s="140">
        <v>0</v>
      </c>
      <c r="BC549" s="140">
        <v>0</v>
      </c>
      <c r="BD549" s="140">
        <v>10</v>
      </c>
      <c r="BE549" s="140">
        <v>52</v>
      </c>
      <c r="BF549" s="140">
        <v>7</v>
      </c>
      <c r="BG549" s="140">
        <v>0</v>
      </c>
      <c r="BH549" s="140">
        <v>0</v>
      </c>
      <c r="BI549" s="140">
        <v>0</v>
      </c>
      <c r="BJ549" s="140">
        <v>0</v>
      </c>
      <c r="BK549" s="140">
        <v>0</v>
      </c>
      <c r="BL549" s="140">
        <v>0</v>
      </c>
      <c r="BM549" s="140">
        <v>0</v>
      </c>
      <c r="BN549" s="140">
        <v>0</v>
      </c>
      <c r="BO549" s="140">
        <v>0</v>
      </c>
      <c r="BX549" s="43">
        <v>7</v>
      </c>
      <c r="CA549" s="90">
        <f t="shared" ref="CA549:CC550" si="58">$M549*0.769716088328076*1/3</f>
        <v>17.703470031545748</v>
      </c>
      <c r="CB549" s="90">
        <f t="shared" si="58"/>
        <v>17.703470031545748</v>
      </c>
      <c r="CC549" s="90">
        <f t="shared" si="58"/>
        <v>17.703470031545748</v>
      </c>
      <c r="CE549" s="90">
        <f>M549*0.230283911671924</f>
        <v>15.889589905362756</v>
      </c>
      <c r="CT549" s="90">
        <f t="shared" si="48"/>
        <v>53.110410094637245</v>
      </c>
      <c r="CU549" s="90">
        <f t="shared" si="49"/>
        <v>69</v>
      </c>
    </row>
    <row r="550" spans="1:99" ht="12" customHeight="1">
      <c r="A550" s="43">
        <v>2502</v>
      </c>
      <c r="B550" s="89" t="s">
        <v>1515</v>
      </c>
      <c r="C550" s="89" t="s">
        <v>1665</v>
      </c>
      <c r="D550" s="89" t="s">
        <v>1666</v>
      </c>
      <c r="F550" s="43">
        <v>527221</v>
      </c>
      <c r="G550" s="43">
        <v>172443</v>
      </c>
      <c r="H550" s="89" t="s">
        <v>179</v>
      </c>
      <c r="I550" s="125">
        <v>42244</v>
      </c>
      <c r="K550" s="140">
        <v>0</v>
      </c>
      <c r="L550" s="140">
        <v>43</v>
      </c>
      <c r="M550" s="140">
        <v>43</v>
      </c>
      <c r="N550" s="140">
        <v>839</v>
      </c>
      <c r="O550" s="140">
        <v>839</v>
      </c>
      <c r="P550" s="43" t="s">
        <v>329</v>
      </c>
      <c r="Q550" s="89" t="s">
        <v>1668</v>
      </c>
      <c r="R550" s="43" t="s">
        <v>383</v>
      </c>
      <c r="S550" s="125">
        <v>40431</v>
      </c>
      <c r="T550" s="117">
        <v>40587</v>
      </c>
      <c r="V550" s="43" t="s">
        <v>384</v>
      </c>
      <c r="W550" s="117">
        <v>41082</v>
      </c>
      <c r="X550" s="43" t="s">
        <v>318</v>
      </c>
      <c r="Y550" s="43" t="s">
        <v>319</v>
      </c>
      <c r="Z550" s="43" t="s">
        <v>361</v>
      </c>
      <c r="AA550" s="43" t="s">
        <v>320</v>
      </c>
      <c r="AB550" s="144">
        <v>0.60199999809265103</v>
      </c>
      <c r="AF550" s="43" t="s">
        <v>54</v>
      </c>
      <c r="AG550" s="43" t="s">
        <v>399</v>
      </c>
      <c r="AH550" s="43" t="s">
        <v>1669</v>
      </c>
      <c r="AJ550" s="140">
        <v>43</v>
      </c>
      <c r="AK550" s="140">
        <v>0</v>
      </c>
      <c r="AL550" s="140">
        <v>4</v>
      </c>
      <c r="AM550" s="140">
        <v>0</v>
      </c>
      <c r="AN550" s="140">
        <v>0</v>
      </c>
      <c r="AO550" s="140">
        <v>15</v>
      </c>
      <c r="AP550" s="140">
        <v>18</v>
      </c>
      <c r="AQ550" s="140">
        <v>10</v>
      </c>
      <c r="AR550" s="140">
        <v>0</v>
      </c>
      <c r="AS550" s="140">
        <v>0</v>
      </c>
      <c r="AT550" s="140">
        <v>0</v>
      </c>
      <c r="AU550" s="140">
        <v>0</v>
      </c>
      <c r="AV550" s="140">
        <v>15</v>
      </c>
      <c r="AW550" s="140">
        <v>11</v>
      </c>
      <c r="AX550" s="140">
        <v>10</v>
      </c>
      <c r="AY550" s="140">
        <v>0</v>
      </c>
      <c r="AZ550" s="140">
        <v>0</v>
      </c>
      <c r="BA550" s="140">
        <v>0</v>
      </c>
      <c r="BB550" s="140">
        <v>0</v>
      </c>
      <c r="BC550" s="140">
        <v>0</v>
      </c>
      <c r="BD550" s="140">
        <v>7</v>
      </c>
      <c r="BE550" s="140">
        <v>0</v>
      </c>
      <c r="BF550" s="140">
        <v>0</v>
      </c>
      <c r="BG550" s="140">
        <v>0</v>
      </c>
      <c r="BH550" s="140">
        <v>0</v>
      </c>
      <c r="BI550" s="140">
        <v>0</v>
      </c>
      <c r="BJ550" s="140">
        <v>0</v>
      </c>
      <c r="BK550" s="140">
        <v>0</v>
      </c>
      <c r="BL550" s="140">
        <v>0</v>
      </c>
      <c r="BM550" s="140">
        <v>0</v>
      </c>
      <c r="BN550" s="140">
        <v>0</v>
      </c>
      <c r="BO550" s="140">
        <v>0</v>
      </c>
      <c r="BX550" s="43">
        <v>7</v>
      </c>
      <c r="CA550" s="90">
        <f t="shared" si="58"/>
        <v>11.032597266035756</v>
      </c>
      <c r="CB550" s="90">
        <f t="shared" si="58"/>
        <v>11.032597266035756</v>
      </c>
      <c r="CC550" s="90">
        <f t="shared" si="58"/>
        <v>11.032597266035756</v>
      </c>
      <c r="CE550" s="90">
        <f>M550*0.230283911671924</f>
        <v>9.9022082018927318</v>
      </c>
      <c r="CT550" s="90">
        <f t="shared" si="48"/>
        <v>33.097791798107266</v>
      </c>
      <c r="CU550" s="90">
        <f t="shared" si="49"/>
        <v>43</v>
      </c>
    </row>
    <row r="551" spans="1:99" ht="12" customHeight="1">
      <c r="A551" s="43">
        <v>2504</v>
      </c>
      <c r="B551" s="89" t="s">
        <v>1515</v>
      </c>
      <c r="C551" s="89" t="s">
        <v>1672</v>
      </c>
      <c r="D551" s="89" t="s">
        <v>1673</v>
      </c>
      <c r="F551" s="43">
        <v>524835</v>
      </c>
      <c r="G551" s="43">
        <v>173907</v>
      </c>
      <c r="H551" s="89" t="s">
        <v>169</v>
      </c>
      <c r="K551" s="140">
        <v>0</v>
      </c>
      <c r="L551" s="140">
        <v>1</v>
      </c>
      <c r="M551" s="140">
        <v>1</v>
      </c>
      <c r="N551" s="140">
        <v>1</v>
      </c>
      <c r="O551" s="140">
        <v>1</v>
      </c>
      <c r="Q551" s="89" t="s">
        <v>1674</v>
      </c>
      <c r="R551" s="43" t="s">
        <v>316</v>
      </c>
      <c r="S551" s="125">
        <v>43670</v>
      </c>
      <c r="T551" s="117">
        <v>43700</v>
      </c>
      <c r="U551" s="43" t="s">
        <v>329</v>
      </c>
      <c r="V551" s="43" t="s">
        <v>317</v>
      </c>
      <c r="X551" s="43" t="s">
        <v>318</v>
      </c>
      <c r="Y551" s="43" t="s">
        <v>361</v>
      </c>
      <c r="Z551" s="43" t="s">
        <v>320</v>
      </c>
      <c r="AA551" s="43" t="s">
        <v>353</v>
      </c>
      <c r="AB551" s="144">
        <v>4.9999998882412902E-3</v>
      </c>
      <c r="AF551" s="43" t="s">
        <v>75</v>
      </c>
      <c r="AG551" s="43" t="s">
        <v>322</v>
      </c>
      <c r="AJ551" s="140">
        <v>0</v>
      </c>
      <c r="AK551" s="140">
        <v>0</v>
      </c>
      <c r="AL551" s="140">
        <v>0</v>
      </c>
      <c r="AM551" s="140">
        <v>0</v>
      </c>
      <c r="AN551" s="140">
        <v>0</v>
      </c>
      <c r="AO551" s="140">
        <v>1</v>
      </c>
      <c r="AP551" s="140">
        <v>0</v>
      </c>
      <c r="AQ551" s="140">
        <v>0</v>
      </c>
      <c r="AR551" s="140">
        <v>0</v>
      </c>
      <c r="AS551" s="140">
        <v>0</v>
      </c>
      <c r="AT551" s="140">
        <v>0</v>
      </c>
      <c r="AU551" s="140">
        <v>0</v>
      </c>
      <c r="AV551" s="140">
        <v>0</v>
      </c>
      <c r="AW551" s="140">
        <v>0</v>
      </c>
      <c r="AX551" s="140">
        <v>0</v>
      </c>
      <c r="AY551" s="140">
        <v>0</v>
      </c>
      <c r="AZ551" s="140">
        <v>0</v>
      </c>
      <c r="BA551" s="140">
        <v>0</v>
      </c>
      <c r="BB551" s="140">
        <v>0</v>
      </c>
      <c r="BC551" s="140">
        <v>1</v>
      </c>
      <c r="BD551" s="140">
        <v>0</v>
      </c>
      <c r="BE551" s="140">
        <v>0</v>
      </c>
      <c r="BF551" s="140">
        <v>0</v>
      </c>
      <c r="BG551" s="140">
        <v>0</v>
      </c>
      <c r="BH551" s="140">
        <v>0</v>
      </c>
      <c r="BI551" s="140">
        <v>0</v>
      </c>
      <c r="BJ551" s="140">
        <v>0</v>
      </c>
      <c r="BK551" s="140">
        <v>0</v>
      </c>
      <c r="BL551" s="140">
        <v>0</v>
      </c>
      <c r="BM551" s="140">
        <v>0</v>
      </c>
      <c r="BN551" s="140">
        <v>0</v>
      </c>
      <c r="BO551" s="140">
        <v>0</v>
      </c>
      <c r="BX551" s="43">
        <v>6</v>
      </c>
      <c r="CA551" s="90">
        <f t="shared" ref="CA551:CD555" si="59">$M551/4</f>
        <v>0.25</v>
      </c>
      <c r="CB551" s="90">
        <f t="shared" si="59"/>
        <v>0.25</v>
      </c>
      <c r="CC551" s="90">
        <f t="shared" si="59"/>
        <v>0.25</v>
      </c>
      <c r="CD551" s="90">
        <f t="shared" si="59"/>
        <v>0.25</v>
      </c>
      <c r="CT551" s="90">
        <f t="shared" si="48"/>
        <v>1</v>
      </c>
      <c r="CU551" s="90">
        <f t="shared" si="49"/>
        <v>1</v>
      </c>
    </row>
    <row r="552" spans="1:99" ht="12" customHeight="1">
      <c r="A552" s="43">
        <v>2517</v>
      </c>
      <c r="B552" s="89" t="s">
        <v>1515</v>
      </c>
      <c r="C552" s="89" t="s">
        <v>1675</v>
      </c>
      <c r="D552" s="89" t="s">
        <v>1676</v>
      </c>
      <c r="F552" s="43">
        <v>525267</v>
      </c>
      <c r="G552" s="43">
        <v>174685</v>
      </c>
      <c r="H552" s="89" t="s">
        <v>170</v>
      </c>
      <c r="K552" s="140">
        <v>0</v>
      </c>
      <c r="L552" s="140">
        <v>1</v>
      </c>
      <c r="M552" s="140">
        <v>1</v>
      </c>
      <c r="N552" s="140">
        <v>1</v>
      </c>
      <c r="O552" s="140">
        <v>1</v>
      </c>
      <c r="Q552" s="89" t="s">
        <v>1677</v>
      </c>
      <c r="R552" s="43" t="s">
        <v>316</v>
      </c>
      <c r="S552" s="125">
        <v>43291</v>
      </c>
      <c r="T552" s="117">
        <v>43392</v>
      </c>
      <c r="V552" s="43" t="s">
        <v>317</v>
      </c>
      <c r="X552" s="43" t="s">
        <v>318</v>
      </c>
      <c r="Y552" s="43" t="s">
        <v>361</v>
      </c>
      <c r="Z552" s="43" t="s">
        <v>320</v>
      </c>
      <c r="AA552" s="43" t="s">
        <v>353</v>
      </c>
      <c r="AB552" s="144">
        <v>8.0000003799796104E-3</v>
      </c>
      <c r="AF552" s="43" t="s">
        <v>75</v>
      </c>
      <c r="AG552" s="43" t="s">
        <v>322</v>
      </c>
      <c r="AJ552" s="140">
        <v>0</v>
      </c>
      <c r="AK552" s="140">
        <v>0</v>
      </c>
      <c r="AL552" s="140">
        <v>0</v>
      </c>
      <c r="AM552" s="140">
        <v>0</v>
      </c>
      <c r="AN552" s="140">
        <v>0</v>
      </c>
      <c r="AO552" s="140">
        <v>0</v>
      </c>
      <c r="AP552" s="140">
        <v>0</v>
      </c>
      <c r="AQ552" s="140">
        <v>1</v>
      </c>
      <c r="AR552" s="140">
        <v>0</v>
      </c>
      <c r="AS552" s="140">
        <v>0</v>
      </c>
      <c r="AT552" s="140">
        <v>0</v>
      </c>
      <c r="AU552" s="140">
        <v>0</v>
      </c>
      <c r="AV552" s="140">
        <v>0</v>
      </c>
      <c r="AW552" s="140">
        <v>0</v>
      </c>
      <c r="AX552" s="140">
        <v>0</v>
      </c>
      <c r="AY552" s="140">
        <v>0</v>
      </c>
      <c r="AZ552" s="140">
        <v>0</v>
      </c>
      <c r="BA552" s="140">
        <v>0</v>
      </c>
      <c r="BB552" s="140">
        <v>0</v>
      </c>
      <c r="BC552" s="140">
        <v>0</v>
      </c>
      <c r="BD552" s="140">
        <v>0</v>
      </c>
      <c r="BE552" s="140">
        <v>1</v>
      </c>
      <c r="BF552" s="140">
        <v>0</v>
      </c>
      <c r="BG552" s="140">
        <v>0</v>
      </c>
      <c r="BH552" s="140">
        <v>0</v>
      </c>
      <c r="BI552" s="140">
        <v>0</v>
      </c>
      <c r="BJ552" s="140">
        <v>0</v>
      </c>
      <c r="BK552" s="140">
        <v>0</v>
      </c>
      <c r="BL552" s="140">
        <v>0</v>
      </c>
      <c r="BM552" s="140">
        <v>0</v>
      </c>
      <c r="BN552" s="140">
        <v>0</v>
      </c>
      <c r="BO552" s="140">
        <v>0</v>
      </c>
      <c r="BX552" s="43">
        <v>6</v>
      </c>
      <c r="CA552" s="90">
        <f t="shared" si="59"/>
        <v>0.25</v>
      </c>
      <c r="CB552" s="90">
        <f t="shared" si="59"/>
        <v>0.25</v>
      </c>
      <c r="CC552" s="90">
        <f t="shared" si="59"/>
        <v>0.25</v>
      </c>
      <c r="CD552" s="90">
        <f t="shared" si="59"/>
        <v>0.25</v>
      </c>
      <c r="CT552" s="90">
        <f t="shared" si="48"/>
        <v>1</v>
      </c>
      <c r="CU552" s="90">
        <f t="shared" si="49"/>
        <v>1</v>
      </c>
    </row>
    <row r="553" spans="1:99" ht="12" customHeight="1">
      <c r="A553" s="43">
        <v>2530</v>
      </c>
      <c r="B553" s="89" t="s">
        <v>1515</v>
      </c>
      <c r="C553" s="89" t="s">
        <v>1678</v>
      </c>
      <c r="D553" s="89" t="s">
        <v>1679</v>
      </c>
      <c r="E553" s="89" t="s">
        <v>1680</v>
      </c>
      <c r="F553" s="43">
        <v>527684</v>
      </c>
      <c r="G553" s="43">
        <v>171814</v>
      </c>
      <c r="H553" s="89" t="s">
        <v>141</v>
      </c>
      <c r="K553" s="140">
        <v>1</v>
      </c>
      <c r="L553" s="140">
        <v>2</v>
      </c>
      <c r="M553" s="140">
        <v>1</v>
      </c>
      <c r="N553" s="140">
        <v>6</v>
      </c>
      <c r="O553" s="140">
        <v>3</v>
      </c>
      <c r="Q553" s="89" t="s">
        <v>1681</v>
      </c>
      <c r="R553" s="43" t="s">
        <v>316</v>
      </c>
      <c r="S553" s="125">
        <v>43679</v>
      </c>
      <c r="T553" s="117">
        <v>43885</v>
      </c>
      <c r="U553" s="43" t="s">
        <v>329</v>
      </c>
      <c r="V553" s="43" t="s">
        <v>317</v>
      </c>
      <c r="X553" s="43" t="s">
        <v>318</v>
      </c>
      <c r="Y553" s="43" t="s">
        <v>319</v>
      </c>
      <c r="Z553" s="43" t="s">
        <v>320</v>
      </c>
      <c r="AA553" s="43" t="s">
        <v>340</v>
      </c>
      <c r="AB553" s="144">
        <v>8.0000003799796104E-3</v>
      </c>
      <c r="AF553" s="43" t="s">
        <v>75</v>
      </c>
      <c r="AG553" s="43" t="s">
        <v>322</v>
      </c>
      <c r="AJ553" s="140">
        <v>0</v>
      </c>
      <c r="AK553" s="140">
        <v>0</v>
      </c>
      <c r="AL553" s="140">
        <v>0</v>
      </c>
      <c r="AM553" s="140">
        <v>0</v>
      </c>
      <c r="AN553" s="140">
        <v>0</v>
      </c>
      <c r="AO553" s="140">
        <v>2</v>
      </c>
      <c r="AP553" s="140">
        <v>-1</v>
      </c>
      <c r="AQ553" s="140">
        <v>0</v>
      </c>
      <c r="AR553" s="140">
        <v>0</v>
      </c>
      <c r="AS553" s="140">
        <v>0</v>
      </c>
      <c r="AT553" s="140">
        <v>0</v>
      </c>
      <c r="AU553" s="140">
        <v>0</v>
      </c>
      <c r="AV553" s="140">
        <v>2</v>
      </c>
      <c r="AW553" s="140">
        <v>-1</v>
      </c>
      <c r="AX553" s="140">
        <v>0</v>
      </c>
      <c r="AY553" s="140">
        <v>0</v>
      </c>
      <c r="AZ553" s="140">
        <v>0</v>
      </c>
      <c r="BA553" s="140">
        <v>0</v>
      </c>
      <c r="BB553" s="140">
        <v>0</v>
      </c>
      <c r="BC553" s="140">
        <v>0</v>
      </c>
      <c r="BD553" s="140">
        <v>0</v>
      </c>
      <c r="BE553" s="140">
        <v>0</v>
      </c>
      <c r="BF553" s="140">
        <v>0</v>
      </c>
      <c r="BG553" s="140">
        <v>0</v>
      </c>
      <c r="BH553" s="140">
        <v>0</v>
      </c>
      <c r="BI553" s="140">
        <v>0</v>
      </c>
      <c r="BJ553" s="140">
        <v>0</v>
      </c>
      <c r="BK553" s="140">
        <v>0</v>
      </c>
      <c r="BL553" s="140">
        <v>0</v>
      </c>
      <c r="BM553" s="140">
        <v>0</v>
      </c>
      <c r="BN553" s="140">
        <v>0</v>
      </c>
      <c r="BO553" s="140">
        <v>0</v>
      </c>
      <c r="BP553" s="43" t="s">
        <v>141</v>
      </c>
      <c r="BX553" s="43">
        <v>18</v>
      </c>
      <c r="CA553" s="90">
        <f t="shared" si="59"/>
        <v>0.25</v>
      </c>
      <c r="CB553" s="90">
        <f t="shared" si="59"/>
        <v>0.25</v>
      </c>
      <c r="CC553" s="90">
        <f t="shared" si="59"/>
        <v>0.25</v>
      </c>
      <c r="CD553" s="90">
        <f t="shared" si="59"/>
        <v>0.25</v>
      </c>
      <c r="CT553" s="90">
        <f t="shared" si="48"/>
        <v>1</v>
      </c>
      <c r="CU553" s="90">
        <f t="shared" si="49"/>
        <v>1</v>
      </c>
    </row>
    <row r="554" spans="1:99" ht="12" customHeight="1">
      <c r="A554" s="43">
        <v>2530</v>
      </c>
      <c r="B554" s="89" t="s">
        <v>1515</v>
      </c>
      <c r="C554" s="89" t="s">
        <v>1678</v>
      </c>
      <c r="D554" s="89" t="s">
        <v>1679</v>
      </c>
      <c r="E554" s="89" t="s">
        <v>1682</v>
      </c>
      <c r="F554" s="43">
        <v>527684</v>
      </c>
      <c r="G554" s="43">
        <v>171814</v>
      </c>
      <c r="H554" s="89" t="s">
        <v>141</v>
      </c>
      <c r="K554" s="140">
        <v>1</v>
      </c>
      <c r="L554" s="140">
        <v>2</v>
      </c>
      <c r="M554" s="140">
        <v>1</v>
      </c>
      <c r="N554" s="140">
        <v>6</v>
      </c>
      <c r="O554" s="140">
        <v>3</v>
      </c>
      <c r="Q554" s="89" t="s">
        <v>1681</v>
      </c>
      <c r="R554" s="43" t="s">
        <v>316</v>
      </c>
      <c r="S554" s="125">
        <v>43679</v>
      </c>
      <c r="T554" s="117">
        <v>43885</v>
      </c>
      <c r="U554" s="43" t="s">
        <v>329</v>
      </c>
      <c r="V554" s="43" t="s">
        <v>317</v>
      </c>
      <c r="X554" s="43" t="s">
        <v>318</v>
      </c>
      <c r="Y554" s="43" t="s">
        <v>319</v>
      </c>
      <c r="Z554" s="43" t="s">
        <v>320</v>
      </c>
      <c r="AA554" s="43" t="s">
        <v>340</v>
      </c>
      <c r="AB554" s="144">
        <v>8.0000003799796104E-3</v>
      </c>
      <c r="AF554" s="43" t="s">
        <v>75</v>
      </c>
      <c r="AG554" s="43" t="s">
        <v>322</v>
      </c>
      <c r="AJ554" s="140">
        <v>0</v>
      </c>
      <c r="AK554" s="140">
        <v>0</v>
      </c>
      <c r="AL554" s="140">
        <v>0</v>
      </c>
      <c r="AM554" s="140">
        <v>0</v>
      </c>
      <c r="AN554" s="140">
        <v>0</v>
      </c>
      <c r="AO554" s="140">
        <v>0</v>
      </c>
      <c r="AP554" s="140">
        <v>1</v>
      </c>
      <c r="AQ554" s="140">
        <v>0</v>
      </c>
      <c r="AR554" s="140">
        <v>0</v>
      </c>
      <c r="AS554" s="140">
        <v>0</v>
      </c>
      <c r="AT554" s="140">
        <v>0</v>
      </c>
      <c r="AU554" s="140">
        <v>0</v>
      </c>
      <c r="AV554" s="140">
        <v>0</v>
      </c>
      <c r="AW554" s="140">
        <v>1</v>
      </c>
      <c r="AX554" s="140">
        <v>0</v>
      </c>
      <c r="AY554" s="140">
        <v>0</v>
      </c>
      <c r="AZ554" s="140">
        <v>0</v>
      </c>
      <c r="BA554" s="140">
        <v>0</v>
      </c>
      <c r="BB554" s="140">
        <v>0</v>
      </c>
      <c r="BC554" s="140">
        <v>0</v>
      </c>
      <c r="BD554" s="140">
        <v>0</v>
      </c>
      <c r="BE554" s="140">
        <v>0</v>
      </c>
      <c r="BF554" s="140">
        <v>0</v>
      </c>
      <c r="BG554" s="140">
        <v>0</v>
      </c>
      <c r="BH554" s="140">
        <v>0</v>
      </c>
      <c r="BI554" s="140">
        <v>0</v>
      </c>
      <c r="BJ554" s="140">
        <v>0</v>
      </c>
      <c r="BK554" s="140">
        <v>0</v>
      </c>
      <c r="BL554" s="140">
        <v>0</v>
      </c>
      <c r="BM554" s="140">
        <v>0</v>
      </c>
      <c r="BN554" s="140">
        <v>0</v>
      </c>
      <c r="BO554" s="140">
        <v>0</v>
      </c>
      <c r="BP554" s="43" t="s">
        <v>141</v>
      </c>
      <c r="BX554" s="43">
        <v>18</v>
      </c>
      <c r="CA554" s="90">
        <f t="shared" si="59"/>
        <v>0.25</v>
      </c>
      <c r="CB554" s="90">
        <f t="shared" si="59"/>
        <v>0.25</v>
      </c>
      <c r="CC554" s="90">
        <f t="shared" si="59"/>
        <v>0.25</v>
      </c>
      <c r="CD554" s="90">
        <f t="shared" si="59"/>
        <v>0.25</v>
      </c>
      <c r="CT554" s="90">
        <f t="shared" si="48"/>
        <v>1</v>
      </c>
      <c r="CU554" s="90">
        <f t="shared" si="49"/>
        <v>1</v>
      </c>
    </row>
    <row r="555" spans="1:99" ht="12" customHeight="1">
      <c r="A555" s="43">
        <v>2530</v>
      </c>
      <c r="B555" s="89" t="s">
        <v>1515</v>
      </c>
      <c r="C555" s="89" t="s">
        <v>1678</v>
      </c>
      <c r="D555" s="89" t="s">
        <v>1679</v>
      </c>
      <c r="E555" s="89" t="s">
        <v>1683</v>
      </c>
      <c r="F555" s="43">
        <v>527684</v>
      </c>
      <c r="G555" s="43">
        <v>171814</v>
      </c>
      <c r="H555" s="89" t="s">
        <v>141</v>
      </c>
      <c r="K555" s="140">
        <v>1</v>
      </c>
      <c r="L555" s="140">
        <v>2</v>
      </c>
      <c r="M555" s="140">
        <v>1</v>
      </c>
      <c r="N555" s="140">
        <v>6</v>
      </c>
      <c r="O555" s="140">
        <v>3</v>
      </c>
      <c r="Q555" s="89" t="s">
        <v>1681</v>
      </c>
      <c r="R555" s="43" t="s">
        <v>316</v>
      </c>
      <c r="S555" s="125">
        <v>43679</v>
      </c>
      <c r="T555" s="117">
        <v>43885</v>
      </c>
      <c r="U555" s="43" t="s">
        <v>329</v>
      </c>
      <c r="V555" s="43" t="s">
        <v>317</v>
      </c>
      <c r="X555" s="43" t="s">
        <v>318</v>
      </c>
      <c r="Y555" s="43" t="s">
        <v>319</v>
      </c>
      <c r="Z555" s="43" t="s">
        <v>320</v>
      </c>
      <c r="AA555" s="43" t="s">
        <v>340</v>
      </c>
      <c r="AB555" s="144">
        <v>7.0000002160668399E-3</v>
      </c>
      <c r="AF555" s="43" t="s">
        <v>75</v>
      </c>
      <c r="AG555" s="43" t="s">
        <v>322</v>
      </c>
      <c r="AJ555" s="140">
        <v>0</v>
      </c>
      <c r="AK555" s="140">
        <v>0</v>
      </c>
      <c r="AL555" s="140">
        <v>0</v>
      </c>
      <c r="AM555" s="140">
        <v>0</v>
      </c>
      <c r="AN555" s="140">
        <v>0</v>
      </c>
      <c r="AO555" s="140">
        <v>1</v>
      </c>
      <c r="AP555" s="140">
        <v>0</v>
      </c>
      <c r="AQ555" s="140">
        <v>0</v>
      </c>
      <c r="AR555" s="140">
        <v>0</v>
      </c>
      <c r="AS555" s="140">
        <v>0</v>
      </c>
      <c r="AT555" s="140">
        <v>0</v>
      </c>
      <c r="AU555" s="140">
        <v>0</v>
      </c>
      <c r="AV555" s="140">
        <v>1</v>
      </c>
      <c r="AW555" s="140">
        <v>0</v>
      </c>
      <c r="AX555" s="140">
        <v>0</v>
      </c>
      <c r="AY555" s="140">
        <v>0</v>
      </c>
      <c r="AZ555" s="140">
        <v>0</v>
      </c>
      <c r="BA555" s="140">
        <v>0</v>
      </c>
      <c r="BB555" s="140">
        <v>0</v>
      </c>
      <c r="BC555" s="140">
        <v>0</v>
      </c>
      <c r="BD555" s="140">
        <v>0</v>
      </c>
      <c r="BE555" s="140">
        <v>0</v>
      </c>
      <c r="BF555" s="140">
        <v>0</v>
      </c>
      <c r="BG555" s="140">
        <v>0</v>
      </c>
      <c r="BH555" s="140">
        <v>0</v>
      </c>
      <c r="BI555" s="140">
        <v>0</v>
      </c>
      <c r="BJ555" s="140">
        <v>0</v>
      </c>
      <c r="BK555" s="140">
        <v>0</v>
      </c>
      <c r="BL555" s="140">
        <v>0</v>
      </c>
      <c r="BM555" s="140">
        <v>0</v>
      </c>
      <c r="BN555" s="140">
        <v>0</v>
      </c>
      <c r="BO555" s="140">
        <v>0</v>
      </c>
      <c r="BP555" s="43" t="s">
        <v>141</v>
      </c>
      <c r="BX555" s="43">
        <v>18</v>
      </c>
      <c r="CA555" s="90">
        <f t="shared" si="59"/>
        <v>0.25</v>
      </c>
      <c r="CB555" s="90">
        <f t="shared" si="59"/>
        <v>0.25</v>
      </c>
      <c r="CC555" s="90">
        <f t="shared" si="59"/>
        <v>0.25</v>
      </c>
      <c r="CD555" s="90">
        <f t="shared" si="59"/>
        <v>0.25</v>
      </c>
      <c r="CT555" s="90">
        <f t="shared" si="48"/>
        <v>1</v>
      </c>
      <c r="CU555" s="90">
        <f t="shared" si="49"/>
        <v>1</v>
      </c>
    </row>
    <row r="556" spans="1:99" ht="12" customHeight="1">
      <c r="A556" s="43">
        <v>2589</v>
      </c>
      <c r="B556" s="89" t="s">
        <v>1515</v>
      </c>
      <c r="C556" s="89" t="s">
        <v>1684</v>
      </c>
      <c r="D556" s="89" t="s">
        <v>1685</v>
      </c>
      <c r="F556" s="43">
        <v>528730</v>
      </c>
      <c r="G556" s="43">
        <v>176714</v>
      </c>
      <c r="H556" s="89" t="s">
        <v>148</v>
      </c>
      <c r="K556" s="140">
        <v>0</v>
      </c>
      <c r="L556" s="140">
        <v>1</v>
      </c>
      <c r="M556" s="140">
        <v>1</v>
      </c>
      <c r="N556" s="140">
        <v>1</v>
      </c>
      <c r="O556" s="140">
        <v>1</v>
      </c>
      <c r="Q556" s="89" t="s">
        <v>1686</v>
      </c>
      <c r="R556" s="43" t="s">
        <v>316</v>
      </c>
      <c r="S556" s="125">
        <v>43123</v>
      </c>
      <c r="T556" s="117">
        <v>43236</v>
      </c>
      <c r="V556" s="43" t="s">
        <v>317</v>
      </c>
      <c r="X556" s="43" t="s">
        <v>318</v>
      </c>
      <c r="Y556" s="43" t="s">
        <v>319</v>
      </c>
      <c r="Z556" s="43" t="s">
        <v>320</v>
      </c>
      <c r="AA556" s="43" t="s">
        <v>22</v>
      </c>
      <c r="AB556" s="144">
        <v>8.0000003799796104E-3</v>
      </c>
      <c r="AF556" s="43" t="s">
        <v>75</v>
      </c>
      <c r="AG556" s="43" t="s">
        <v>322</v>
      </c>
      <c r="AJ556" s="140">
        <v>0</v>
      </c>
      <c r="AK556" s="140">
        <v>0</v>
      </c>
      <c r="AL556" s="140">
        <v>0</v>
      </c>
      <c r="AM556" s="140">
        <v>0</v>
      </c>
      <c r="AN556" s="140">
        <v>0</v>
      </c>
      <c r="AO556" s="140">
        <v>0</v>
      </c>
      <c r="AP556" s="140">
        <v>0</v>
      </c>
      <c r="AQ556" s="140">
        <v>0</v>
      </c>
      <c r="AR556" s="140">
        <v>1</v>
      </c>
      <c r="AS556" s="140">
        <v>0</v>
      </c>
      <c r="AT556" s="140">
        <v>0</v>
      </c>
      <c r="AU556" s="140">
        <v>0</v>
      </c>
      <c r="AV556" s="140">
        <v>0</v>
      </c>
      <c r="AW556" s="140">
        <v>0</v>
      </c>
      <c r="AX556" s="140">
        <v>0</v>
      </c>
      <c r="AY556" s="140">
        <v>0</v>
      </c>
      <c r="AZ556" s="140">
        <v>0</v>
      </c>
      <c r="BA556" s="140">
        <v>0</v>
      </c>
      <c r="BB556" s="140">
        <v>0</v>
      </c>
      <c r="BC556" s="140">
        <v>0</v>
      </c>
      <c r="BD556" s="140">
        <v>0</v>
      </c>
      <c r="BE556" s="140">
        <v>0</v>
      </c>
      <c r="BF556" s="140">
        <v>1</v>
      </c>
      <c r="BG556" s="140">
        <v>0</v>
      </c>
      <c r="BH556" s="140">
        <v>0</v>
      </c>
      <c r="BI556" s="140">
        <v>0</v>
      </c>
      <c r="BJ556" s="140">
        <v>0</v>
      </c>
      <c r="BK556" s="140">
        <v>0</v>
      </c>
      <c r="BL556" s="140">
        <v>0</v>
      </c>
      <c r="BM556" s="140">
        <v>0</v>
      </c>
      <c r="BN556" s="140">
        <v>0</v>
      </c>
      <c r="BO556" s="140">
        <v>0</v>
      </c>
      <c r="BX556" s="43">
        <v>15</v>
      </c>
      <c r="BZ556" s="90">
        <f>$M556/3</f>
        <v>0.33333333333333331</v>
      </c>
      <c r="CA556" s="90">
        <f>$M556/3</f>
        <v>0.33333333333333331</v>
      </c>
      <c r="CB556" s="90">
        <f>$M556/3</f>
        <v>0.33333333333333331</v>
      </c>
      <c r="CT556" s="90">
        <f t="shared" si="48"/>
        <v>1</v>
      </c>
      <c r="CU556" s="90">
        <f t="shared" si="49"/>
        <v>1</v>
      </c>
    </row>
    <row r="557" spans="1:99" ht="12" customHeight="1">
      <c r="A557" s="43">
        <v>2634</v>
      </c>
      <c r="B557" s="89" t="s">
        <v>1515</v>
      </c>
      <c r="C557" s="89" t="s">
        <v>1687</v>
      </c>
      <c r="D557" s="89" t="s">
        <v>1688</v>
      </c>
      <c r="F557" s="43">
        <v>525348</v>
      </c>
      <c r="G557" s="43">
        <v>174690</v>
      </c>
      <c r="H557" s="89" t="s">
        <v>170</v>
      </c>
      <c r="K557" s="140">
        <v>2</v>
      </c>
      <c r="L557" s="140">
        <v>8</v>
      </c>
      <c r="M557" s="140">
        <v>6</v>
      </c>
      <c r="N557" s="140">
        <v>8</v>
      </c>
      <c r="O557" s="140">
        <v>6</v>
      </c>
      <c r="Q557" s="89" t="s">
        <v>1689</v>
      </c>
      <c r="R557" s="43" t="s">
        <v>316</v>
      </c>
      <c r="S557" s="125">
        <v>43108</v>
      </c>
      <c r="T557" s="117">
        <v>43182</v>
      </c>
      <c r="V557" s="43" t="s">
        <v>317</v>
      </c>
      <c r="X557" s="43" t="s">
        <v>318</v>
      </c>
      <c r="Y557" s="43" t="s">
        <v>361</v>
      </c>
      <c r="Z557" s="43" t="s">
        <v>320</v>
      </c>
      <c r="AA557" s="43" t="s">
        <v>353</v>
      </c>
      <c r="AB557" s="144">
        <v>1.4000000432133701E-2</v>
      </c>
      <c r="AF557" s="43" t="s">
        <v>75</v>
      </c>
      <c r="AG557" s="43" t="s">
        <v>322</v>
      </c>
      <c r="AJ557" s="140">
        <v>0</v>
      </c>
      <c r="AK557" s="140">
        <v>7</v>
      </c>
      <c r="AL557" s="140">
        <v>0</v>
      </c>
      <c r="AM557" s="140">
        <v>1</v>
      </c>
      <c r="AN557" s="140">
        <v>1</v>
      </c>
      <c r="AO557" s="140">
        <v>4</v>
      </c>
      <c r="AP557" s="140">
        <v>1</v>
      </c>
      <c r="AQ557" s="140">
        <v>0</v>
      </c>
      <c r="AR557" s="140">
        <v>0</v>
      </c>
      <c r="AS557" s="140">
        <v>0</v>
      </c>
      <c r="AT557" s="140">
        <v>0</v>
      </c>
      <c r="AU557" s="140">
        <v>1</v>
      </c>
      <c r="AV557" s="140">
        <v>4</v>
      </c>
      <c r="AW557" s="140">
        <v>1</v>
      </c>
      <c r="AX557" s="140">
        <v>0</v>
      </c>
      <c r="AY557" s="140">
        <v>0</v>
      </c>
      <c r="AZ557" s="140">
        <v>0</v>
      </c>
      <c r="BA557" s="140">
        <v>0</v>
      </c>
      <c r="BB557" s="140">
        <v>0</v>
      </c>
      <c r="BC557" s="140">
        <v>0</v>
      </c>
      <c r="BD557" s="140">
        <v>0</v>
      </c>
      <c r="BE557" s="140">
        <v>0</v>
      </c>
      <c r="BF557" s="140">
        <v>0</v>
      </c>
      <c r="BG557" s="140">
        <v>0</v>
      </c>
      <c r="BH557" s="140">
        <v>0</v>
      </c>
      <c r="BI557" s="140">
        <v>0</v>
      </c>
      <c r="BJ557" s="140">
        <v>0</v>
      </c>
      <c r="BK557" s="140">
        <v>0</v>
      </c>
      <c r="BL557" s="140">
        <v>0</v>
      </c>
      <c r="BM557" s="140">
        <v>0</v>
      </c>
      <c r="BN557" s="140">
        <v>0</v>
      </c>
      <c r="BO557" s="140">
        <v>0</v>
      </c>
      <c r="BP557" s="43" t="s">
        <v>142</v>
      </c>
      <c r="BR557" s="43" t="s">
        <v>329</v>
      </c>
      <c r="BX557" s="43">
        <v>9</v>
      </c>
      <c r="CC557" s="90">
        <f>$M557/3</f>
        <v>2</v>
      </c>
      <c r="CD557" s="90">
        <f>$M557/3</f>
        <v>2</v>
      </c>
      <c r="CE557" s="90">
        <f>$M557/3</f>
        <v>2</v>
      </c>
      <c r="CT557" s="90">
        <f t="shared" si="48"/>
        <v>4</v>
      </c>
      <c r="CU557" s="90">
        <f t="shared" si="49"/>
        <v>6</v>
      </c>
    </row>
    <row r="558" spans="1:99" ht="12" customHeight="1">
      <c r="A558" s="43">
        <v>2641</v>
      </c>
      <c r="B558" s="89" t="s">
        <v>1515</v>
      </c>
      <c r="C558" s="89" t="s">
        <v>1690</v>
      </c>
      <c r="D558" s="89" t="s">
        <v>1691</v>
      </c>
      <c r="F558" s="43">
        <v>527902</v>
      </c>
      <c r="G558" s="43">
        <v>173411</v>
      </c>
      <c r="H558" s="89" t="s">
        <v>173</v>
      </c>
      <c r="I558" s="125">
        <v>42332</v>
      </c>
      <c r="K558" s="140">
        <v>0</v>
      </c>
      <c r="L558" s="140">
        <v>5</v>
      </c>
      <c r="M558" s="140">
        <v>5</v>
      </c>
      <c r="N558" s="140">
        <v>5</v>
      </c>
      <c r="O558" s="140">
        <v>5</v>
      </c>
      <c r="Q558" s="89" t="s">
        <v>1692</v>
      </c>
      <c r="R558" s="43" t="s">
        <v>316</v>
      </c>
      <c r="S558" s="125">
        <v>41166</v>
      </c>
      <c r="T558" s="117">
        <v>41262</v>
      </c>
      <c r="V558" s="43" t="s">
        <v>317</v>
      </c>
      <c r="X558" s="43" t="s">
        <v>318</v>
      </c>
      <c r="Y558" s="43" t="s">
        <v>361</v>
      </c>
      <c r="Z558" s="43" t="s">
        <v>320</v>
      </c>
      <c r="AA558" s="43" t="s">
        <v>353</v>
      </c>
      <c r="AB558" s="144">
        <v>4.1999999433755902E-2</v>
      </c>
      <c r="AF558" s="43" t="s">
        <v>75</v>
      </c>
      <c r="AG558" s="43" t="s">
        <v>322</v>
      </c>
      <c r="AJ558" s="140">
        <v>5</v>
      </c>
      <c r="AK558" s="140">
        <v>0</v>
      </c>
      <c r="AL558" s="140">
        <v>0</v>
      </c>
      <c r="AM558" s="140">
        <v>0</v>
      </c>
      <c r="AN558" s="140">
        <v>0</v>
      </c>
      <c r="AO558" s="140">
        <v>0</v>
      </c>
      <c r="AP558" s="140">
        <v>4</v>
      </c>
      <c r="AQ558" s="140">
        <v>1</v>
      </c>
      <c r="AR558" s="140">
        <v>0</v>
      </c>
      <c r="AS558" s="140">
        <v>0</v>
      </c>
      <c r="AT558" s="140">
        <v>0</v>
      </c>
      <c r="AU558" s="140">
        <v>0</v>
      </c>
      <c r="AV558" s="140">
        <v>0</v>
      </c>
      <c r="AW558" s="140">
        <v>4</v>
      </c>
      <c r="AX558" s="140">
        <v>1</v>
      </c>
      <c r="AY558" s="140">
        <v>0</v>
      </c>
      <c r="AZ558" s="140">
        <v>0</v>
      </c>
      <c r="BA558" s="140">
        <v>0</v>
      </c>
      <c r="BB558" s="140">
        <v>0</v>
      </c>
      <c r="BC558" s="140">
        <v>0</v>
      </c>
      <c r="BD558" s="140">
        <v>0</v>
      </c>
      <c r="BE558" s="140">
        <v>0</v>
      </c>
      <c r="BF558" s="140">
        <v>0</v>
      </c>
      <c r="BG558" s="140">
        <v>0</v>
      </c>
      <c r="BH558" s="140">
        <v>0</v>
      </c>
      <c r="BI558" s="140">
        <v>0</v>
      </c>
      <c r="BJ558" s="140">
        <v>0</v>
      </c>
      <c r="BK558" s="140">
        <v>0</v>
      </c>
      <c r="BL558" s="140">
        <v>0</v>
      </c>
      <c r="BM558" s="140">
        <v>0</v>
      </c>
      <c r="BN558" s="140">
        <v>0</v>
      </c>
      <c r="BO558" s="140">
        <v>0</v>
      </c>
      <c r="BX558" s="43">
        <v>6</v>
      </c>
      <c r="CA558" s="90">
        <f t="shared" ref="CA558:CD561" si="60">$M558/4</f>
        <v>1.25</v>
      </c>
      <c r="CB558" s="90">
        <f t="shared" si="60"/>
        <v>1.25</v>
      </c>
      <c r="CC558" s="90">
        <f t="shared" si="60"/>
        <v>1.25</v>
      </c>
      <c r="CD558" s="90">
        <f t="shared" si="60"/>
        <v>1.25</v>
      </c>
      <c r="CT558" s="90">
        <f t="shared" si="48"/>
        <v>5</v>
      </c>
      <c r="CU558" s="90">
        <f t="shared" si="49"/>
        <v>5</v>
      </c>
    </row>
    <row r="559" spans="1:99" ht="12" customHeight="1">
      <c r="A559" s="43">
        <v>2707</v>
      </c>
      <c r="B559" s="89" t="s">
        <v>1515</v>
      </c>
      <c r="C559" s="89" t="s">
        <v>1693</v>
      </c>
      <c r="D559" s="89" t="s">
        <v>1694</v>
      </c>
      <c r="F559" s="43">
        <v>528836</v>
      </c>
      <c r="G559" s="43">
        <v>172626</v>
      </c>
      <c r="H559" s="89" t="s">
        <v>167</v>
      </c>
      <c r="K559" s="140">
        <v>0</v>
      </c>
      <c r="L559" s="140">
        <v>1</v>
      </c>
      <c r="M559" s="140">
        <v>1</v>
      </c>
      <c r="N559" s="140">
        <v>1</v>
      </c>
      <c r="O559" s="140">
        <v>1</v>
      </c>
      <c r="Q559" s="89" t="s">
        <v>1695</v>
      </c>
      <c r="R559" s="43" t="s">
        <v>316</v>
      </c>
      <c r="S559" s="125">
        <v>42604</v>
      </c>
      <c r="T559" s="117">
        <v>42660</v>
      </c>
      <c r="V559" s="43" t="s">
        <v>317</v>
      </c>
      <c r="X559" s="43" t="s">
        <v>318</v>
      </c>
      <c r="Y559" s="43" t="s">
        <v>361</v>
      </c>
      <c r="Z559" s="43" t="s">
        <v>320</v>
      </c>
      <c r="AA559" s="43" t="s">
        <v>353</v>
      </c>
      <c r="AB559" s="144">
        <v>4.9999998882412902E-3</v>
      </c>
      <c r="AF559" s="43" t="s">
        <v>75</v>
      </c>
      <c r="AG559" s="43" t="s">
        <v>322</v>
      </c>
      <c r="AJ559" s="140">
        <v>0</v>
      </c>
      <c r="AK559" s="140">
        <v>0</v>
      </c>
      <c r="AL559" s="140">
        <v>0</v>
      </c>
      <c r="AM559" s="140">
        <v>0</v>
      </c>
      <c r="AN559" s="140">
        <v>0</v>
      </c>
      <c r="AO559" s="140">
        <v>1</v>
      </c>
      <c r="AP559" s="140">
        <v>0</v>
      </c>
      <c r="AQ559" s="140">
        <v>0</v>
      </c>
      <c r="AR559" s="140">
        <v>0</v>
      </c>
      <c r="AS559" s="140">
        <v>0</v>
      </c>
      <c r="AT559" s="140">
        <v>0</v>
      </c>
      <c r="AU559" s="140">
        <v>0</v>
      </c>
      <c r="AV559" s="140">
        <v>0</v>
      </c>
      <c r="AW559" s="140">
        <v>0</v>
      </c>
      <c r="AX559" s="140">
        <v>0</v>
      </c>
      <c r="AY559" s="140">
        <v>0</v>
      </c>
      <c r="AZ559" s="140">
        <v>0</v>
      </c>
      <c r="BA559" s="140">
        <v>0</v>
      </c>
      <c r="BB559" s="140">
        <v>0</v>
      </c>
      <c r="BC559" s="140">
        <v>1</v>
      </c>
      <c r="BD559" s="140">
        <v>0</v>
      </c>
      <c r="BE559" s="140">
        <v>0</v>
      </c>
      <c r="BF559" s="140">
        <v>0</v>
      </c>
      <c r="BG559" s="140">
        <v>0</v>
      </c>
      <c r="BH559" s="140">
        <v>0</v>
      </c>
      <c r="BI559" s="140">
        <v>0</v>
      </c>
      <c r="BJ559" s="140">
        <v>0</v>
      </c>
      <c r="BK559" s="140">
        <v>0</v>
      </c>
      <c r="BL559" s="140">
        <v>0</v>
      </c>
      <c r="BM559" s="140">
        <v>0</v>
      </c>
      <c r="BN559" s="140">
        <v>0</v>
      </c>
      <c r="BO559" s="140">
        <v>0</v>
      </c>
      <c r="BX559" s="43">
        <v>6</v>
      </c>
      <c r="CA559" s="90">
        <f t="shared" si="60"/>
        <v>0.25</v>
      </c>
      <c r="CB559" s="90">
        <f t="shared" si="60"/>
        <v>0.25</v>
      </c>
      <c r="CC559" s="90">
        <f t="shared" si="60"/>
        <v>0.25</v>
      </c>
      <c r="CD559" s="90">
        <f t="shared" si="60"/>
        <v>0.25</v>
      </c>
      <c r="CT559" s="90">
        <f t="shared" si="48"/>
        <v>1</v>
      </c>
      <c r="CU559" s="90">
        <f t="shared" si="49"/>
        <v>1</v>
      </c>
    </row>
    <row r="560" spans="1:99" ht="12" customHeight="1">
      <c r="A560" s="43">
        <v>2708</v>
      </c>
      <c r="B560" s="89" t="s">
        <v>1515</v>
      </c>
      <c r="C560" s="89" t="s">
        <v>1696</v>
      </c>
      <c r="D560" s="89" t="s">
        <v>1697</v>
      </c>
      <c r="F560" s="43">
        <v>528946</v>
      </c>
      <c r="G560" s="43">
        <v>172480</v>
      </c>
      <c r="H560" s="89" t="s">
        <v>167</v>
      </c>
      <c r="K560" s="140">
        <v>0</v>
      </c>
      <c r="L560" s="140">
        <v>1</v>
      </c>
      <c r="M560" s="140">
        <v>1</v>
      </c>
      <c r="N560" s="140">
        <v>1</v>
      </c>
      <c r="O560" s="140">
        <v>1</v>
      </c>
      <c r="Q560" s="89" t="s">
        <v>1698</v>
      </c>
      <c r="R560" s="43" t="s">
        <v>316</v>
      </c>
      <c r="S560" s="125">
        <v>43147</v>
      </c>
      <c r="T560" s="117">
        <v>43262</v>
      </c>
      <c r="V560" s="43" t="s">
        <v>317</v>
      </c>
      <c r="X560" s="43" t="s">
        <v>318</v>
      </c>
      <c r="Y560" s="43" t="s">
        <v>361</v>
      </c>
      <c r="Z560" s="43" t="s">
        <v>320</v>
      </c>
      <c r="AA560" s="43" t="s">
        <v>353</v>
      </c>
      <c r="AB560" s="144">
        <v>8.9999996125698107E-3</v>
      </c>
      <c r="AF560" s="43" t="s">
        <v>75</v>
      </c>
      <c r="AG560" s="43" t="s">
        <v>322</v>
      </c>
      <c r="AJ560" s="140">
        <v>0</v>
      </c>
      <c r="AK560" s="140">
        <v>1</v>
      </c>
      <c r="AL560" s="140">
        <v>0</v>
      </c>
      <c r="AM560" s="140">
        <v>0</v>
      </c>
      <c r="AN560" s="140">
        <v>0</v>
      </c>
      <c r="AO560" s="140">
        <v>1</v>
      </c>
      <c r="AP560" s="140">
        <v>0</v>
      </c>
      <c r="AQ560" s="140">
        <v>0</v>
      </c>
      <c r="AR560" s="140">
        <v>0</v>
      </c>
      <c r="AS560" s="140">
        <v>0</v>
      </c>
      <c r="AT560" s="140">
        <v>0</v>
      </c>
      <c r="AU560" s="140">
        <v>0</v>
      </c>
      <c r="AV560" s="140">
        <v>0</v>
      </c>
      <c r="AW560" s="140">
        <v>0</v>
      </c>
      <c r="AX560" s="140">
        <v>0</v>
      </c>
      <c r="AY560" s="140">
        <v>0</v>
      </c>
      <c r="AZ560" s="140">
        <v>0</v>
      </c>
      <c r="BA560" s="140">
        <v>0</v>
      </c>
      <c r="BB560" s="140">
        <v>0</v>
      </c>
      <c r="BC560" s="140">
        <v>1</v>
      </c>
      <c r="BD560" s="140">
        <v>0</v>
      </c>
      <c r="BE560" s="140">
        <v>0</v>
      </c>
      <c r="BF560" s="140">
        <v>0</v>
      </c>
      <c r="BG560" s="140">
        <v>0</v>
      </c>
      <c r="BH560" s="140">
        <v>0</v>
      </c>
      <c r="BI560" s="140">
        <v>0</v>
      </c>
      <c r="BJ560" s="140">
        <v>0</v>
      </c>
      <c r="BK560" s="140">
        <v>0</v>
      </c>
      <c r="BL560" s="140">
        <v>0</v>
      </c>
      <c r="BM560" s="140">
        <v>0</v>
      </c>
      <c r="BN560" s="140">
        <v>0</v>
      </c>
      <c r="BO560" s="140">
        <v>0</v>
      </c>
      <c r="BX560" s="43">
        <v>6</v>
      </c>
      <c r="CA560" s="90">
        <f t="shared" si="60"/>
        <v>0.25</v>
      </c>
      <c r="CB560" s="90">
        <f t="shared" si="60"/>
        <v>0.25</v>
      </c>
      <c r="CC560" s="90">
        <f t="shared" si="60"/>
        <v>0.25</v>
      </c>
      <c r="CD560" s="90">
        <f t="shared" si="60"/>
        <v>0.25</v>
      </c>
      <c r="CT560" s="90">
        <f t="shared" si="48"/>
        <v>1</v>
      </c>
      <c r="CU560" s="90">
        <f t="shared" si="49"/>
        <v>1</v>
      </c>
    </row>
    <row r="561" spans="1:99" ht="12" customHeight="1">
      <c r="A561" s="43">
        <v>2776</v>
      </c>
      <c r="B561" s="89" t="s">
        <v>1515</v>
      </c>
      <c r="C561" s="89" t="s">
        <v>1699</v>
      </c>
      <c r="D561" s="89" t="s">
        <v>1700</v>
      </c>
      <c r="F561" s="43">
        <v>521212</v>
      </c>
      <c r="G561" s="43">
        <v>174400</v>
      </c>
      <c r="H561" s="89" t="s">
        <v>149</v>
      </c>
      <c r="K561" s="140">
        <v>1</v>
      </c>
      <c r="L561" s="140">
        <v>1</v>
      </c>
      <c r="M561" s="140">
        <v>0</v>
      </c>
      <c r="N561" s="140">
        <v>1</v>
      </c>
      <c r="O561" s="140">
        <v>0</v>
      </c>
      <c r="Q561" s="89" t="s">
        <v>1701</v>
      </c>
      <c r="R561" s="43" t="s">
        <v>316</v>
      </c>
      <c r="S561" s="125">
        <v>43809</v>
      </c>
      <c r="T561" s="117">
        <v>43847</v>
      </c>
      <c r="U561" s="43" t="s">
        <v>329</v>
      </c>
      <c r="V561" s="43" t="s">
        <v>317</v>
      </c>
      <c r="X561" s="43" t="s">
        <v>318</v>
      </c>
      <c r="Y561" s="43" t="s">
        <v>361</v>
      </c>
      <c r="Z561" s="43" t="s">
        <v>320</v>
      </c>
      <c r="AA561" s="43" t="s">
        <v>353</v>
      </c>
      <c r="AB561" s="144">
        <v>6.5999999642372104E-2</v>
      </c>
      <c r="AF561" s="43" t="s">
        <v>75</v>
      </c>
      <c r="AG561" s="43" t="s">
        <v>322</v>
      </c>
      <c r="AJ561" s="140">
        <v>0</v>
      </c>
      <c r="AK561" s="140">
        <v>0</v>
      </c>
      <c r="AL561" s="140">
        <v>0</v>
      </c>
      <c r="AM561" s="140">
        <v>0</v>
      </c>
      <c r="AN561" s="140">
        <v>0</v>
      </c>
      <c r="AO561" s="140">
        <v>0</v>
      </c>
      <c r="AP561" s="140">
        <v>0</v>
      </c>
      <c r="AQ561" s="140">
        <v>0</v>
      </c>
      <c r="AR561" s="140">
        <v>1</v>
      </c>
      <c r="AS561" s="140">
        <v>-1</v>
      </c>
      <c r="AT561" s="140">
        <v>0</v>
      </c>
      <c r="AU561" s="140">
        <v>0</v>
      </c>
      <c r="AV561" s="140">
        <v>0</v>
      </c>
      <c r="AW561" s="140">
        <v>0</v>
      </c>
      <c r="AX561" s="140">
        <v>0</v>
      </c>
      <c r="AY561" s="140">
        <v>0</v>
      </c>
      <c r="AZ561" s="140">
        <v>0</v>
      </c>
      <c r="BA561" s="140">
        <v>0</v>
      </c>
      <c r="BB561" s="140">
        <v>0</v>
      </c>
      <c r="BC561" s="140">
        <v>0</v>
      </c>
      <c r="BD561" s="140">
        <v>0</v>
      </c>
      <c r="BE561" s="140">
        <v>0</v>
      </c>
      <c r="BF561" s="140">
        <v>1</v>
      </c>
      <c r="BG561" s="140">
        <v>-1</v>
      </c>
      <c r="BH561" s="140">
        <v>0</v>
      </c>
      <c r="BI561" s="140">
        <v>0</v>
      </c>
      <c r="BJ561" s="140">
        <v>0</v>
      </c>
      <c r="BK561" s="140">
        <v>0</v>
      </c>
      <c r="BL561" s="140">
        <v>0</v>
      </c>
      <c r="BM561" s="140">
        <v>0</v>
      </c>
      <c r="BN561" s="140">
        <v>0</v>
      </c>
      <c r="BO561" s="140">
        <v>0</v>
      </c>
      <c r="BX561" s="43">
        <v>6</v>
      </c>
      <c r="CA561" s="90">
        <f t="shared" si="60"/>
        <v>0</v>
      </c>
      <c r="CB561" s="90">
        <f t="shared" si="60"/>
        <v>0</v>
      </c>
      <c r="CC561" s="90">
        <f t="shared" si="60"/>
        <v>0</v>
      </c>
      <c r="CD561" s="90">
        <f t="shared" si="60"/>
        <v>0</v>
      </c>
      <c r="CT561" s="90">
        <f t="shared" si="48"/>
        <v>0</v>
      </c>
      <c r="CU561" s="90">
        <f t="shared" si="49"/>
        <v>0</v>
      </c>
    </row>
    <row r="562" spans="1:99" ht="12" customHeight="1">
      <c r="A562" s="43">
        <v>2793</v>
      </c>
      <c r="B562" s="89" t="s">
        <v>1515</v>
      </c>
      <c r="C562" s="89" t="s">
        <v>1702</v>
      </c>
      <c r="D562" s="89" t="s">
        <v>1703</v>
      </c>
      <c r="F562" s="43">
        <v>524772</v>
      </c>
      <c r="G562" s="43">
        <v>173313</v>
      </c>
      <c r="H562" s="89" t="s">
        <v>176</v>
      </c>
      <c r="K562" s="140">
        <v>0</v>
      </c>
      <c r="L562" s="140">
        <v>1</v>
      </c>
      <c r="M562" s="140">
        <v>1</v>
      </c>
      <c r="N562" s="140">
        <v>1</v>
      </c>
      <c r="O562" s="140">
        <v>1</v>
      </c>
      <c r="Q562" s="89" t="s">
        <v>1704</v>
      </c>
      <c r="R562" s="43" t="s">
        <v>443</v>
      </c>
      <c r="S562" s="125">
        <v>42535</v>
      </c>
      <c r="T562" s="117">
        <v>42586</v>
      </c>
      <c r="V562" s="43" t="s">
        <v>317</v>
      </c>
      <c r="X562" s="43" t="s">
        <v>318</v>
      </c>
      <c r="Y562" s="43" t="s">
        <v>336</v>
      </c>
      <c r="Z562" s="43" t="s">
        <v>320</v>
      </c>
      <c r="AA562" s="43" t="s">
        <v>33</v>
      </c>
      <c r="AB562" s="144">
        <v>3.0000000260770299E-3</v>
      </c>
      <c r="AF562" s="43" t="s">
        <v>75</v>
      </c>
      <c r="AG562" s="43" t="s">
        <v>322</v>
      </c>
      <c r="AJ562" s="140">
        <v>0</v>
      </c>
      <c r="AK562" s="140">
        <v>0</v>
      </c>
      <c r="AL562" s="140">
        <v>0</v>
      </c>
      <c r="AM562" s="140">
        <v>0</v>
      </c>
      <c r="AN562" s="140">
        <v>1</v>
      </c>
      <c r="AO562" s="140">
        <v>0</v>
      </c>
      <c r="AP562" s="140">
        <v>0</v>
      </c>
      <c r="AQ562" s="140">
        <v>0</v>
      </c>
      <c r="AR562" s="140">
        <v>0</v>
      </c>
      <c r="AS562" s="140">
        <v>0</v>
      </c>
      <c r="AT562" s="140">
        <v>0</v>
      </c>
      <c r="AU562" s="140">
        <v>1</v>
      </c>
      <c r="AV562" s="140">
        <v>0</v>
      </c>
      <c r="AW562" s="140">
        <v>0</v>
      </c>
      <c r="AX562" s="140">
        <v>0</v>
      </c>
      <c r="AY562" s="140">
        <v>0</v>
      </c>
      <c r="AZ562" s="140">
        <v>0</v>
      </c>
      <c r="BA562" s="140">
        <v>0</v>
      </c>
      <c r="BB562" s="140">
        <v>0</v>
      </c>
      <c r="BC562" s="140">
        <v>0</v>
      </c>
      <c r="BD562" s="140">
        <v>0</v>
      </c>
      <c r="BE562" s="140">
        <v>0</v>
      </c>
      <c r="BF562" s="140">
        <v>0</v>
      </c>
      <c r="BG562" s="140">
        <v>0</v>
      </c>
      <c r="BH562" s="140">
        <v>0</v>
      </c>
      <c r="BI562" s="140">
        <v>0</v>
      </c>
      <c r="BJ562" s="140">
        <v>0</v>
      </c>
      <c r="BK562" s="140">
        <v>0</v>
      </c>
      <c r="BL562" s="140">
        <v>0</v>
      </c>
      <c r="BM562" s="140">
        <v>0</v>
      </c>
      <c r="BN562" s="140">
        <v>0</v>
      </c>
      <c r="BO562" s="140">
        <v>0</v>
      </c>
      <c r="BX562" s="43">
        <v>15</v>
      </c>
      <c r="BZ562" s="90">
        <f t="shared" ref="BZ562:CB566" si="61">$M562/3</f>
        <v>0.33333333333333331</v>
      </c>
      <c r="CA562" s="90">
        <f t="shared" si="61"/>
        <v>0.33333333333333331</v>
      </c>
      <c r="CB562" s="90">
        <f t="shared" si="61"/>
        <v>0.33333333333333331</v>
      </c>
      <c r="CT562" s="90">
        <f t="shared" si="48"/>
        <v>1</v>
      </c>
      <c r="CU562" s="90">
        <f t="shared" si="49"/>
        <v>1</v>
      </c>
    </row>
    <row r="563" spans="1:99" ht="12" customHeight="1">
      <c r="A563" s="43">
        <v>2933</v>
      </c>
      <c r="B563" s="89" t="s">
        <v>1515</v>
      </c>
      <c r="C563" s="89" t="s">
        <v>1705</v>
      </c>
      <c r="D563" s="89" t="s">
        <v>1706</v>
      </c>
      <c r="F563" s="43">
        <v>524876</v>
      </c>
      <c r="G563" s="43">
        <v>174632</v>
      </c>
      <c r="H563" s="89" t="s">
        <v>169</v>
      </c>
      <c r="K563" s="140">
        <v>0</v>
      </c>
      <c r="L563" s="140">
        <v>1</v>
      </c>
      <c r="M563" s="140">
        <v>1</v>
      </c>
      <c r="N563" s="140">
        <v>1</v>
      </c>
      <c r="O563" s="140">
        <v>1</v>
      </c>
      <c r="Q563" s="89" t="s">
        <v>1707</v>
      </c>
      <c r="R563" s="43" t="s">
        <v>316</v>
      </c>
      <c r="S563" s="125">
        <v>43559</v>
      </c>
      <c r="T563" s="117">
        <v>43615</v>
      </c>
      <c r="U563" s="43" t="s">
        <v>329</v>
      </c>
      <c r="V563" s="43" t="s">
        <v>317</v>
      </c>
      <c r="X563" s="43" t="s">
        <v>318</v>
      </c>
      <c r="Y563" s="43" t="s">
        <v>336</v>
      </c>
      <c r="Z563" s="43" t="s">
        <v>320</v>
      </c>
      <c r="AA563" s="43" t="s">
        <v>36</v>
      </c>
      <c r="AB563" s="144">
        <v>4.0000001899898104E-3</v>
      </c>
      <c r="AF563" s="43" t="s">
        <v>75</v>
      </c>
      <c r="AG563" s="43" t="s">
        <v>322</v>
      </c>
      <c r="AJ563" s="140">
        <v>0</v>
      </c>
      <c r="AK563" s="140">
        <v>0</v>
      </c>
      <c r="AL563" s="140">
        <v>0</v>
      </c>
      <c r="AM563" s="140">
        <v>0</v>
      </c>
      <c r="AN563" s="140">
        <v>0</v>
      </c>
      <c r="AO563" s="140">
        <v>1</v>
      </c>
      <c r="AP563" s="140">
        <v>0</v>
      </c>
      <c r="AQ563" s="140">
        <v>0</v>
      </c>
      <c r="AR563" s="140">
        <v>0</v>
      </c>
      <c r="AS563" s="140">
        <v>0</v>
      </c>
      <c r="AT563" s="140">
        <v>0</v>
      </c>
      <c r="AU563" s="140">
        <v>0</v>
      </c>
      <c r="AV563" s="140">
        <v>1</v>
      </c>
      <c r="AW563" s="140">
        <v>0</v>
      </c>
      <c r="AX563" s="140">
        <v>0</v>
      </c>
      <c r="AY563" s="140">
        <v>0</v>
      </c>
      <c r="AZ563" s="140">
        <v>0</v>
      </c>
      <c r="BA563" s="140">
        <v>0</v>
      </c>
      <c r="BB563" s="140">
        <v>0</v>
      </c>
      <c r="BC563" s="140">
        <v>0</v>
      </c>
      <c r="BD563" s="140">
        <v>0</v>
      </c>
      <c r="BE563" s="140">
        <v>0</v>
      </c>
      <c r="BF563" s="140">
        <v>0</v>
      </c>
      <c r="BG563" s="140">
        <v>0</v>
      </c>
      <c r="BH563" s="140">
        <v>0</v>
      </c>
      <c r="BI563" s="140">
        <v>0</v>
      </c>
      <c r="BJ563" s="140">
        <v>0</v>
      </c>
      <c r="BK563" s="140">
        <v>0</v>
      </c>
      <c r="BL563" s="140">
        <v>0</v>
      </c>
      <c r="BM563" s="140">
        <v>0</v>
      </c>
      <c r="BN563" s="140">
        <v>0</v>
      </c>
      <c r="BO563" s="140">
        <v>0</v>
      </c>
      <c r="BX563" s="43">
        <v>15</v>
      </c>
      <c r="BZ563" s="90">
        <f t="shared" si="61"/>
        <v>0.33333333333333331</v>
      </c>
      <c r="CA563" s="90">
        <f t="shared" si="61"/>
        <v>0.33333333333333331</v>
      </c>
      <c r="CB563" s="90">
        <f t="shared" si="61"/>
        <v>0.33333333333333331</v>
      </c>
      <c r="CT563" s="90">
        <f t="shared" si="48"/>
        <v>1</v>
      </c>
      <c r="CU563" s="90">
        <f t="shared" si="49"/>
        <v>1</v>
      </c>
    </row>
    <row r="564" spans="1:99" ht="12" customHeight="1">
      <c r="A564" s="43">
        <v>3066</v>
      </c>
      <c r="B564" s="89" t="s">
        <v>1515</v>
      </c>
      <c r="C564" s="89" t="s">
        <v>1708</v>
      </c>
      <c r="D564" s="89" t="s">
        <v>1709</v>
      </c>
      <c r="F564" s="43">
        <v>523512</v>
      </c>
      <c r="G564" s="43">
        <v>175269</v>
      </c>
      <c r="H564" s="89" t="s">
        <v>178</v>
      </c>
      <c r="K564" s="140">
        <v>2</v>
      </c>
      <c r="L564" s="140">
        <v>1</v>
      </c>
      <c r="M564" s="140">
        <v>-1</v>
      </c>
      <c r="N564" s="140">
        <v>1</v>
      </c>
      <c r="O564" s="140">
        <v>-1</v>
      </c>
      <c r="Q564" s="89" t="s">
        <v>1710</v>
      </c>
      <c r="R564" s="43" t="s">
        <v>316</v>
      </c>
      <c r="S564" s="125">
        <v>43620</v>
      </c>
      <c r="T564" s="117">
        <v>43676</v>
      </c>
      <c r="U564" s="43" t="s">
        <v>329</v>
      </c>
      <c r="V564" s="43" t="s">
        <v>317</v>
      </c>
      <c r="X564" s="43" t="s">
        <v>318</v>
      </c>
      <c r="Y564" s="43" t="s">
        <v>319</v>
      </c>
      <c r="Z564" s="43" t="s">
        <v>320</v>
      </c>
      <c r="AA564" s="43" t="s">
        <v>22</v>
      </c>
      <c r="AB564" s="144">
        <v>6.5999999642372104E-2</v>
      </c>
      <c r="AF564" s="43" t="s">
        <v>75</v>
      </c>
      <c r="AG564" s="43" t="s">
        <v>322</v>
      </c>
      <c r="AJ564" s="140">
        <v>0</v>
      </c>
      <c r="AK564" s="140">
        <v>0</v>
      </c>
      <c r="AL564" s="140">
        <v>0</v>
      </c>
      <c r="AM564" s="140">
        <v>0</v>
      </c>
      <c r="AN564" s="140">
        <v>0</v>
      </c>
      <c r="AO564" s="140">
        <v>0</v>
      </c>
      <c r="AP564" s="140">
        <v>-2</v>
      </c>
      <c r="AQ564" s="140">
        <v>0</v>
      </c>
      <c r="AR564" s="140">
        <v>0</v>
      </c>
      <c r="AS564" s="140">
        <v>1</v>
      </c>
      <c r="AT564" s="140">
        <v>0</v>
      </c>
      <c r="AU564" s="140">
        <v>0</v>
      </c>
      <c r="AV564" s="140">
        <v>0</v>
      </c>
      <c r="AW564" s="140">
        <v>-2</v>
      </c>
      <c r="AX564" s="140">
        <v>0</v>
      </c>
      <c r="AY564" s="140">
        <v>0</v>
      </c>
      <c r="AZ564" s="140">
        <v>0</v>
      </c>
      <c r="BA564" s="140">
        <v>0</v>
      </c>
      <c r="BB564" s="140">
        <v>0</v>
      </c>
      <c r="BC564" s="140">
        <v>0</v>
      </c>
      <c r="BD564" s="140">
        <v>0</v>
      </c>
      <c r="BE564" s="140">
        <v>0</v>
      </c>
      <c r="BF564" s="140">
        <v>0</v>
      </c>
      <c r="BG564" s="140">
        <v>1</v>
      </c>
      <c r="BH564" s="140">
        <v>0</v>
      </c>
      <c r="BI564" s="140">
        <v>0</v>
      </c>
      <c r="BJ564" s="140">
        <v>0</v>
      </c>
      <c r="BK564" s="140">
        <v>0</v>
      </c>
      <c r="BL564" s="140">
        <v>0</v>
      </c>
      <c r="BM564" s="140">
        <v>0</v>
      </c>
      <c r="BN564" s="140">
        <v>0</v>
      </c>
      <c r="BO564" s="140">
        <v>0</v>
      </c>
      <c r="BX564" s="43">
        <v>15</v>
      </c>
      <c r="BZ564" s="90">
        <f t="shared" si="61"/>
        <v>-0.33333333333333331</v>
      </c>
      <c r="CA564" s="90">
        <f t="shared" si="61"/>
        <v>-0.33333333333333331</v>
      </c>
      <c r="CB564" s="90">
        <f t="shared" si="61"/>
        <v>-0.33333333333333331</v>
      </c>
      <c r="CT564" s="90">
        <f t="shared" si="48"/>
        <v>-1</v>
      </c>
      <c r="CU564" s="90">
        <f t="shared" si="49"/>
        <v>-1</v>
      </c>
    </row>
    <row r="565" spans="1:99" ht="12" customHeight="1">
      <c r="A565" s="43">
        <v>3112</v>
      </c>
      <c r="B565" s="89" t="s">
        <v>1515</v>
      </c>
      <c r="C565" s="89" t="s">
        <v>1711</v>
      </c>
      <c r="D565" s="89" t="s">
        <v>1712</v>
      </c>
      <c r="F565" s="43">
        <v>524381</v>
      </c>
      <c r="G565" s="43">
        <v>175300</v>
      </c>
      <c r="H565" s="89" t="s">
        <v>178</v>
      </c>
      <c r="K565" s="140">
        <v>3</v>
      </c>
      <c r="L565" s="140">
        <v>3</v>
      </c>
      <c r="M565" s="140">
        <v>0</v>
      </c>
      <c r="N565" s="140">
        <v>5</v>
      </c>
      <c r="O565" s="140">
        <v>2</v>
      </c>
      <c r="Q565" s="89" t="s">
        <v>1713</v>
      </c>
      <c r="R565" s="43" t="s">
        <v>316</v>
      </c>
      <c r="S565" s="125">
        <v>43648</v>
      </c>
      <c r="T565" s="117">
        <v>43689</v>
      </c>
      <c r="U565" s="43" t="s">
        <v>329</v>
      </c>
      <c r="V565" s="43" t="s">
        <v>317</v>
      </c>
      <c r="X565" s="43" t="s">
        <v>318</v>
      </c>
      <c r="Y565" s="43" t="s">
        <v>319</v>
      </c>
      <c r="Z565" s="43" t="s">
        <v>320</v>
      </c>
      <c r="AA565" s="43" t="s">
        <v>321</v>
      </c>
      <c r="AB565" s="144">
        <v>6.0000000521540598E-3</v>
      </c>
      <c r="AF565" s="43" t="s">
        <v>75</v>
      </c>
      <c r="AG565" s="43" t="s">
        <v>322</v>
      </c>
      <c r="AJ565" s="140">
        <v>0</v>
      </c>
      <c r="AK565" s="140">
        <v>0</v>
      </c>
      <c r="AL565" s="140">
        <v>0</v>
      </c>
      <c r="AM565" s="140">
        <v>0</v>
      </c>
      <c r="AN565" s="140">
        <v>0</v>
      </c>
      <c r="AO565" s="140">
        <v>2</v>
      </c>
      <c r="AP565" s="140">
        <v>-1</v>
      </c>
      <c r="AQ565" s="140">
        <v>-1</v>
      </c>
      <c r="AR565" s="140">
        <v>0</v>
      </c>
      <c r="AS565" s="140">
        <v>0</v>
      </c>
      <c r="AT565" s="140">
        <v>0</v>
      </c>
      <c r="AU565" s="140">
        <v>0</v>
      </c>
      <c r="AV565" s="140">
        <v>2</v>
      </c>
      <c r="AW565" s="140">
        <v>-1</v>
      </c>
      <c r="AX565" s="140">
        <v>-1</v>
      </c>
      <c r="AY565" s="140">
        <v>0</v>
      </c>
      <c r="AZ565" s="140">
        <v>0</v>
      </c>
      <c r="BA565" s="140">
        <v>0</v>
      </c>
      <c r="BB565" s="140">
        <v>0</v>
      </c>
      <c r="BC565" s="140">
        <v>0</v>
      </c>
      <c r="BD565" s="140">
        <v>0</v>
      </c>
      <c r="BE565" s="140">
        <v>0</v>
      </c>
      <c r="BF565" s="140">
        <v>0</v>
      </c>
      <c r="BG565" s="140">
        <v>0</v>
      </c>
      <c r="BH565" s="140">
        <v>0</v>
      </c>
      <c r="BI565" s="140">
        <v>0</v>
      </c>
      <c r="BJ565" s="140">
        <v>0</v>
      </c>
      <c r="BK565" s="140">
        <v>0</v>
      </c>
      <c r="BL565" s="140">
        <v>0</v>
      </c>
      <c r="BM565" s="140">
        <v>0</v>
      </c>
      <c r="BN565" s="140">
        <v>0</v>
      </c>
      <c r="BO565" s="140">
        <v>0</v>
      </c>
      <c r="BX565" s="43">
        <v>15</v>
      </c>
      <c r="BZ565" s="90">
        <f t="shared" si="61"/>
        <v>0</v>
      </c>
      <c r="CA565" s="90">
        <f t="shared" si="61"/>
        <v>0</v>
      </c>
      <c r="CB565" s="90">
        <f t="shared" si="61"/>
        <v>0</v>
      </c>
      <c r="CT565" s="90">
        <f t="shared" si="48"/>
        <v>0</v>
      </c>
      <c r="CU565" s="90">
        <f t="shared" si="49"/>
        <v>0</v>
      </c>
    </row>
    <row r="566" spans="1:99" ht="12" customHeight="1">
      <c r="A566" s="43">
        <v>3112</v>
      </c>
      <c r="B566" s="89" t="s">
        <v>1515</v>
      </c>
      <c r="C566" s="89" t="s">
        <v>1711</v>
      </c>
      <c r="D566" s="89" t="s">
        <v>1712</v>
      </c>
      <c r="F566" s="43">
        <v>524381</v>
      </c>
      <c r="G566" s="43">
        <v>175300</v>
      </c>
      <c r="H566" s="89" t="s">
        <v>178</v>
      </c>
      <c r="K566" s="140">
        <v>0</v>
      </c>
      <c r="L566" s="140">
        <v>2</v>
      </c>
      <c r="M566" s="140">
        <v>2</v>
      </c>
      <c r="N566" s="140">
        <v>5</v>
      </c>
      <c r="O566" s="140">
        <v>2</v>
      </c>
      <c r="Q566" s="89" t="s">
        <v>1713</v>
      </c>
      <c r="R566" s="43" t="s">
        <v>316</v>
      </c>
      <c r="S566" s="125">
        <v>43648</v>
      </c>
      <c r="T566" s="117">
        <v>43689</v>
      </c>
      <c r="U566" s="43" t="s">
        <v>329</v>
      </c>
      <c r="V566" s="43" t="s">
        <v>317</v>
      </c>
      <c r="X566" s="43" t="s">
        <v>318</v>
      </c>
      <c r="Y566" s="43" t="s">
        <v>319</v>
      </c>
      <c r="Z566" s="43" t="s">
        <v>320</v>
      </c>
      <c r="AA566" s="43" t="s">
        <v>340</v>
      </c>
      <c r="AB566" s="144">
        <v>4.0000001899898104E-3</v>
      </c>
      <c r="AF566" s="43" t="s">
        <v>75</v>
      </c>
      <c r="AG566" s="43" t="s">
        <v>322</v>
      </c>
      <c r="AJ566" s="140">
        <v>0</v>
      </c>
      <c r="AK566" s="140">
        <v>0</v>
      </c>
      <c r="AL566" s="140">
        <v>0</v>
      </c>
      <c r="AM566" s="140">
        <v>0</v>
      </c>
      <c r="AN566" s="140">
        <v>0</v>
      </c>
      <c r="AO566" s="140">
        <v>0</v>
      </c>
      <c r="AP566" s="140">
        <v>2</v>
      </c>
      <c r="AQ566" s="140">
        <v>0</v>
      </c>
      <c r="AR566" s="140">
        <v>0</v>
      </c>
      <c r="AS566" s="140">
        <v>0</v>
      </c>
      <c r="AT566" s="140">
        <v>0</v>
      </c>
      <c r="AU566" s="140">
        <v>0</v>
      </c>
      <c r="AV566" s="140">
        <v>0</v>
      </c>
      <c r="AW566" s="140">
        <v>2</v>
      </c>
      <c r="AX566" s="140">
        <v>0</v>
      </c>
      <c r="AY566" s="140">
        <v>0</v>
      </c>
      <c r="AZ566" s="140">
        <v>0</v>
      </c>
      <c r="BA566" s="140">
        <v>0</v>
      </c>
      <c r="BB566" s="140">
        <v>0</v>
      </c>
      <c r="BC566" s="140">
        <v>0</v>
      </c>
      <c r="BD566" s="140">
        <v>0</v>
      </c>
      <c r="BE566" s="140">
        <v>0</v>
      </c>
      <c r="BF566" s="140">
        <v>0</v>
      </c>
      <c r="BG566" s="140">
        <v>0</v>
      </c>
      <c r="BH566" s="140">
        <v>0</v>
      </c>
      <c r="BI566" s="140">
        <v>0</v>
      </c>
      <c r="BJ566" s="140">
        <v>0</v>
      </c>
      <c r="BK566" s="140">
        <v>0</v>
      </c>
      <c r="BL566" s="140">
        <v>0</v>
      </c>
      <c r="BM566" s="140">
        <v>0</v>
      </c>
      <c r="BN566" s="140">
        <v>0</v>
      </c>
      <c r="BO566" s="140">
        <v>0</v>
      </c>
      <c r="BX566" s="43">
        <v>15</v>
      </c>
      <c r="BZ566" s="90">
        <f t="shared" si="61"/>
        <v>0.66666666666666663</v>
      </c>
      <c r="CA566" s="90">
        <f t="shared" si="61"/>
        <v>0.66666666666666663</v>
      </c>
      <c r="CB566" s="90">
        <f t="shared" si="61"/>
        <v>0.66666666666666663</v>
      </c>
      <c r="CT566" s="90">
        <f t="shared" si="48"/>
        <v>2</v>
      </c>
      <c r="CU566" s="90">
        <f t="shared" si="49"/>
        <v>2</v>
      </c>
    </row>
    <row r="567" spans="1:99" ht="12" customHeight="1">
      <c r="A567" s="43">
        <v>3268</v>
      </c>
      <c r="B567" s="89" t="s">
        <v>1515</v>
      </c>
      <c r="C567" s="89" t="s">
        <v>1714</v>
      </c>
      <c r="D567" s="89" t="s">
        <v>1715</v>
      </c>
      <c r="F567" s="43">
        <v>528819</v>
      </c>
      <c r="G567" s="43">
        <v>171232</v>
      </c>
      <c r="H567" s="89" t="s">
        <v>171</v>
      </c>
      <c r="K567" s="140">
        <v>0</v>
      </c>
      <c r="L567" s="140">
        <v>1</v>
      </c>
      <c r="M567" s="140">
        <v>1</v>
      </c>
      <c r="N567" s="140">
        <v>1</v>
      </c>
      <c r="O567" s="140">
        <v>1</v>
      </c>
      <c r="Q567" s="89" t="s">
        <v>1716</v>
      </c>
      <c r="R567" s="43" t="s">
        <v>316</v>
      </c>
      <c r="S567" s="125">
        <v>43845</v>
      </c>
      <c r="T567" s="117">
        <v>43871</v>
      </c>
      <c r="U567" s="43" t="s">
        <v>329</v>
      </c>
      <c r="V567" s="43" t="s">
        <v>317</v>
      </c>
      <c r="X567" s="43" t="s">
        <v>318</v>
      </c>
      <c r="Y567" s="43" t="s">
        <v>361</v>
      </c>
      <c r="Z567" s="43" t="s">
        <v>320</v>
      </c>
      <c r="AA567" s="43" t="s">
        <v>353</v>
      </c>
      <c r="AB567" s="144">
        <v>8.0000003799796104E-3</v>
      </c>
      <c r="AF567" s="43" t="s">
        <v>75</v>
      </c>
      <c r="AG567" s="43" t="s">
        <v>322</v>
      </c>
      <c r="AJ567" s="140">
        <v>0</v>
      </c>
      <c r="AK567" s="140">
        <v>0</v>
      </c>
      <c r="AL567" s="140">
        <v>0</v>
      </c>
      <c r="AM567" s="140">
        <v>0</v>
      </c>
      <c r="AN567" s="140">
        <v>0</v>
      </c>
      <c r="AO567" s="140">
        <v>0</v>
      </c>
      <c r="AP567" s="140">
        <v>1</v>
      </c>
      <c r="AQ567" s="140">
        <v>0</v>
      </c>
      <c r="AR567" s="140">
        <v>0</v>
      </c>
      <c r="AS567" s="140">
        <v>0</v>
      </c>
      <c r="AT567" s="140">
        <v>0</v>
      </c>
      <c r="AU567" s="140">
        <v>0</v>
      </c>
      <c r="AV567" s="140">
        <v>0</v>
      </c>
      <c r="AW567" s="140">
        <v>0</v>
      </c>
      <c r="AX567" s="140">
        <v>0</v>
      </c>
      <c r="AY567" s="140">
        <v>0</v>
      </c>
      <c r="AZ567" s="140">
        <v>0</v>
      </c>
      <c r="BA567" s="140">
        <v>0</v>
      </c>
      <c r="BB567" s="140">
        <v>0</v>
      </c>
      <c r="BC567" s="140">
        <v>0</v>
      </c>
      <c r="BD567" s="140">
        <v>1</v>
      </c>
      <c r="BE567" s="140">
        <v>0</v>
      </c>
      <c r="BF567" s="140">
        <v>0</v>
      </c>
      <c r="BG567" s="140">
        <v>0</v>
      </c>
      <c r="BH567" s="140">
        <v>0</v>
      </c>
      <c r="BI567" s="140">
        <v>0</v>
      </c>
      <c r="BJ567" s="140">
        <v>0</v>
      </c>
      <c r="BK567" s="140">
        <v>0</v>
      </c>
      <c r="BL567" s="140">
        <v>0</v>
      </c>
      <c r="BM567" s="140">
        <v>0</v>
      </c>
      <c r="BN567" s="140">
        <v>0</v>
      </c>
      <c r="BO567" s="140">
        <v>0</v>
      </c>
      <c r="BX567" s="43">
        <v>6</v>
      </c>
      <c r="CA567" s="90">
        <f>$M567/4</f>
        <v>0.25</v>
      </c>
      <c r="CB567" s="90">
        <f>$M567/4</f>
        <v>0.25</v>
      </c>
      <c r="CC567" s="90">
        <f>$M567/4</f>
        <v>0.25</v>
      </c>
      <c r="CD567" s="90">
        <f>$M567/4</f>
        <v>0.25</v>
      </c>
      <c r="CT567" s="90">
        <f t="shared" si="48"/>
        <v>1</v>
      </c>
      <c r="CU567" s="90">
        <f t="shared" si="49"/>
        <v>1</v>
      </c>
    </row>
    <row r="568" spans="1:99" ht="12" customHeight="1">
      <c r="A568" s="43">
        <v>3344</v>
      </c>
      <c r="B568" s="89" t="s">
        <v>1515</v>
      </c>
      <c r="C568" s="89" t="s">
        <v>1717</v>
      </c>
      <c r="D568" s="89" t="s">
        <v>1718</v>
      </c>
      <c r="F568" s="43">
        <v>527574</v>
      </c>
      <c r="G568" s="43">
        <v>171313</v>
      </c>
      <c r="H568" s="89" t="s">
        <v>172</v>
      </c>
      <c r="K568" s="140">
        <v>1</v>
      </c>
      <c r="L568" s="140">
        <v>4</v>
      </c>
      <c r="M568" s="140">
        <v>3</v>
      </c>
      <c r="N568" s="140">
        <v>4</v>
      </c>
      <c r="O568" s="140">
        <v>3</v>
      </c>
      <c r="Q568" s="89" t="s">
        <v>1719</v>
      </c>
      <c r="R568" s="43" t="s">
        <v>316</v>
      </c>
      <c r="S568" s="125">
        <v>43186</v>
      </c>
      <c r="T568" s="117">
        <v>43235</v>
      </c>
      <c r="V568" s="43" t="s">
        <v>317</v>
      </c>
      <c r="X568" s="43" t="s">
        <v>318</v>
      </c>
      <c r="Y568" s="43" t="s">
        <v>319</v>
      </c>
      <c r="Z568" s="43" t="s">
        <v>320</v>
      </c>
      <c r="AA568" s="43" t="s">
        <v>321</v>
      </c>
      <c r="AB568" s="144">
        <v>9.9999997764825804E-3</v>
      </c>
      <c r="AF568" s="43" t="s">
        <v>75</v>
      </c>
      <c r="AG568" s="43" t="s">
        <v>322</v>
      </c>
      <c r="AJ568" s="140">
        <v>0</v>
      </c>
      <c r="AK568" s="140">
        <v>0</v>
      </c>
      <c r="AL568" s="140">
        <v>0</v>
      </c>
      <c r="AM568" s="140">
        <v>0</v>
      </c>
      <c r="AN568" s="140">
        <v>0</v>
      </c>
      <c r="AO568" s="140">
        <v>4</v>
      </c>
      <c r="AP568" s="140">
        <v>0</v>
      </c>
      <c r="AQ568" s="140">
        <v>0</v>
      </c>
      <c r="AR568" s="140">
        <v>-1</v>
      </c>
      <c r="AS568" s="140">
        <v>0</v>
      </c>
      <c r="AT568" s="140">
        <v>0</v>
      </c>
      <c r="AU568" s="140">
        <v>0</v>
      </c>
      <c r="AV568" s="140">
        <v>4</v>
      </c>
      <c r="AW568" s="140">
        <v>0</v>
      </c>
      <c r="AX568" s="140">
        <v>0</v>
      </c>
      <c r="AY568" s="140">
        <v>-1</v>
      </c>
      <c r="AZ568" s="140">
        <v>0</v>
      </c>
      <c r="BA568" s="140">
        <v>0</v>
      </c>
      <c r="BB568" s="140">
        <v>0</v>
      </c>
      <c r="BC568" s="140">
        <v>0</v>
      </c>
      <c r="BD568" s="140">
        <v>0</v>
      </c>
      <c r="BE568" s="140">
        <v>0</v>
      </c>
      <c r="BF568" s="140">
        <v>0</v>
      </c>
      <c r="BG568" s="140">
        <v>0</v>
      </c>
      <c r="BH568" s="140">
        <v>0</v>
      </c>
      <c r="BI568" s="140">
        <v>0</v>
      </c>
      <c r="BJ568" s="140">
        <v>0</v>
      </c>
      <c r="BK568" s="140">
        <v>0</v>
      </c>
      <c r="BL568" s="140">
        <v>0</v>
      </c>
      <c r="BM568" s="140">
        <v>0</v>
      </c>
      <c r="BN568" s="140">
        <v>0</v>
      </c>
      <c r="BO568" s="140">
        <v>0</v>
      </c>
      <c r="BP568" s="43" t="s">
        <v>141</v>
      </c>
      <c r="BX568" s="43">
        <v>15</v>
      </c>
      <c r="BZ568" s="90">
        <f t="shared" ref="BZ568:CB569" si="62">$M568/3</f>
        <v>1</v>
      </c>
      <c r="CA568" s="90">
        <f t="shared" si="62"/>
        <v>1</v>
      </c>
      <c r="CB568" s="90">
        <f t="shared" si="62"/>
        <v>1</v>
      </c>
      <c r="CT568" s="90">
        <f t="shared" si="48"/>
        <v>3</v>
      </c>
      <c r="CU568" s="90">
        <f t="shared" si="49"/>
        <v>3</v>
      </c>
    </row>
    <row r="569" spans="1:99" ht="12" customHeight="1">
      <c r="A569" s="43">
        <v>3352</v>
      </c>
      <c r="B569" s="89" t="s">
        <v>1515</v>
      </c>
      <c r="C569" s="89" t="s">
        <v>1720</v>
      </c>
      <c r="D569" s="89" t="s">
        <v>1721</v>
      </c>
      <c r="F569" s="43">
        <v>523964</v>
      </c>
      <c r="G569" s="43">
        <v>174987</v>
      </c>
      <c r="H569" s="89" t="s">
        <v>169</v>
      </c>
      <c r="K569" s="140">
        <v>0</v>
      </c>
      <c r="L569" s="140">
        <v>2</v>
      </c>
      <c r="M569" s="140">
        <v>2</v>
      </c>
      <c r="N569" s="140">
        <v>2</v>
      </c>
      <c r="O569" s="140">
        <v>2</v>
      </c>
      <c r="Q569" s="89" t="s">
        <v>1722</v>
      </c>
      <c r="R569" s="43" t="s">
        <v>316</v>
      </c>
      <c r="S569" s="125">
        <v>43588</v>
      </c>
      <c r="T569" s="117">
        <v>43734</v>
      </c>
      <c r="U569" s="43" t="s">
        <v>329</v>
      </c>
      <c r="V569" s="43" t="s">
        <v>317</v>
      </c>
      <c r="X569" s="43" t="s">
        <v>318</v>
      </c>
      <c r="Y569" s="43" t="s">
        <v>319</v>
      </c>
      <c r="Z569" s="43" t="s">
        <v>320</v>
      </c>
      <c r="AA569" s="43" t="s">
        <v>30</v>
      </c>
      <c r="AB569" s="144">
        <v>4.0000001899898104E-3</v>
      </c>
      <c r="AF569" s="43" t="s">
        <v>75</v>
      </c>
      <c r="AG569" s="43" t="s">
        <v>322</v>
      </c>
      <c r="AJ569" s="140">
        <v>0</v>
      </c>
      <c r="AK569" s="140">
        <v>0</v>
      </c>
      <c r="AL569" s="140">
        <v>0</v>
      </c>
      <c r="AM569" s="140">
        <v>0</v>
      </c>
      <c r="AN569" s="140">
        <v>0</v>
      </c>
      <c r="AO569" s="140">
        <v>2</v>
      </c>
      <c r="AP569" s="140">
        <v>0</v>
      </c>
      <c r="AQ569" s="140">
        <v>0</v>
      </c>
      <c r="AR569" s="140">
        <v>0</v>
      </c>
      <c r="AS569" s="140">
        <v>0</v>
      </c>
      <c r="AT569" s="140">
        <v>0</v>
      </c>
      <c r="AU569" s="140">
        <v>0</v>
      </c>
      <c r="AV569" s="140">
        <v>2</v>
      </c>
      <c r="AW569" s="140">
        <v>0</v>
      </c>
      <c r="AX569" s="140">
        <v>0</v>
      </c>
      <c r="AY569" s="140">
        <v>0</v>
      </c>
      <c r="AZ569" s="140">
        <v>0</v>
      </c>
      <c r="BA569" s="140">
        <v>0</v>
      </c>
      <c r="BB569" s="140">
        <v>0</v>
      </c>
      <c r="BC569" s="140">
        <v>0</v>
      </c>
      <c r="BD569" s="140">
        <v>0</v>
      </c>
      <c r="BE569" s="140">
        <v>0</v>
      </c>
      <c r="BF569" s="140">
        <v>0</v>
      </c>
      <c r="BG569" s="140">
        <v>0</v>
      </c>
      <c r="BH569" s="140">
        <v>0</v>
      </c>
      <c r="BI569" s="140">
        <v>0</v>
      </c>
      <c r="BJ569" s="140">
        <v>0</v>
      </c>
      <c r="BK569" s="140">
        <v>0</v>
      </c>
      <c r="BL569" s="140">
        <v>0</v>
      </c>
      <c r="BM569" s="140">
        <v>0</v>
      </c>
      <c r="BN569" s="140">
        <v>0</v>
      </c>
      <c r="BO569" s="140">
        <v>0</v>
      </c>
      <c r="BP569" s="43" t="s">
        <v>140</v>
      </c>
      <c r="BT569" s="43" t="s">
        <v>329</v>
      </c>
      <c r="BX569" s="43">
        <v>15</v>
      </c>
      <c r="BZ569" s="90">
        <f t="shared" si="62"/>
        <v>0.66666666666666663</v>
      </c>
      <c r="CA569" s="90">
        <f t="shared" si="62"/>
        <v>0.66666666666666663</v>
      </c>
      <c r="CB569" s="90">
        <f t="shared" si="62"/>
        <v>0.66666666666666663</v>
      </c>
      <c r="CT569" s="90">
        <f t="shared" si="48"/>
        <v>2</v>
      </c>
      <c r="CU569" s="90">
        <f t="shared" si="49"/>
        <v>2</v>
      </c>
    </row>
    <row r="570" spans="1:99" ht="12" customHeight="1">
      <c r="A570" s="43">
        <v>3511</v>
      </c>
      <c r="B570" s="89" t="s">
        <v>1515</v>
      </c>
      <c r="C570" s="89" t="s">
        <v>1723</v>
      </c>
      <c r="D570" s="89" t="s">
        <v>949</v>
      </c>
      <c r="E570" s="89" t="s">
        <v>1724</v>
      </c>
      <c r="F570" s="43">
        <v>529369</v>
      </c>
      <c r="G570" s="43">
        <v>177317</v>
      </c>
      <c r="H570" s="89" t="s">
        <v>148</v>
      </c>
      <c r="I570" s="125">
        <v>42825</v>
      </c>
      <c r="K570" s="140">
        <v>0</v>
      </c>
      <c r="L570" s="140">
        <v>207</v>
      </c>
      <c r="M570" s="140">
        <v>207</v>
      </c>
      <c r="N570" s="140">
        <v>2971</v>
      </c>
      <c r="O570" s="140">
        <v>2966</v>
      </c>
      <c r="P570" s="43" t="s">
        <v>329</v>
      </c>
      <c r="Q570" s="89" t="s">
        <v>1725</v>
      </c>
      <c r="R570" s="43" t="s">
        <v>1726</v>
      </c>
      <c r="S570" s="125">
        <v>41774</v>
      </c>
      <c r="T570" s="117">
        <v>42046</v>
      </c>
      <c r="V570" s="43" t="s">
        <v>317</v>
      </c>
      <c r="X570" s="43" t="s">
        <v>318</v>
      </c>
      <c r="Y570" s="43" t="s">
        <v>361</v>
      </c>
      <c r="Z570" s="43" t="s">
        <v>361</v>
      </c>
      <c r="AA570" s="43" t="s">
        <v>320</v>
      </c>
      <c r="AB570" s="144">
        <v>1.2489999532699601</v>
      </c>
      <c r="AF570" s="43" t="s">
        <v>75</v>
      </c>
      <c r="AG570" s="43" t="s">
        <v>322</v>
      </c>
      <c r="AH570" s="43" t="s">
        <v>952</v>
      </c>
      <c r="AJ570" s="140">
        <v>0</v>
      </c>
      <c r="AK570" s="140">
        <v>0</v>
      </c>
      <c r="AL570" s="140">
        <v>0</v>
      </c>
      <c r="AM570" s="140">
        <v>0</v>
      </c>
      <c r="AN570" s="140">
        <v>26</v>
      </c>
      <c r="AO570" s="140">
        <v>41</v>
      </c>
      <c r="AP570" s="140">
        <v>124</v>
      </c>
      <c r="AQ570" s="140">
        <v>16</v>
      </c>
      <c r="AR570" s="140">
        <v>0</v>
      </c>
      <c r="AS570" s="140">
        <v>0</v>
      </c>
      <c r="AT570" s="140">
        <v>0</v>
      </c>
      <c r="AU570" s="140">
        <v>26</v>
      </c>
      <c r="AV570" s="140">
        <v>41</v>
      </c>
      <c r="AW570" s="140">
        <v>124</v>
      </c>
      <c r="AX570" s="140">
        <v>16</v>
      </c>
      <c r="AY570" s="140">
        <v>0</v>
      </c>
      <c r="AZ570" s="140">
        <v>0</v>
      </c>
      <c r="BA570" s="140">
        <v>0</v>
      </c>
      <c r="BB570" s="140">
        <v>0</v>
      </c>
      <c r="BC570" s="140">
        <v>0</v>
      </c>
      <c r="BD570" s="140">
        <v>0</v>
      </c>
      <c r="BE570" s="140">
        <v>0</v>
      </c>
      <c r="BF570" s="140">
        <v>0</v>
      </c>
      <c r="BG570" s="140">
        <v>0</v>
      </c>
      <c r="BH570" s="140">
        <v>0</v>
      </c>
      <c r="BI570" s="140">
        <v>0</v>
      </c>
      <c r="BJ570" s="140">
        <v>0</v>
      </c>
      <c r="BK570" s="140">
        <v>0</v>
      </c>
      <c r="BL570" s="140">
        <v>0</v>
      </c>
      <c r="BM570" s="140">
        <v>0</v>
      </c>
      <c r="BN570" s="140">
        <v>0</v>
      </c>
      <c r="BO570" s="140">
        <v>0</v>
      </c>
      <c r="BQ570" s="43" t="s">
        <v>329</v>
      </c>
      <c r="BX570" s="43">
        <v>21</v>
      </c>
      <c r="CG570" s="90">
        <f>M570</f>
        <v>207</v>
      </c>
      <c r="CT570" s="90">
        <f t="shared" si="48"/>
        <v>0</v>
      </c>
      <c r="CU570" s="90">
        <f t="shared" si="49"/>
        <v>207</v>
      </c>
    </row>
    <row r="571" spans="1:99" ht="12" customHeight="1">
      <c r="A571" s="43">
        <v>3511</v>
      </c>
      <c r="B571" s="89" t="s">
        <v>1515</v>
      </c>
      <c r="C571" s="89" t="s">
        <v>1723</v>
      </c>
      <c r="D571" s="89" t="s">
        <v>949</v>
      </c>
      <c r="E571" s="89" t="s">
        <v>1727</v>
      </c>
      <c r="F571" s="43">
        <v>529369</v>
      </c>
      <c r="G571" s="43">
        <v>177317</v>
      </c>
      <c r="H571" s="89" t="s">
        <v>148</v>
      </c>
      <c r="I571" s="125">
        <v>42825</v>
      </c>
      <c r="K571" s="140">
        <v>0</v>
      </c>
      <c r="L571" s="140">
        <v>136</v>
      </c>
      <c r="M571" s="140">
        <v>136</v>
      </c>
      <c r="N571" s="140">
        <v>2971</v>
      </c>
      <c r="O571" s="140">
        <v>2966</v>
      </c>
      <c r="P571" s="43" t="s">
        <v>329</v>
      </c>
      <c r="Q571" s="89" t="s">
        <v>1725</v>
      </c>
      <c r="R571" s="43" t="s">
        <v>1726</v>
      </c>
      <c r="S571" s="125">
        <v>41774</v>
      </c>
      <c r="T571" s="117">
        <v>42046</v>
      </c>
      <c r="V571" s="43" t="s">
        <v>317</v>
      </c>
      <c r="X571" s="43" t="s">
        <v>318</v>
      </c>
      <c r="Y571" s="43" t="s">
        <v>361</v>
      </c>
      <c r="Z571" s="43" t="s">
        <v>361</v>
      </c>
      <c r="AA571" s="43" t="s">
        <v>320</v>
      </c>
      <c r="AB571" s="144">
        <v>0.82099997997283902</v>
      </c>
      <c r="AF571" s="43" t="s">
        <v>75</v>
      </c>
      <c r="AG571" s="43" t="s">
        <v>322</v>
      </c>
      <c r="AH571" s="43" t="s">
        <v>952</v>
      </c>
      <c r="AJ571" s="140">
        <v>0</v>
      </c>
      <c r="AK571" s="140">
        <v>0</v>
      </c>
      <c r="AL571" s="140">
        <v>0</v>
      </c>
      <c r="AM571" s="140">
        <v>0</v>
      </c>
      <c r="AN571" s="140">
        <v>17</v>
      </c>
      <c r="AO571" s="140">
        <v>27</v>
      </c>
      <c r="AP571" s="140">
        <v>82</v>
      </c>
      <c r="AQ571" s="140">
        <v>10</v>
      </c>
      <c r="AR571" s="140">
        <v>0</v>
      </c>
      <c r="AS571" s="140">
        <v>0</v>
      </c>
      <c r="AT571" s="140">
        <v>0</v>
      </c>
      <c r="AU571" s="140">
        <v>17</v>
      </c>
      <c r="AV571" s="140">
        <v>27</v>
      </c>
      <c r="AW571" s="140">
        <v>82</v>
      </c>
      <c r="AX571" s="140">
        <v>10</v>
      </c>
      <c r="AY571" s="140">
        <v>0</v>
      </c>
      <c r="AZ571" s="140">
        <v>0</v>
      </c>
      <c r="BA571" s="140">
        <v>0</v>
      </c>
      <c r="BB571" s="140">
        <v>0</v>
      </c>
      <c r="BC571" s="140">
        <v>0</v>
      </c>
      <c r="BD571" s="140">
        <v>0</v>
      </c>
      <c r="BE571" s="140">
        <v>0</v>
      </c>
      <c r="BF571" s="140">
        <v>0</v>
      </c>
      <c r="BG571" s="140">
        <v>0</v>
      </c>
      <c r="BH571" s="140">
        <v>0</v>
      </c>
      <c r="BI571" s="140">
        <v>0</v>
      </c>
      <c r="BJ571" s="140">
        <v>0</v>
      </c>
      <c r="BK571" s="140">
        <v>0</v>
      </c>
      <c r="BL571" s="140">
        <v>0</v>
      </c>
      <c r="BM571" s="140">
        <v>0</v>
      </c>
      <c r="BN571" s="140">
        <v>0</v>
      </c>
      <c r="BO571" s="140">
        <v>0</v>
      </c>
      <c r="BQ571" s="43" t="s">
        <v>329</v>
      </c>
      <c r="BX571" s="43">
        <v>21</v>
      </c>
      <c r="CH571" s="90">
        <f>M571</f>
        <v>136</v>
      </c>
      <c r="CT571" s="90">
        <f t="shared" si="48"/>
        <v>0</v>
      </c>
      <c r="CU571" s="90">
        <f t="shared" si="49"/>
        <v>136</v>
      </c>
    </row>
    <row r="572" spans="1:99" ht="12" customHeight="1">
      <c r="A572" s="43">
        <v>3511</v>
      </c>
      <c r="B572" s="89" t="s">
        <v>1515</v>
      </c>
      <c r="C572" s="89" t="s">
        <v>1723</v>
      </c>
      <c r="D572" s="89" t="s">
        <v>949</v>
      </c>
      <c r="E572" s="89" t="s">
        <v>1728</v>
      </c>
      <c r="F572" s="43">
        <v>529369</v>
      </c>
      <c r="G572" s="43">
        <v>177317</v>
      </c>
      <c r="H572" s="89" t="s">
        <v>148</v>
      </c>
      <c r="I572" s="125">
        <v>42825</v>
      </c>
      <c r="K572" s="140">
        <v>0</v>
      </c>
      <c r="L572" s="140">
        <v>101</v>
      </c>
      <c r="M572" s="140">
        <v>101</v>
      </c>
      <c r="N572" s="140">
        <v>2971</v>
      </c>
      <c r="O572" s="140">
        <v>2966</v>
      </c>
      <c r="P572" s="43" t="s">
        <v>329</v>
      </c>
      <c r="Q572" s="89" t="s">
        <v>1725</v>
      </c>
      <c r="R572" s="43" t="s">
        <v>1726</v>
      </c>
      <c r="S572" s="125">
        <v>41774</v>
      </c>
      <c r="T572" s="117">
        <v>42046</v>
      </c>
      <c r="V572" s="43" t="s">
        <v>317</v>
      </c>
      <c r="X572" s="43" t="s">
        <v>318</v>
      </c>
      <c r="Y572" s="43" t="s">
        <v>361</v>
      </c>
      <c r="Z572" s="43" t="s">
        <v>361</v>
      </c>
      <c r="AA572" s="43" t="s">
        <v>320</v>
      </c>
      <c r="AB572" s="144">
        <v>0.61000001430511497</v>
      </c>
      <c r="AF572" s="43" t="s">
        <v>54</v>
      </c>
      <c r="AG572" s="43" t="s">
        <v>399</v>
      </c>
      <c r="AH572" s="43" t="s">
        <v>952</v>
      </c>
      <c r="AJ572" s="140">
        <v>0</v>
      </c>
      <c r="AK572" s="140">
        <v>0</v>
      </c>
      <c r="AL572" s="140">
        <v>0</v>
      </c>
      <c r="AM572" s="140">
        <v>0</v>
      </c>
      <c r="AN572" s="140">
        <v>0</v>
      </c>
      <c r="AO572" s="140">
        <v>45</v>
      </c>
      <c r="AP572" s="140">
        <v>46</v>
      </c>
      <c r="AQ572" s="140">
        <v>10</v>
      </c>
      <c r="AR572" s="140">
        <v>0</v>
      </c>
      <c r="AS572" s="140">
        <v>0</v>
      </c>
      <c r="AT572" s="140">
        <v>0</v>
      </c>
      <c r="AU572" s="140">
        <v>0</v>
      </c>
      <c r="AV572" s="140">
        <v>45</v>
      </c>
      <c r="AW572" s="140">
        <v>46</v>
      </c>
      <c r="AX572" s="140">
        <v>10</v>
      </c>
      <c r="AY572" s="140">
        <v>0</v>
      </c>
      <c r="AZ572" s="140">
        <v>0</v>
      </c>
      <c r="BA572" s="140">
        <v>0</v>
      </c>
      <c r="BB572" s="140">
        <v>0</v>
      </c>
      <c r="BC572" s="140">
        <v>0</v>
      </c>
      <c r="BD572" s="140">
        <v>0</v>
      </c>
      <c r="BE572" s="140">
        <v>0</v>
      </c>
      <c r="BF572" s="140">
        <v>0</v>
      </c>
      <c r="BG572" s="140">
        <v>0</v>
      </c>
      <c r="BH572" s="140">
        <v>0</v>
      </c>
      <c r="BI572" s="140">
        <v>0</v>
      </c>
      <c r="BJ572" s="140">
        <v>0</v>
      </c>
      <c r="BK572" s="140">
        <v>0</v>
      </c>
      <c r="BL572" s="140">
        <v>0</v>
      </c>
      <c r="BM572" s="140">
        <v>0</v>
      </c>
      <c r="BN572" s="140">
        <v>0</v>
      </c>
      <c r="BO572" s="140">
        <v>0</v>
      </c>
      <c r="BQ572" s="43" t="s">
        <v>329</v>
      </c>
      <c r="BX572" s="43">
        <v>21</v>
      </c>
      <c r="CH572" s="90">
        <f>M572</f>
        <v>101</v>
      </c>
      <c r="CT572" s="90">
        <f t="shared" si="48"/>
        <v>0</v>
      </c>
      <c r="CU572" s="90">
        <f t="shared" si="49"/>
        <v>101</v>
      </c>
    </row>
    <row r="573" spans="1:99" ht="12" customHeight="1">
      <c r="A573" s="43">
        <v>3511</v>
      </c>
      <c r="B573" s="89" t="s">
        <v>1515</v>
      </c>
      <c r="C573" s="89" t="s">
        <v>1723</v>
      </c>
      <c r="D573" s="89" t="s">
        <v>949</v>
      </c>
      <c r="E573" s="89" t="s">
        <v>1729</v>
      </c>
      <c r="F573" s="43">
        <v>529369</v>
      </c>
      <c r="G573" s="43">
        <v>177317</v>
      </c>
      <c r="H573" s="89" t="s">
        <v>148</v>
      </c>
      <c r="I573" s="125">
        <v>42825</v>
      </c>
      <c r="K573" s="140">
        <v>0</v>
      </c>
      <c r="L573" s="140">
        <v>151</v>
      </c>
      <c r="M573" s="140">
        <v>151</v>
      </c>
      <c r="N573" s="140">
        <v>2971</v>
      </c>
      <c r="O573" s="140">
        <v>2966</v>
      </c>
      <c r="P573" s="43" t="s">
        <v>329</v>
      </c>
      <c r="Q573" s="89" t="s">
        <v>1725</v>
      </c>
      <c r="R573" s="43" t="s">
        <v>1726</v>
      </c>
      <c r="S573" s="125">
        <v>41774</v>
      </c>
      <c r="T573" s="117">
        <v>42046</v>
      </c>
      <c r="V573" s="43" t="s">
        <v>317</v>
      </c>
      <c r="X573" s="43" t="s">
        <v>318</v>
      </c>
      <c r="Y573" s="43" t="s">
        <v>361</v>
      </c>
      <c r="Z573" s="43" t="s">
        <v>361</v>
      </c>
      <c r="AA573" s="43" t="s">
        <v>320</v>
      </c>
      <c r="AB573" s="144">
        <v>0.91100001335143999</v>
      </c>
      <c r="AF573" s="43" t="s">
        <v>75</v>
      </c>
      <c r="AG573" s="43" t="s">
        <v>322</v>
      </c>
      <c r="AH573" s="43" t="s">
        <v>952</v>
      </c>
      <c r="AJ573" s="140">
        <v>0</v>
      </c>
      <c r="AK573" s="140">
        <v>0</v>
      </c>
      <c r="AL573" s="140">
        <v>0</v>
      </c>
      <c r="AM573" s="140">
        <v>0</v>
      </c>
      <c r="AN573" s="140">
        <v>19</v>
      </c>
      <c r="AO573" s="140">
        <v>30</v>
      </c>
      <c r="AP573" s="140">
        <v>91</v>
      </c>
      <c r="AQ573" s="140">
        <v>11</v>
      </c>
      <c r="AR573" s="140">
        <v>0</v>
      </c>
      <c r="AS573" s="140">
        <v>0</v>
      </c>
      <c r="AT573" s="140">
        <v>0</v>
      </c>
      <c r="AU573" s="140">
        <v>19</v>
      </c>
      <c r="AV573" s="140">
        <v>30</v>
      </c>
      <c r="AW573" s="140">
        <v>91</v>
      </c>
      <c r="AX573" s="140">
        <v>11</v>
      </c>
      <c r="AY573" s="140">
        <v>0</v>
      </c>
      <c r="AZ573" s="140">
        <v>0</v>
      </c>
      <c r="BA573" s="140">
        <v>0</v>
      </c>
      <c r="BB573" s="140">
        <v>0</v>
      </c>
      <c r="BC573" s="140">
        <v>0</v>
      </c>
      <c r="BD573" s="140">
        <v>0</v>
      </c>
      <c r="BE573" s="140">
        <v>0</v>
      </c>
      <c r="BF573" s="140">
        <v>0</v>
      </c>
      <c r="BG573" s="140">
        <v>0</v>
      </c>
      <c r="BH573" s="140">
        <v>0</v>
      </c>
      <c r="BI573" s="140">
        <v>0</v>
      </c>
      <c r="BJ573" s="140">
        <v>0</v>
      </c>
      <c r="BK573" s="140">
        <v>0</v>
      </c>
      <c r="BL573" s="140">
        <v>0</v>
      </c>
      <c r="BM573" s="140">
        <v>0</v>
      </c>
      <c r="BN573" s="140">
        <v>0</v>
      </c>
      <c r="BO573" s="140">
        <v>0</v>
      </c>
      <c r="BQ573" s="43" t="s">
        <v>329</v>
      </c>
      <c r="BX573" s="43">
        <v>21</v>
      </c>
      <c r="CI573" s="90">
        <f>M573</f>
        <v>151</v>
      </c>
      <c r="CT573" s="90">
        <f t="shared" si="48"/>
        <v>0</v>
      </c>
      <c r="CU573" s="90">
        <f t="shared" si="49"/>
        <v>151</v>
      </c>
    </row>
    <row r="574" spans="1:99" ht="12" customHeight="1">
      <c r="A574" s="43">
        <v>3511</v>
      </c>
      <c r="B574" s="89" t="s">
        <v>1515</v>
      </c>
      <c r="C574" s="89" t="s">
        <v>1723</v>
      </c>
      <c r="D574" s="89" t="s">
        <v>949</v>
      </c>
      <c r="E574" s="89" t="s">
        <v>1730</v>
      </c>
      <c r="F574" s="43">
        <v>529369</v>
      </c>
      <c r="G574" s="43">
        <v>177317</v>
      </c>
      <c r="H574" s="89" t="s">
        <v>148</v>
      </c>
      <c r="I574" s="125">
        <v>42825</v>
      </c>
      <c r="K574" s="140">
        <v>0</v>
      </c>
      <c r="L574" s="140">
        <v>17</v>
      </c>
      <c r="M574" s="140">
        <v>17</v>
      </c>
      <c r="N574" s="140">
        <v>2971</v>
      </c>
      <c r="O574" s="140">
        <v>2966</v>
      </c>
      <c r="P574" s="43" t="s">
        <v>329</v>
      </c>
      <c r="Q574" s="89" t="s">
        <v>1725</v>
      </c>
      <c r="R574" s="43" t="s">
        <v>1726</v>
      </c>
      <c r="S574" s="125">
        <v>41774</v>
      </c>
      <c r="T574" s="117">
        <v>42046</v>
      </c>
      <c r="V574" s="43" t="s">
        <v>317</v>
      </c>
      <c r="X574" s="43" t="s">
        <v>318</v>
      </c>
      <c r="Y574" s="43" t="s">
        <v>361</v>
      </c>
      <c r="Z574" s="43" t="s">
        <v>361</v>
      </c>
      <c r="AA574" s="43" t="s">
        <v>320</v>
      </c>
      <c r="AB574" s="144">
        <v>0.103000000119209</v>
      </c>
      <c r="AF574" s="43" t="s">
        <v>75</v>
      </c>
      <c r="AG574" s="43" t="s">
        <v>322</v>
      </c>
      <c r="AH574" s="43" t="s">
        <v>952</v>
      </c>
      <c r="AJ574" s="140">
        <v>0</v>
      </c>
      <c r="AK574" s="140">
        <v>0</v>
      </c>
      <c r="AL574" s="140">
        <v>0</v>
      </c>
      <c r="AM574" s="140">
        <v>0</v>
      </c>
      <c r="AN574" s="140">
        <v>2</v>
      </c>
      <c r="AO574" s="140">
        <v>3</v>
      </c>
      <c r="AP574" s="140">
        <v>10</v>
      </c>
      <c r="AQ574" s="140">
        <v>2</v>
      </c>
      <c r="AR574" s="140">
        <v>0</v>
      </c>
      <c r="AS574" s="140">
        <v>0</v>
      </c>
      <c r="AT574" s="140">
        <v>0</v>
      </c>
      <c r="AU574" s="140">
        <v>2</v>
      </c>
      <c r="AV574" s="140">
        <v>3</v>
      </c>
      <c r="AW574" s="140">
        <v>10</v>
      </c>
      <c r="AX574" s="140">
        <v>2</v>
      </c>
      <c r="AY574" s="140">
        <v>0</v>
      </c>
      <c r="AZ574" s="140">
        <v>0</v>
      </c>
      <c r="BA574" s="140">
        <v>0</v>
      </c>
      <c r="BB574" s="140">
        <v>0</v>
      </c>
      <c r="BC574" s="140">
        <v>0</v>
      </c>
      <c r="BD574" s="140">
        <v>0</v>
      </c>
      <c r="BE574" s="140">
        <v>0</v>
      </c>
      <c r="BF574" s="140">
        <v>0</v>
      </c>
      <c r="BG574" s="140">
        <v>0</v>
      </c>
      <c r="BH574" s="140">
        <v>0</v>
      </c>
      <c r="BI574" s="140">
        <v>0</v>
      </c>
      <c r="BJ574" s="140">
        <v>0</v>
      </c>
      <c r="BK574" s="140">
        <v>0</v>
      </c>
      <c r="BL574" s="140">
        <v>0</v>
      </c>
      <c r="BM574" s="140">
        <v>0</v>
      </c>
      <c r="BN574" s="140">
        <v>0</v>
      </c>
      <c r="BO574" s="140">
        <v>0</v>
      </c>
      <c r="BQ574" s="43" t="s">
        <v>329</v>
      </c>
      <c r="BX574" s="43">
        <v>21</v>
      </c>
      <c r="CI574" s="90">
        <f>M574</f>
        <v>17</v>
      </c>
      <c r="CT574" s="90">
        <f t="shared" si="48"/>
        <v>0</v>
      </c>
      <c r="CU574" s="90">
        <f t="shared" si="49"/>
        <v>17</v>
      </c>
    </row>
    <row r="575" spans="1:99" ht="12" customHeight="1">
      <c r="A575" s="43">
        <v>3511</v>
      </c>
      <c r="B575" s="89" t="s">
        <v>1515</v>
      </c>
      <c r="C575" s="89" t="s">
        <v>1723</v>
      </c>
      <c r="D575" s="89" t="s">
        <v>949</v>
      </c>
      <c r="E575" s="89" t="s">
        <v>1731</v>
      </c>
      <c r="F575" s="43">
        <v>529369</v>
      </c>
      <c r="G575" s="43">
        <v>177317</v>
      </c>
      <c r="H575" s="89" t="s">
        <v>148</v>
      </c>
      <c r="I575" s="125">
        <v>42825</v>
      </c>
      <c r="K575" s="140">
        <v>0</v>
      </c>
      <c r="L575" s="140">
        <v>11</v>
      </c>
      <c r="M575" s="140">
        <v>11</v>
      </c>
      <c r="N575" s="140">
        <v>2971</v>
      </c>
      <c r="O575" s="140">
        <v>2966</v>
      </c>
      <c r="P575" s="43" t="s">
        <v>329</v>
      </c>
      <c r="Q575" s="89" t="s">
        <v>1725</v>
      </c>
      <c r="R575" s="43" t="s">
        <v>1726</v>
      </c>
      <c r="S575" s="125">
        <v>41774</v>
      </c>
      <c r="T575" s="117">
        <v>42046</v>
      </c>
      <c r="V575" s="43" t="s">
        <v>317</v>
      </c>
      <c r="X575" s="43" t="s">
        <v>318</v>
      </c>
      <c r="Y575" s="43" t="s">
        <v>361</v>
      </c>
      <c r="Z575" s="43" t="s">
        <v>361</v>
      </c>
      <c r="AA575" s="43" t="s">
        <v>320</v>
      </c>
      <c r="AB575" s="144">
        <v>6.1000000685453401E-2</v>
      </c>
      <c r="AF575" s="43" t="s">
        <v>55</v>
      </c>
      <c r="AG575" s="43" t="s">
        <v>526</v>
      </c>
      <c r="AH575" s="43" t="s">
        <v>952</v>
      </c>
      <c r="AJ575" s="140">
        <v>0</v>
      </c>
      <c r="AK575" s="140">
        <v>0</v>
      </c>
      <c r="AL575" s="140">
        <v>0</v>
      </c>
      <c r="AM575" s="140">
        <v>0</v>
      </c>
      <c r="AN575" s="140">
        <v>0</v>
      </c>
      <c r="AO575" s="140">
        <v>2</v>
      </c>
      <c r="AP575" s="140">
        <v>5</v>
      </c>
      <c r="AQ575" s="140">
        <v>3</v>
      </c>
      <c r="AR575" s="140">
        <v>1</v>
      </c>
      <c r="AS575" s="140">
        <v>0</v>
      </c>
      <c r="AT575" s="140">
        <v>0</v>
      </c>
      <c r="AU575" s="140">
        <v>0</v>
      </c>
      <c r="AV575" s="140">
        <v>2</v>
      </c>
      <c r="AW575" s="140">
        <v>5</v>
      </c>
      <c r="AX575" s="140">
        <v>3</v>
      </c>
      <c r="AY575" s="140">
        <v>0</v>
      </c>
      <c r="AZ575" s="140">
        <v>0</v>
      </c>
      <c r="BA575" s="140">
        <v>0</v>
      </c>
      <c r="BB575" s="140">
        <v>0</v>
      </c>
      <c r="BC575" s="140">
        <v>0</v>
      </c>
      <c r="BD575" s="140">
        <v>0</v>
      </c>
      <c r="BE575" s="140">
        <v>0</v>
      </c>
      <c r="BF575" s="140">
        <v>1</v>
      </c>
      <c r="BG575" s="140">
        <v>0</v>
      </c>
      <c r="BH575" s="140">
        <v>0</v>
      </c>
      <c r="BI575" s="140">
        <v>0</v>
      </c>
      <c r="BJ575" s="140">
        <v>0</v>
      </c>
      <c r="BK575" s="140">
        <v>0</v>
      </c>
      <c r="BL575" s="140">
        <v>0</v>
      </c>
      <c r="BM575" s="140">
        <v>0</v>
      </c>
      <c r="BN575" s="140">
        <v>0</v>
      </c>
      <c r="BO575" s="140">
        <v>0</v>
      </c>
      <c r="BQ575" s="43" t="s">
        <v>329</v>
      </c>
      <c r="BX575" s="43">
        <v>21</v>
      </c>
      <c r="CH575" s="90">
        <f>M575</f>
        <v>11</v>
      </c>
      <c r="CT575" s="90">
        <f t="shared" si="48"/>
        <v>0</v>
      </c>
      <c r="CU575" s="90">
        <f t="shared" si="49"/>
        <v>11</v>
      </c>
    </row>
    <row r="576" spans="1:99" ht="12" customHeight="1">
      <c r="A576" s="43">
        <v>3511</v>
      </c>
      <c r="B576" s="89" t="s">
        <v>1515</v>
      </c>
      <c r="C576" s="89" t="s">
        <v>1723</v>
      </c>
      <c r="D576" s="89" t="s">
        <v>949</v>
      </c>
      <c r="E576" s="89" t="s">
        <v>1732</v>
      </c>
      <c r="F576" s="43">
        <v>529369</v>
      </c>
      <c r="G576" s="43">
        <v>177317</v>
      </c>
      <c r="H576" s="89" t="s">
        <v>148</v>
      </c>
      <c r="I576" s="125">
        <v>42825</v>
      </c>
      <c r="K576" s="140">
        <v>0</v>
      </c>
      <c r="L576" s="140">
        <v>72</v>
      </c>
      <c r="M576" s="140">
        <v>72</v>
      </c>
      <c r="N576" s="140">
        <v>2971</v>
      </c>
      <c r="O576" s="140">
        <v>2966</v>
      </c>
      <c r="P576" s="43" t="s">
        <v>329</v>
      </c>
      <c r="Q576" s="89" t="s">
        <v>1725</v>
      </c>
      <c r="R576" s="43" t="s">
        <v>1726</v>
      </c>
      <c r="S576" s="125">
        <v>41774</v>
      </c>
      <c r="T576" s="117">
        <v>42046</v>
      </c>
      <c r="V576" s="43" t="s">
        <v>317</v>
      </c>
      <c r="X576" s="43" t="s">
        <v>318</v>
      </c>
      <c r="Y576" s="43" t="s">
        <v>361</v>
      </c>
      <c r="Z576" s="43" t="s">
        <v>361</v>
      </c>
      <c r="AA576" s="43" t="s">
        <v>320</v>
      </c>
      <c r="AB576" s="144">
        <v>0.43500000238418601</v>
      </c>
      <c r="AF576" s="43" t="s">
        <v>55</v>
      </c>
      <c r="AG576" s="43" t="s">
        <v>526</v>
      </c>
      <c r="AH576" s="43" t="s">
        <v>952</v>
      </c>
      <c r="AJ576" s="140">
        <v>0</v>
      </c>
      <c r="AK576" s="140">
        <v>0</v>
      </c>
      <c r="AL576" s="140">
        <v>0</v>
      </c>
      <c r="AM576" s="140">
        <v>0</v>
      </c>
      <c r="AN576" s="140">
        <v>0</v>
      </c>
      <c r="AO576" s="140">
        <v>11</v>
      </c>
      <c r="AP576" s="140">
        <v>32</v>
      </c>
      <c r="AQ576" s="140">
        <v>22</v>
      </c>
      <c r="AR576" s="140">
        <v>7</v>
      </c>
      <c r="AS576" s="140">
        <v>0</v>
      </c>
      <c r="AT576" s="140">
        <v>0</v>
      </c>
      <c r="AU576" s="140">
        <v>0</v>
      </c>
      <c r="AV576" s="140">
        <v>11</v>
      </c>
      <c r="AW576" s="140">
        <v>32</v>
      </c>
      <c r="AX576" s="140">
        <v>22</v>
      </c>
      <c r="AY576" s="140">
        <v>7</v>
      </c>
      <c r="AZ576" s="140">
        <v>0</v>
      </c>
      <c r="BA576" s="140">
        <v>0</v>
      </c>
      <c r="BB576" s="140">
        <v>0</v>
      </c>
      <c r="BC576" s="140">
        <v>0</v>
      </c>
      <c r="BD576" s="140">
        <v>0</v>
      </c>
      <c r="BE576" s="140">
        <v>0</v>
      </c>
      <c r="BF576" s="140">
        <v>0</v>
      </c>
      <c r="BG576" s="140">
        <v>0</v>
      </c>
      <c r="BH576" s="140">
        <v>0</v>
      </c>
      <c r="BI576" s="140">
        <v>0</v>
      </c>
      <c r="BJ576" s="140">
        <v>0</v>
      </c>
      <c r="BK576" s="140">
        <v>0</v>
      </c>
      <c r="BL576" s="140">
        <v>0</v>
      </c>
      <c r="BM576" s="140">
        <v>0</v>
      </c>
      <c r="BN576" s="140">
        <v>0</v>
      </c>
      <c r="BO576" s="140">
        <v>0</v>
      </c>
      <c r="BQ576" s="43" t="s">
        <v>329</v>
      </c>
      <c r="BX576" s="43">
        <v>21</v>
      </c>
      <c r="CG576" s="90">
        <f t="shared" ref="CG576:CG581" si="63">M576</f>
        <v>72</v>
      </c>
      <c r="CT576" s="90">
        <f t="shared" si="48"/>
        <v>0</v>
      </c>
      <c r="CU576" s="90">
        <f t="shared" si="49"/>
        <v>72</v>
      </c>
    </row>
    <row r="577" spans="1:99" ht="12" customHeight="1">
      <c r="A577" s="43">
        <v>3511</v>
      </c>
      <c r="B577" s="89" t="s">
        <v>1515</v>
      </c>
      <c r="C577" s="89" t="s">
        <v>1723</v>
      </c>
      <c r="D577" s="89" t="s">
        <v>949</v>
      </c>
      <c r="E577" s="89" t="s">
        <v>1732</v>
      </c>
      <c r="F577" s="43">
        <v>529369</v>
      </c>
      <c r="G577" s="43">
        <v>177317</v>
      </c>
      <c r="H577" s="89" t="s">
        <v>148</v>
      </c>
      <c r="I577" s="125">
        <v>42825</v>
      </c>
      <c r="K577" s="140">
        <v>0</v>
      </c>
      <c r="L577" s="140">
        <v>27</v>
      </c>
      <c r="M577" s="140">
        <v>27</v>
      </c>
      <c r="N577" s="140">
        <v>2971</v>
      </c>
      <c r="O577" s="140">
        <v>2966</v>
      </c>
      <c r="P577" s="43" t="s">
        <v>329</v>
      </c>
      <c r="Q577" s="89" t="s">
        <v>1725</v>
      </c>
      <c r="R577" s="43" t="s">
        <v>1726</v>
      </c>
      <c r="S577" s="125">
        <v>41774</v>
      </c>
      <c r="T577" s="117">
        <v>42046</v>
      </c>
      <c r="V577" s="43" t="s">
        <v>317</v>
      </c>
      <c r="X577" s="43" t="s">
        <v>318</v>
      </c>
      <c r="Y577" s="43" t="s">
        <v>361</v>
      </c>
      <c r="Z577" s="43" t="s">
        <v>361</v>
      </c>
      <c r="AA577" s="43" t="s">
        <v>320</v>
      </c>
      <c r="AB577" s="144">
        <v>0.164000004529953</v>
      </c>
      <c r="AF577" s="43" t="s">
        <v>55</v>
      </c>
      <c r="AG577" s="43" t="s">
        <v>526</v>
      </c>
      <c r="AH577" s="43" t="s">
        <v>952</v>
      </c>
      <c r="AJ577" s="140">
        <v>0</v>
      </c>
      <c r="AK577" s="140">
        <v>0</v>
      </c>
      <c r="AL577" s="140">
        <v>0</v>
      </c>
      <c r="AM577" s="140">
        <v>0</v>
      </c>
      <c r="AN577" s="140">
        <v>0</v>
      </c>
      <c r="AO577" s="140">
        <v>4</v>
      </c>
      <c r="AP577" s="140">
        <v>12</v>
      </c>
      <c r="AQ577" s="140">
        <v>8</v>
      </c>
      <c r="AR577" s="140">
        <v>3</v>
      </c>
      <c r="AS577" s="140">
        <v>0</v>
      </c>
      <c r="AT577" s="140">
        <v>0</v>
      </c>
      <c r="AU577" s="140">
        <v>0</v>
      </c>
      <c r="AV577" s="140">
        <v>4</v>
      </c>
      <c r="AW577" s="140">
        <v>12</v>
      </c>
      <c r="AX577" s="140">
        <v>8</v>
      </c>
      <c r="AY577" s="140">
        <v>3</v>
      </c>
      <c r="AZ577" s="140">
        <v>0</v>
      </c>
      <c r="BA577" s="140">
        <v>0</v>
      </c>
      <c r="BB577" s="140">
        <v>0</v>
      </c>
      <c r="BC577" s="140">
        <v>0</v>
      </c>
      <c r="BD577" s="140">
        <v>0</v>
      </c>
      <c r="BE577" s="140">
        <v>0</v>
      </c>
      <c r="BF577" s="140">
        <v>0</v>
      </c>
      <c r="BG577" s="140">
        <v>0</v>
      </c>
      <c r="BH577" s="140">
        <v>0</v>
      </c>
      <c r="BI577" s="140">
        <v>0</v>
      </c>
      <c r="BJ577" s="140">
        <v>0</v>
      </c>
      <c r="BK577" s="140">
        <v>0</v>
      </c>
      <c r="BL577" s="140">
        <v>0</v>
      </c>
      <c r="BM577" s="140">
        <v>0</v>
      </c>
      <c r="BN577" s="140">
        <v>0</v>
      </c>
      <c r="BO577" s="140">
        <v>0</v>
      </c>
      <c r="BQ577" s="43" t="s">
        <v>329</v>
      </c>
      <c r="BX577" s="43">
        <v>21</v>
      </c>
      <c r="CG577" s="90">
        <f t="shared" si="63"/>
        <v>27</v>
      </c>
      <c r="CT577" s="90">
        <f t="shared" si="48"/>
        <v>0</v>
      </c>
      <c r="CU577" s="90">
        <f t="shared" si="49"/>
        <v>27</v>
      </c>
    </row>
    <row r="578" spans="1:99" ht="12" customHeight="1">
      <c r="A578" s="43">
        <v>3511</v>
      </c>
      <c r="B578" s="89" t="s">
        <v>1515</v>
      </c>
      <c r="C578" s="89" t="s">
        <v>1723</v>
      </c>
      <c r="D578" s="89" t="s">
        <v>949</v>
      </c>
      <c r="E578" s="89" t="s">
        <v>1733</v>
      </c>
      <c r="F578" s="43">
        <v>529369</v>
      </c>
      <c r="G578" s="43">
        <v>177317</v>
      </c>
      <c r="H578" s="89" t="s">
        <v>148</v>
      </c>
      <c r="I578" s="125">
        <v>42825</v>
      </c>
      <c r="K578" s="140">
        <v>0</v>
      </c>
      <c r="L578" s="140">
        <v>36</v>
      </c>
      <c r="M578" s="140">
        <v>36</v>
      </c>
      <c r="N578" s="140">
        <v>2971</v>
      </c>
      <c r="O578" s="140">
        <v>2966</v>
      </c>
      <c r="P578" s="43" t="s">
        <v>329</v>
      </c>
      <c r="Q578" s="89" t="s">
        <v>1725</v>
      </c>
      <c r="R578" s="43" t="s">
        <v>1726</v>
      </c>
      <c r="S578" s="125">
        <v>41774</v>
      </c>
      <c r="T578" s="117">
        <v>42046</v>
      </c>
      <c r="V578" s="43" t="s">
        <v>317</v>
      </c>
      <c r="X578" s="43" t="s">
        <v>318</v>
      </c>
      <c r="Y578" s="43" t="s">
        <v>361</v>
      </c>
      <c r="Z578" s="43" t="s">
        <v>361</v>
      </c>
      <c r="AA578" s="43" t="s">
        <v>320</v>
      </c>
      <c r="AB578" s="144">
        <v>0.216999992728233</v>
      </c>
      <c r="AF578" s="43" t="s">
        <v>55</v>
      </c>
      <c r="AG578" s="43" t="s">
        <v>526</v>
      </c>
      <c r="AH578" s="43" t="s">
        <v>952</v>
      </c>
      <c r="AJ578" s="140">
        <v>0</v>
      </c>
      <c r="AK578" s="140">
        <v>0</v>
      </c>
      <c r="AL578" s="140">
        <v>0</v>
      </c>
      <c r="AM578" s="140">
        <v>0</v>
      </c>
      <c r="AN578" s="140">
        <v>0</v>
      </c>
      <c r="AO578" s="140">
        <v>5</v>
      </c>
      <c r="AP578" s="140">
        <v>16</v>
      </c>
      <c r="AQ578" s="140">
        <v>11</v>
      </c>
      <c r="AR578" s="140">
        <v>4</v>
      </c>
      <c r="AS578" s="140">
        <v>0</v>
      </c>
      <c r="AT578" s="140">
        <v>0</v>
      </c>
      <c r="AU578" s="140">
        <v>0</v>
      </c>
      <c r="AV578" s="140">
        <v>5</v>
      </c>
      <c r="AW578" s="140">
        <v>16</v>
      </c>
      <c r="AX578" s="140">
        <v>11</v>
      </c>
      <c r="AY578" s="140">
        <v>4</v>
      </c>
      <c r="AZ578" s="140">
        <v>0</v>
      </c>
      <c r="BA578" s="140">
        <v>0</v>
      </c>
      <c r="BB578" s="140">
        <v>0</v>
      </c>
      <c r="BC578" s="140">
        <v>0</v>
      </c>
      <c r="BD578" s="140">
        <v>0</v>
      </c>
      <c r="BE578" s="140">
        <v>0</v>
      </c>
      <c r="BF578" s="140">
        <v>0</v>
      </c>
      <c r="BG578" s="140">
        <v>0</v>
      </c>
      <c r="BH578" s="140">
        <v>0</v>
      </c>
      <c r="BI578" s="140">
        <v>0</v>
      </c>
      <c r="BJ578" s="140">
        <v>0</v>
      </c>
      <c r="BK578" s="140">
        <v>0</v>
      </c>
      <c r="BL578" s="140">
        <v>0</v>
      </c>
      <c r="BM578" s="140">
        <v>0</v>
      </c>
      <c r="BN578" s="140">
        <v>0</v>
      </c>
      <c r="BO578" s="140">
        <v>0</v>
      </c>
      <c r="BQ578" s="43" t="s">
        <v>329</v>
      </c>
      <c r="BX578" s="43">
        <v>21</v>
      </c>
      <c r="CG578" s="90">
        <f t="shared" si="63"/>
        <v>36</v>
      </c>
      <c r="CT578" s="90">
        <f t="shared" ref="CT578:CT641" si="64">SUM(BZ578:CD578)</f>
        <v>0</v>
      </c>
      <c r="CU578" s="90">
        <f t="shared" ref="CU578:CU641" si="65">SUM(BZ578:CI578)</f>
        <v>36</v>
      </c>
    </row>
    <row r="579" spans="1:99" ht="12" customHeight="1">
      <c r="A579" s="43">
        <v>3511</v>
      </c>
      <c r="B579" s="89" t="s">
        <v>1515</v>
      </c>
      <c r="C579" s="89" t="s">
        <v>1723</v>
      </c>
      <c r="D579" s="89" t="s">
        <v>949</v>
      </c>
      <c r="E579" s="89" t="s">
        <v>1734</v>
      </c>
      <c r="F579" s="43">
        <v>529369</v>
      </c>
      <c r="G579" s="43">
        <v>177317</v>
      </c>
      <c r="H579" s="89" t="s">
        <v>148</v>
      </c>
      <c r="I579" s="125">
        <v>42825</v>
      </c>
      <c r="K579" s="140">
        <v>0</v>
      </c>
      <c r="L579" s="140">
        <v>54</v>
      </c>
      <c r="M579" s="140">
        <v>54</v>
      </c>
      <c r="N579" s="140">
        <v>2971</v>
      </c>
      <c r="O579" s="140">
        <v>2966</v>
      </c>
      <c r="P579" s="43" t="s">
        <v>329</v>
      </c>
      <c r="Q579" s="89" t="s">
        <v>1725</v>
      </c>
      <c r="R579" s="43" t="s">
        <v>1726</v>
      </c>
      <c r="S579" s="125">
        <v>41774</v>
      </c>
      <c r="T579" s="117">
        <v>42046</v>
      </c>
      <c r="V579" s="43" t="s">
        <v>317</v>
      </c>
      <c r="X579" s="43" t="s">
        <v>318</v>
      </c>
      <c r="Y579" s="43" t="s">
        <v>361</v>
      </c>
      <c r="Z579" s="43" t="s">
        <v>361</v>
      </c>
      <c r="AA579" s="43" t="s">
        <v>320</v>
      </c>
      <c r="AB579" s="144">
        <v>0.32600000500678999</v>
      </c>
      <c r="AF579" s="43" t="s">
        <v>55</v>
      </c>
      <c r="AG579" s="43" t="s">
        <v>526</v>
      </c>
      <c r="AH579" s="43" t="s">
        <v>952</v>
      </c>
      <c r="AJ579" s="140">
        <v>0</v>
      </c>
      <c r="AK579" s="140">
        <v>0</v>
      </c>
      <c r="AL579" s="140">
        <v>0</v>
      </c>
      <c r="AM579" s="140">
        <v>0</v>
      </c>
      <c r="AN579" s="140">
        <v>0</v>
      </c>
      <c r="AO579" s="140">
        <v>8</v>
      </c>
      <c r="AP579" s="140">
        <v>25</v>
      </c>
      <c r="AQ579" s="140">
        <v>16</v>
      </c>
      <c r="AR579" s="140">
        <v>5</v>
      </c>
      <c r="AS579" s="140">
        <v>0</v>
      </c>
      <c r="AT579" s="140">
        <v>0</v>
      </c>
      <c r="AU579" s="140">
        <v>0</v>
      </c>
      <c r="AV579" s="140">
        <v>8</v>
      </c>
      <c r="AW579" s="140">
        <v>25</v>
      </c>
      <c r="AX579" s="140">
        <v>16</v>
      </c>
      <c r="AY579" s="140">
        <v>5</v>
      </c>
      <c r="AZ579" s="140">
        <v>0</v>
      </c>
      <c r="BA579" s="140">
        <v>0</v>
      </c>
      <c r="BB579" s="140">
        <v>0</v>
      </c>
      <c r="BC579" s="140">
        <v>0</v>
      </c>
      <c r="BD579" s="140">
        <v>0</v>
      </c>
      <c r="BE579" s="140">
        <v>0</v>
      </c>
      <c r="BF579" s="140">
        <v>0</v>
      </c>
      <c r="BG579" s="140">
        <v>0</v>
      </c>
      <c r="BH579" s="140">
        <v>0</v>
      </c>
      <c r="BI579" s="140">
        <v>0</v>
      </c>
      <c r="BJ579" s="140">
        <v>0</v>
      </c>
      <c r="BK579" s="140">
        <v>0</v>
      </c>
      <c r="BL579" s="140">
        <v>0</v>
      </c>
      <c r="BM579" s="140">
        <v>0</v>
      </c>
      <c r="BN579" s="140">
        <v>0</v>
      </c>
      <c r="BO579" s="140">
        <v>0</v>
      </c>
      <c r="BQ579" s="43" t="s">
        <v>329</v>
      </c>
      <c r="BX579" s="43">
        <v>21</v>
      </c>
      <c r="CG579" s="90">
        <f t="shared" si="63"/>
        <v>54</v>
      </c>
      <c r="CT579" s="90">
        <f t="shared" si="64"/>
        <v>0</v>
      </c>
      <c r="CU579" s="90">
        <f t="shared" si="65"/>
        <v>54</v>
      </c>
    </row>
    <row r="580" spans="1:99" ht="12" customHeight="1">
      <c r="A580" s="43">
        <v>3511</v>
      </c>
      <c r="B580" s="89" t="s">
        <v>1515</v>
      </c>
      <c r="C580" s="89" t="s">
        <v>1723</v>
      </c>
      <c r="D580" s="89" t="s">
        <v>949</v>
      </c>
      <c r="E580" s="89" t="s">
        <v>1735</v>
      </c>
      <c r="F580" s="43">
        <v>529369</v>
      </c>
      <c r="G580" s="43">
        <v>177317</v>
      </c>
      <c r="H580" s="89" t="s">
        <v>148</v>
      </c>
      <c r="I580" s="125">
        <v>42825</v>
      </c>
      <c r="K580" s="140">
        <v>0</v>
      </c>
      <c r="L580" s="140">
        <v>59</v>
      </c>
      <c r="M580" s="140">
        <v>59</v>
      </c>
      <c r="N580" s="140">
        <v>2971</v>
      </c>
      <c r="O580" s="140">
        <v>2966</v>
      </c>
      <c r="P580" s="43" t="s">
        <v>329</v>
      </c>
      <c r="Q580" s="89" t="s">
        <v>1725</v>
      </c>
      <c r="R580" s="43" t="s">
        <v>1726</v>
      </c>
      <c r="S580" s="125">
        <v>41774</v>
      </c>
      <c r="T580" s="117">
        <v>42046</v>
      </c>
      <c r="V580" s="43" t="s">
        <v>317</v>
      </c>
      <c r="X580" s="43" t="s">
        <v>318</v>
      </c>
      <c r="Y580" s="43" t="s">
        <v>361</v>
      </c>
      <c r="Z580" s="43" t="s">
        <v>361</v>
      </c>
      <c r="AA580" s="43" t="s">
        <v>320</v>
      </c>
      <c r="AB580" s="144">
        <v>0.356000006198883</v>
      </c>
      <c r="AF580" s="43" t="s">
        <v>75</v>
      </c>
      <c r="AG580" s="43" t="s">
        <v>322</v>
      </c>
      <c r="AH580" s="43" t="s">
        <v>952</v>
      </c>
      <c r="AJ580" s="140">
        <v>0</v>
      </c>
      <c r="AK580" s="140">
        <v>0</v>
      </c>
      <c r="AL580" s="140">
        <v>0</v>
      </c>
      <c r="AM580" s="140">
        <v>0</v>
      </c>
      <c r="AN580" s="140">
        <v>7</v>
      </c>
      <c r="AO580" s="140">
        <v>12</v>
      </c>
      <c r="AP580" s="140">
        <v>36</v>
      </c>
      <c r="AQ580" s="140">
        <v>4</v>
      </c>
      <c r="AR580" s="140">
        <v>0</v>
      </c>
      <c r="AS580" s="140">
        <v>0</v>
      </c>
      <c r="AT580" s="140">
        <v>0</v>
      </c>
      <c r="AU580" s="140">
        <v>7</v>
      </c>
      <c r="AV580" s="140">
        <v>12</v>
      </c>
      <c r="AW580" s="140">
        <v>36</v>
      </c>
      <c r="AX580" s="140">
        <v>4</v>
      </c>
      <c r="AY580" s="140">
        <v>0</v>
      </c>
      <c r="AZ580" s="140">
        <v>0</v>
      </c>
      <c r="BA580" s="140">
        <v>0</v>
      </c>
      <c r="BB580" s="140">
        <v>0</v>
      </c>
      <c r="BC580" s="140">
        <v>0</v>
      </c>
      <c r="BD580" s="140">
        <v>0</v>
      </c>
      <c r="BE580" s="140">
        <v>0</v>
      </c>
      <c r="BF580" s="140">
        <v>0</v>
      </c>
      <c r="BG580" s="140">
        <v>0</v>
      </c>
      <c r="BH580" s="140">
        <v>0</v>
      </c>
      <c r="BI580" s="140">
        <v>0</v>
      </c>
      <c r="BJ580" s="140">
        <v>0</v>
      </c>
      <c r="BK580" s="140">
        <v>0</v>
      </c>
      <c r="BL580" s="140">
        <v>0</v>
      </c>
      <c r="BM580" s="140">
        <v>0</v>
      </c>
      <c r="BN580" s="140">
        <v>0</v>
      </c>
      <c r="BO580" s="140">
        <v>0</v>
      </c>
      <c r="BQ580" s="43" t="s">
        <v>329</v>
      </c>
      <c r="BX580" s="43">
        <v>21</v>
      </c>
      <c r="CG580" s="90">
        <f t="shared" si="63"/>
        <v>59</v>
      </c>
      <c r="CT580" s="90">
        <f t="shared" si="64"/>
        <v>0</v>
      </c>
      <c r="CU580" s="90">
        <f t="shared" si="65"/>
        <v>59</v>
      </c>
    </row>
    <row r="581" spans="1:99" ht="12" customHeight="1">
      <c r="A581" s="43">
        <v>3511</v>
      </c>
      <c r="B581" s="89" t="s">
        <v>1515</v>
      </c>
      <c r="C581" s="89" t="s">
        <v>1723</v>
      </c>
      <c r="D581" s="89" t="s">
        <v>949</v>
      </c>
      <c r="E581" s="89" t="s">
        <v>1736</v>
      </c>
      <c r="F581" s="43">
        <v>529369</v>
      </c>
      <c r="G581" s="43">
        <v>177317</v>
      </c>
      <c r="H581" s="89" t="s">
        <v>148</v>
      </c>
      <c r="I581" s="125">
        <v>42825</v>
      </c>
      <c r="K581" s="140">
        <v>0</v>
      </c>
      <c r="L581" s="140">
        <v>95</v>
      </c>
      <c r="M581" s="140">
        <v>95</v>
      </c>
      <c r="N581" s="140">
        <v>2971</v>
      </c>
      <c r="O581" s="140">
        <v>2966</v>
      </c>
      <c r="P581" s="43" t="s">
        <v>329</v>
      </c>
      <c r="Q581" s="89" t="s">
        <v>1725</v>
      </c>
      <c r="R581" s="43" t="s">
        <v>1726</v>
      </c>
      <c r="S581" s="125">
        <v>41774</v>
      </c>
      <c r="T581" s="117">
        <v>42046</v>
      </c>
      <c r="V581" s="43" t="s">
        <v>317</v>
      </c>
      <c r="X581" s="43" t="s">
        <v>318</v>
      </c>
      <c r="Y581" s="43" t="s">
        <v>361</v>
      </c>
      <c r="Z581" s="43" t="s">
        <v>361</v>
      </c>
      <c r="AA581" s="43" t="s">
        <v>320</v>
      </c>
      <c r="AB581" s="144">
        <v>0.57300001382827803</v>
      </c>
      <c r="AF581" s="43" t="s">
        <v>75</v>
      </c>
      <c r="AG581" s="43" t="s">
        <v>322</v>
      </c>
      <c r="AH581" s="43" t="s">
        <v>952</v>
      </c>
      <c r="AJ581" s="140">
        <v>0</v>
      </c>
      <c r="AK581" s="140">
        <v>0</v>
      </c>
      <c r="AL581" s="140">
        <v>0</v>
      </c>
      <c r="AM581" s="140">
        <v>0</v>
      </c>
      <c r="AN581" s="140">
        <v>12</v>
      </c>
      <c r="AO581" s="140">
        <v>19</v>
      </c>
      <c r="AP581" s="140">
        <v>57</v>
      </c>
      <c r="AQ581" s="140">
        <v>7</v>
      </c>
      <c r="AR581" s="140">
        <v>0</v>
      </c>
      <c r="AS581" s="140">
        <v>0</v>
      </c>
      <c r="AT581" s="140">
        <v>0</v>
      </c>
      <c r="AU581" s="140">
        <v>12</v>
      </c>
      <c r="AV581" s="140">
        <v>19</v>
      </c>
      <c r="AW581" s="140">
        <v>57</v>
      </c>
      <c r="AX581" s="140">
        <v>7</v>
      </c>
      <c r="AY581" s="140">
        <v>0</v>
      </c>
      <c r="AZ581" s="140">
        <v>0</v>
      </c>
      <c r="BA581" s="140">
        <v>0</v>
      </c>
      <c r="BB581" s="140">
        <v>0</v>
      </c>
      <c r="BC581" s="140">
        <v>0</v>
      </c>
      <c r="BD581" s="140">
        <v>0</v>
      </c>
      <c r="BE581" s="140">
        <v>0</v>
      </c>
      <c r="BF581" s="140">
        <v>0</v>
      </c>
      <c r="BG581" s="140">
        <v>0</v>
      </c>
      <c r="BH581" s="140">
        <v>0</v>
      </c>
      <c r="BI581" s="140">
        <v>0</v>
      </c>
      <c r="BJ581" s="140">
        <v>0</v>
      </c>
      <c r="BK581" s="140">
        <v>0</v>
      </c>
      <c r="BL581" s="140">
        <v>0</v>
      </c>
      <c r="BM581" s="140">
        <v>0</v>
      </c>
      <c r="BN581" s="140">
        <v>0</v>
      </c>
      <c r="BO581" s="140">
        <v>0</v>
      </c>
      <c r="BQ581" s="43" t="s">
        <v>329</v>
      </c>
      <c r="BX581" s="43">
        <v>21</v>
      </c>
      <c r="CG581" s="90">
        <f t="shared" si="63"/>
        <v>95</v>
      </c>
      <c r="CT581" s="90">
        <f t="shared" si="64"/>
        <v>0</v>
      </c>
      <c r="CU581" s="90">
        <f t="shared" si="65"/>
        <v>95</v>
      </c>
    </row>
    <row r="582" spans="1:99" ht="12" customHeight="1">
      <c r="A582" s="43">
        <v>3511</v>
      </c>
      <c r="B582" s="89" t="s">
        <v>1515</v>
      </c>
      <c r="C582" s="89" t="s">
        <v>1723</v>
      </c>
      <c r="D582" s="89" t="s">
        <v>949</v>
      </c>
      <c r="E582" s="89" t="s">
        <v>1737</v>
      </c>
      <c r="F582" s="43">
        <v>529369</v>
      </c>
      <c r="G582" s="43">
        <v>177317</v>
      </c>
      <c r="H582" s="89" t="s">
        <v>148</v>
      </c>
      <c r="I582" s="125">
        <v>42825</v>
      </c>
      <c r="K582" s="140">
        <v>0</v>
      </c>
      <c r="L582" s="140">
        <v>87</v>
      </c>
      <c r="M582" s="140">
        <v>87</v>
      </c>
      <c r="N582" s="140">
        <v>2971</v>
      </c>
      <c r="O582" s="140">
        <v>2966</v>
      </c>
      <c r="P582" s="43" t="s">
        <v>329</v>
      </c>
      <c r="Q582" s="89" t="s">
        <v>1725</v>
      </c>
      <c r="R582" s="43" t="s">
        <v>1726</v>
      </c>
      <c r="S582" s="125">
        <v>41774</v>
      </c>
      <c r="T582" s="117">
        <v>42046</v>
      </c>
      <c r="V582" s="43" t="s">
        <v>317</v>
      </c>
      <c r="X582" s="43" t="s">
        <v>318</v>
      </c>
      <c r="Y582" s="43" t="s">
        <v>361</v>
      </c>
      <c r="Z582" s="43" t="s">
        <v>361</v>
      </c>
      <c r="AA582" s="43" t="s">
        <v>320</v>
      </c>
      <c r="AB582" s="144">
        <v>0.52399998903274503</v>
      </c>
      <c r="AF582" s="43" t="s">
        <v>75</v>
      </c>
      <c r="AG582" s="43" t="s">
        <v>322</v>
      </c>
      <c r="AH582" s="43" t="s">
        <v>952</v>
      </c>
      <c r="AJ582" s="140">
        <v>0</v>
      </c>
      <c r="AK582" s="140">
        <v>0</v>
      </c>
      <c r="AL582" s="140">
        <v>0</v>
      </c>
      <c r="AM582" s="140">
        <v>0</v>
      </c>
      <c r="AN582" s="140">
        <v>0</v>
      </c>
      <c r="AO582" s="140">
        <v>17</v>
      </c>
      <c r="AP582" s="140">
        <v>30</v>
      </c>
      <c r="AQ582" s="140">
        <v>40</v>
      </c>
      <c r="AR582" s="140">
        <v>0</v>
      </c>
      <c r="AS582" s="140">
        <v>0</v>
      </c>
      <c r="AT582" s="140">
        <v>0</v>
      </c>
      <c r="AU582" s="140">
        <v>0</v>
      </c>
      <c r="AV582" s="140">
        <v>17</v>
      </c>
      <c r="AW582" s="140">
        <v>30</v>
      </c>
      <c r="AX582" s="140">
        <v>40</v>
      </c>
      <c r="AY582" s="140">
        <v>0</v>
      </c>
      <c r="AZ582" s="140">
        <v>0</v>
      </c>
      <c r="BA582" s="140">
        <v>0</v>
      </c>
      <c r="BB582" s="140">
        <v>0</v>
      </c>
      <c r="BC582" s="140">
        <v>0</v>
      </c>
      <c r="BD582" s="140">
        <v>0</v>
      </c>
      <c r="BE582" s="140">
        <v>0</v>
      </c>
      <c r="BF582" s="140">
        <v>0</v>
      </c>
      <c r="BG582" s="140">
        <v>0</v>
      </c>
      <c r="BH582" s="140">
        <v>0</v>
      </c>
      <c r="BI582" s="140">
        <v>0</v>
      </c>
      <c r="BJ582" s="140">
        <v>0</v>
      </c>
      <c r="BK582" s="140">
        <v>0</v>
      </c>
      <c r="BL582" s="140">
        <v>0</v>
      </c>
      <c r="BM582" s="140">
        <v>0</v>
      </c>
      <c r="BN582" s="140">
        <v>0</v>
      </c>
      <c r="BO582" s="140">
        <v>0</v>
      </c>
      <c r="BQ582" s="43" t="s">
        <v>329</v>
      </c>
      <c r="BX582" s="43">
        <v>21</v>
      </c>
      <c r="CH582" s="90">
        <f>M582</f>
        <v>87</v>
      </c>
      <c r="CT582" s="90">
        <f t="shared" si="64"/>
        <v>0</v>
      </c>
      <c r="CU582" s="90">
        <f t="shared" si="65"/>
        <v>87</v>
      </c>
    </row>
    <row r="583" spans="1:99" ht="12" customHeight="1">
      <c r="A583" s="43">
        <v>3511</v>
      </c>
      <c r="B583" s="89" t="s">
        <v>1515</v>
      </c>
      <c r="C583" s="89" t="s">
        <v>1723</v>
      </c>
      <c r="D583" s="89" t="s">
        <v>949</v>
      </c>
      <c r="E583" s="89" t="s">
        <v>1738</v>
      </c>
      <c r="F583" s="43">
        <v>529369</v>
      </c>
      <c r="G583" s="43">
        <v>177317</v>
      </c>
      <c r="H583" s="89" t="s">
        <v>148</v>
      </c>
      <c r="I583" s="125">
        <v>42825</v>
      </c>
      <c r="K583" s="140">
        <v>5</v>
      </c>
      <c r="L583" s="140">
        <v>0</v>
      </c>
      <c r="M583" s="140">
        <v>-5</v>
      </c>
      <c r="N583" s="140">
        <v>2971</v>
      </c>
      <c r="O583" s="140">
        <v>2966</v>
      </c>
      <c r="P583" s="43" t="s">
        <v>329</v>
      </c>
      <c r="Q583" s="89" t="s">
        <v>1725</v>
      </c>
      <c r="R583" s="43" t="s">
        <v>1726</v>
      </c>
      <c r="S583" s="125">
        <v>41774</v>
      </c>
      <c r="T583" s="117">
        <v>42046</v>
      </c>
      <c r="V583" s="43" t="s">
        <v>317</v>
      </c>
      <c r="X583" s="43" t="s">
        <v>318</v>
      </c>
      <c r="Y583" s="43" t="s">
        <v>361</v>
      </c>
      <c r="Z583" s="43" t="s">
        <v>361</v>
      </c>
      <c r="AA583" s="43" t="s">
        <v>320</v>
      </c>
      <c r="AB583" s="144">
        <v>0</v>
      </c>
      <c r="AF583" s="43" t="s">
        <v>75</v>
      </c>
      <c r="AG583" s="43" t="s">
        <v>322</v>
      </c>
      <c r="AH583" s="43" t="s">
        <v>952</v>
      </c>
      <c r="AJ583" s="140">
        <v>0</v>
      </c>
      <c r="AK583" s="140">
        <v>0</v>
      </c>
      <c r="AL583" s="140">
        <v>0</v>
      </c>
      <c r="AM583" s="140">
        <v>0</v>
      </c>
      <c r="AN583" s="140">
        <v>0</v>
      </c>
      <c r="AO583" s="140">
        <v>0</v>
      </c>
      <c r="AP583" s="140">
        <v>0</v>
      </c>
      <c r="AQ583" s="140">
        <v>0</v>
      </c>
      <c r="AR583" s="140">
        <v>0</v>
      </c>
      <c r="AS583" s="140">
        <v>0</v>
      </c>
      <c r="AT583" s="140">
        <v>-5</v>
      </c>
      <c r="AU583" s="140">
        <v>0</v>
      </c>
      <c r="AV583" s="140">
        <v>0</v>
      </c>
      <c r="AW583" s="140">
        <v>0</v>
      </c>
      <c r="AX583" s="140">
        <v>0</v>
      </c>
      <c r="AY583" s="140">
        <v>0</v>
      </c>
      <c r="AZ583" s="140">
        <v>0</v>
      </c>
      <c r="BA583" s="140">
        <v>-5</v>
      </c>
      <c r="BB583" s="140">
        <v>0</v>
      </c>
      <c r="BC583" s="140">
        <v>0</v>
      </c>
      <c r="BD583" s="140">
        <v>0</v>
      </c>
      <c r="BE583" s="140">
        <v>0</v>
      </c>
      <c r="BF583" s="140">
        <v>0</v>
      </c>
      <c r="BG583" s="140">
        <v>0</v>
      </c>
      <c r="BH583" s="140">
        <v>0</v>
      </c>
      <c r="BI583" s="140">
        <v>0</v>
      </c>
      <c r="BJ583" s="140">
        <v>0</v>
      </c>
      <c r="BK583" s="140">
        <v>0</v>
      </c>
      <c r="BL583" s="140">
        <v>0</v>
      </c>
      <c r="BM583" s="140">
        <v>0</v>
      </c>
      <c r="BN583" s="140">
        <v>0</v>
      </c>
      <c r="BO583" s="140">
        <v>0</v>
      </c>
      <c r="BQ583" s="43" t="s">
        <v>329</v>
      </c>
      <c r="BX583" s="43">
        <v>21</v>
      </c>
      <c r="CG583" s="90">
        <f>M583</f>
        <v>-5</v>
      </c>
      <c r="CT583" s="90">
        <f t="shared" si="64"/>
        <v>0</v>
      </c>
      <c r="CU583" s="90">
        <f t="shared" si="65"/>
        <v>-5</v>
      </c>
    </row>
    <row r="584" spans="1:99" ht="12" customHeight="1">
      <c r="A584" s="43">
        <v>3511</v>
      </c>
      <c r="B584" s="89" t="s">
        <v>1515</v>
      </c>
      <c r="C584" s="89" t="s">
        <v>1723</v>
      </c>
      <c r="D584" s="89" t="s">
        <v>949</v>
      </c>
      <c r="E584" s="89" t="s">
        <v>1739</v>
      </c>
      <c r="F584" s="43">
        <v>529369</v>
      </c>
      <c r="G584" s="43">
        <v>177317</v>
      </c>
      <c r="H584" s="89" t="s">
        <v>148</v>
      </c>
      <c r="I584" s="125">
        <v>42825</v>
      </c>
      <c r="K584" s="140">
        <v>0</v>
      </c>
      <c r="L584" s="140">
        <v>166</v>
      </c>
      <c r="M584" s="140">
        <v>166</v>
      </c>
      <c r="N584" s="140">
        <v>2971</v>
      </c>
      <c r="O584" s="140">
        <v>2966</v>
      </c>
      <c r="P584" s="43" t="s">
        <v>329</v>
      </c>
      <c r="Q584" s="89" t="s">
        <v>1725</v>
      </c>
      <c r="R584" s="43" t="s">
        <v>1726</v>
      </c>
      <c r="S584" s="125">
        <v>41774</v>
      </c>
      <c r="T584" s="117">
        <v>42046</v>
      </c>
      <c r="V584" s="43" t="s">
        <v>317</v>
      </c>
      <c r="X584" s="43" t="s">
        <v>318</v>
      </c>
      <c r="Y584" s="43" t="s">
        <v>361</v>
      </c>
      <c r="Z584" s="43" t="s">
        <v>361</v>
      </c>
      <c r="AA584" s="43" t="s">
        <v>320</v>
      </c>
      <c r="AB584" s="144">
        <v>1.0010000467300399</v>
      </c>
      <c r="AF584" s="43" t="s">
        <v>75</v>
      </c>
      <c r="AG584" s="43" t="s">
        <v>322</v>
      </c>
      <c r="AH584" s="43" t="s">
        <v>952</v>
      </c>
      <c r="AJ584" s="140">
        <v>0</v>
      </c>
      <c r="AK584" s="140">
        <v>0</v>
      </c>
      <c r="AL584" s="140">
        <v>0</v>
      </c>
      <c r="AM584" s="140">
        <v>0</v>
      </c>
      <c r="AN584" s="140">
        <v>0</v>
      </c>
      <c r="AO584" s="140">
        <v>33</v>
      </c>
      <c r="AP584" s="140">
        <v>58</v>
      </c>
      <c r="AQ584" s="140">
        <v>75</v>
      </c>
      <c r="AR584" s="140">
        <v>0</v>
      </c>
      <c r="AS584" s="140">
        <v>0</v>
      </c>
      <c r="AT584" s="140">
        <v>0</v>
      </c>
      <c r="AU584" s="140">
        <v>0</v>
      </c>
      <c r="AV584" s="140">
        <v>33</v>
      </c>
      <c r="AW584" s="140">
        <v>58</v>
      </c>
      <c r="AX584" s="140">
        <v>75</v>
      </c>
      <c r="AY584" s="140">
        <v>0</v>
      </c>
      <c r="AZ584" s="140">
        <v>0</v>
      </c>
      <c r="BA584" s="140">
        <v>0</v>
      </c>
      <c r="BB584" s="140">
        <v>0</v>
      </c>
      <c r="BC584" s="140">
        <v>0</v>
      </c>
      <c r="BD584" s="140">
        <v>0</v>
      </c>
      <c r="BE584" s="140">
        <v>0</v>
      </c>
      <c r="BF584" s="140">
        <v>0</v>
      </c>
      <c r="BG584" s="140">
        <v>0</v>
      </c>
      <c r="BH584" s="140">
        <v>0</v>
      </c>
      <c r="BI584" s="140">
        <v>0</v>
      </c>
      <c r="BJ584" s="140">
        <v>0</v>
      </c>
      <c r="BK584" s="140">
        <v>0</v>
      </c>
      <c r="BL584" s="140">
        <v>0</v>
      </c>
      <c r="BM584" s="140">
        <v>0</v>
      </c>
      <c r="BN584" s="140">
        <v>0</v>
      </c>
      <c r="BO584" s="140">
        <v>0</v>
      </c>
      <c r="BQ584" s="43" t="s">
        <v>329</v>
      </c>
      <c r="BX584" s="43">
        <v>21</v>
      </c>
      <c r="CC584" s="90">
        <f>M584</f>
        <v>166</v>
      </c>
      <c r="CT584" s="90">
        <f t="shared" si="64"/>
        <v>166</v>
      </c>
      <c r="CU584" s="90">
        <f t="shared" si="65"/>
        <v>166</v>
      </c>
    </row>
    <row r="585" spans="1:99" ht="12" customHeight="1">
      <c r="A585" s="43">
        <v>3511</v>
      </c>
      <c r="B585" s="89" t="s">
        <v>1515</v>
      </c>
      <c r="C585" s="89" t="s">
        <v>1723</v>
      </c>
      <c r="D585" s="89" t="s">
        <v>949</v>
      </c>
      <c r="E585" s="89" t="s">
        <v>1740</v>
      </c>
      <c r="F585" s="43">
        <v>529369</v>
      </c>
      <c r="G585" s="43">
        <v>177317</v>
      </c>
      <c r="H585" s="89" t="s">
        <v>148</v>
      </c>
      <c r="I585" s="125">
        <v>42825</v>
      </c>
      <c r="K585" s="140">
        <v>0</v>
      </c>
      <c r="L585" s="140">
        <v>17</v>
      </c>
      <c r="M585" s="140">
        <v>17</v>
      </c>
      <c r="N585" s="140">
        <v>2971</v>
      </c>
      <c r="O585" s="140">
        <v>2966</v>
      </c>
      <c r="P585" s="43" t="s">
        <v>329</v>
      </c>
      <c r="Q585" s="89" t="s">
        <v>1725</v>
      </c>
      <c r="R585" s="43" t="s">
        <v>1726</v>
      </c>
      <c r="S585" s="125">
        <v>41774</v>
      </c>
      <c r="T585" s="117">
        <v>42046</v>
      </c>
      <c r="V585" s="43" t="s">
        <v>317</v>
      </c>
      <c r="X585" s="43" t="s">
        <v>318</v>
      </c>
      <c r="Y585" s="43" t="s">
        <v>361</v>
      </c>
      <c r="Z585" s="43" t="s">
        <v>361</v>
      </c>
      <c r="AA585" s="43" t="s">
        <v>320</v>
      </c>
      <c r="AB585" s="144">
        <v>0.10199999809265101</v>
      </c>
      <c r="AF585" s="43" t="s">
        <v>55</v>
      </c>
      <c r="AG585" s="43" t="s">
        <v>526</v>
      </c>
      <c r="AH585" s="43" t="s">
        <v>952</v>
      </c>
      <c r="AJ585" s="140">
        <v>0</v>
      </c>
      <c r="AK585" s="140">
        <v>0</v>
      </c>
      <c r="AL585" s="140">
        <v>0</v>
      </c>
      <c r="AM585" s="140">
        <v>0</v>
      </c>
      <c r="AN585" s="140">
        <v>0</v>
      </c>
      <c r="AO585" s="140">
        <v>2</v>
      </c>
      <c r="AP585" s="140">
        <v>7</v>
      </c>
      <c r="AQ585" s="140">
        <v>8</v>
      </c>
      <c r="AR585" s="140">
        <v>0</v>
      </c>
      <c r="AS585" s="140">
        <v>0</v>
      </c>
      <c r="AT585" s="140">
        <v>0</v>
      </c>
      <c r="AU585" s="140">
        <v>0</v>
      </c>
      <c r="AV585" s="140">
        <v>2</v>
      </c>
      <c r="AW585" s="140">
        <v>7</v>
      </c>
      <c r="AX585" s="140">
        <v>8</v>
      </c>
      <c r="AY585" s="140">
        <v>0</v>
      </c>
      <c r="AZ585" s="140">
        <v>0</v>
      </c>
      <c r="BA585" s="140">
        <v>0</v>
      </c>
      <c r="BB585" s="140">
        <v>0</v>
      </c>
      <c r="BC585" s="140">
        <v>0</v>
      </c>
      <c r="BD585" s="140">
        <v>0</v>
      </c>
      <c r="BE585" s="140">
        <v>0</v>
      </c>
      <c r="BF585" s="140">
        <v>0</v>
      </c>
      <c r="BG585" s="140">
        <v>0</v>
      </c>
      <c r="BH585" s="140">
        <v>0</v>
      </c>
      <c r="BI585" s="140">
        <v>0</v>
      </c>
      <c r="BJ585" s="140">
        <v>0</v>
      </c>
      <c r="BK585" s="140">
        <v>0</v>
      </c>
      <c r="BL585" s="140">
        <v>0</v>
      </c>
      <c r="BM585" s="140">
        <v>0</v>
      </c>
      <c r="BN585" s="140">
        <v>0</v>
      </c>
      <c r="BO585" s="140">
        <v>0</v>
      </c>
      <c r="BQ585" s="43" t="s">
        <v>329</v>
      </c>
      <c r="BX585" s="43">
        <v>21</v>
      </c>
      <c r="CF585" s="90">
        <f>M585</f>
        <v>17</v>
      </c>
      <c r="CT585" s="90">
        <f t="shared" si="64"/>
        <v>0</v>
      </c>
      <c r="CU585" s="90">
        <f t="shared" si="65"/>
        <v>17</v>
      </c>
    </row>
    <row r="586" spans="1:99" ht="12" customHeight="1">
      <c r="A586" s="43">
        <v>3511</v>
      </c>
      <c r="B586" s="89" t="s">
        <v>1515</v>
      </c>
      <c r="C586" s="89" t="s">
        <v>1723</v>
      </c>
      <c r="D586" s="89" t="s">
        <v>949</v>
      </c>
      <c r="E586" s="89" t="s">
        <v>1741</v>
      </c>
      <c r="F586" s="43">
        <v>529369</v>
      </c>
      <c r="G586" s="43">
        <v>177317</v>
      </c>
      <c r="H586" s="89" t="s">
        <v>148</v>
      </c>
      <c r="I586" s="125">
        <v>42825</v>
      </c>
      <c r="K586" s="140">
        <v>0</v>
      </c>
      <c r="L586" s="140">
        <v>11</v>
      </c>
      <c r="M586" s="140">
        <v>11</v>
      </c>
      <c r="N586" s="140">
        <v>2971</v>
      </c>
      <c r="O586" s="140">
        <v>2966</v>
      </c>
      <c r="P586" s="43" t="s">
        <v>329</v>
      </c>
      <c r="Q586" s="89" t="s">
        <v>1725</v>
      </c>
      <c r="R586" s="43" t="s">
        <v>1726</v>
      </c>
      <c r="S586" s="125">
        <v>41774</v>
      </c>
      <c r="T586" s="117">
        <v>42046</v>
      </c>
      <c r="V586" s="43" t="s">
        <v>317</v>
      </c>
      <c r="X586" s="43" t="s">
        <v>318</v>
      </c>
      <c r="Y586" s="43" t="s">
        <v>361</v>
      </c>
      <c r="Z586" s="43" t="s">
        <v>361</v>
      </c>
      <c r="AA586" s="43" t="s">
        <v>320</v>
      </c>
      <c r="AB586" s="144">
        <v>6.5999999642372104E-2</v>
      </c>
      <c r="AF586" s="43" t="s">
        <v>54</v>
      </c>
      <c r="AG586" s="43" t="s">
        <v>399</v>
      </c>
      <c r="AH586" s="43" t="s">
        <v>952</v>
      </c>
      <c r="AJ586" s="140">
        <v>0</v>
      </c>
      <c r="AK586" s="140">
        <v>0</v>
      </c>
      <c r="AL586" s="140">
        <v>0</v>
      </c>
      <c r="AM586" s="140">
        <v>0</v>
      </c>
      <c r="AN586" s="140">
        <v>0</v>
      </c>
      <c r="AO586" s="140">
        <v>2</v>
      </c>
      <c r="AP586" s="140">
        <v>5</v>
      </c>
      <c r="AQ586" s="140">
        <v>4</v>
      </c>
      <c r="AR586" s="140">
        <v>0</v>
      </c>
      <c r="AS586" s="140">
        <v>0</v>
      </c>
      <c r="AT586" s="140">
        <v>0</v>
      </c>
      <c r="AU586" s="140">
        <v>0</v>
      </c>
      <c r="AV586" s="140">
        <v>2</v>
      </c>
      <c r="AW586" s="140">
        <v>5</v>
      </c>
      <c r="AX586" s="140">
        <v>4</v>
      </c>
      <c r="AY586" s="140">
        <v>0</v>
      </c>
      <c r="AZ586" s="140">
        <v>0</v>
      </c>
      <c r="BA586" s="140">
        <v>0</v>
      </c>
      <c r="BB586" s="140">
        <v>0</v>
      </c>
      <c r="BC586" s="140">
        <v>0</v>
      </c>
      <c r="BD586" s="140">
        <v>0</v>
      </c>
      <c r="BE586" s="140">
        <v>0</v>
      </c>
      <c r="BF586" s="140">
        <v>0</v>
      </c>
      <c r="BG586" s="140">
        <v>0</v>
      </c>
      <c r="BH586" s="140">
        <v>0</v>
      </c>
      <c r="BI586" s="140">
        <v>0</v>
      </c>
      <c r="BJ586" s="140">
        <v>0</v>
      </c>
      <c r="BK586" s="140">
        <v>0</v>
      </c>
      <c r="BL586" s="140">
        <v>0</v>
      </c>
      <c r="BM586" s="140">
        <v>0</v>
      </c>
      <c r="BN586" s="140">
        <v>0</v>
      </c>
      <c r="BO586" s="140">
        <v>0</v>
      </c>
      <c r="BQ586" s="43" t="s">
        <v>329</v>
      </c>
      <c r="BX586" s="43">
        <v>21</v>
      </c>
      <c r="CF586" s="90">
        <f>M586</f>
        <v>11</v>
      </c>
      <c r="CT586" s="90">
        <f t="shared" si="64"/>
        <v>0</v>
      </c>
      <c r="CU586" s="90">
        <f t="shared" si="65"/>
        <v>11</v>
      </c>
    </row>
    <row r="587" spans="1:99" ht="12" customHeight="1">
      <c r="A587" s="43">
        <v>3511</v>
      </c>
      <c r="B587" s="89" t="s">
        <v>1515</v>
      </c>
      <c r="C587" s="89" t="s">
        <v>1723</v>
      </c>
      <c r="D587" s="89" t="s">
        <v>949</v>
      </c>
      <c r="E587" s="89" t="s">
        <v>1742</v>
      </c>
      <c r="F587" s="43">
        <v>529369</v>
      </c>
      <c r="G587" s="43">
        <v>177317</v>
      </c>
      <c r="H587" s="89" t="s">
        <v>148</v>
      </c>
      <c r="I587" s="125">
        <v>42825</v>
      </c>
      <c r="K587" s="140">
        <v>0</v>
      </c>
      <c r="L587" s="140">
        <v>6</v>
      </c>
      <c r="M587" s="140">
        <v>6</v>
      </c>
      <c r="N587" s="140">
        <v>2971</v>
      </c>
      <c r="O587" s="140">
        <v>2966</v>
      </c>
      <c r="P587" s="43" t="s">
        <v>329</v>
      </c>
      <c r="Q587" s="89" t="s">
        <v>1725</v>
      </c>
      <c r="R587" s="43" t="s">
        <v>1726</v>
      </c>
      <c r="S587" s="125">
        <v>41774</v>
      </c>
      <c r="T587" s="117">
        <v>42046</v>
      </c>
      <c r="V587" s="43" t="s">
        <v>317</v>
      </c>
      <c r="X587" s="43" t="s">
        <v>318</v>
      </c>
      <c r="Y587" s="43" t="s">
        <v>361</v>
      </c>
      <c r="Z587" s="43" t="s">
        <v>361</v>
      </c>
      <c r="AA587" s="43" t="s">
        <v>320</v>
      </c>
      <c r="AB587" s="144">
        <v>3.5999998450279201E-2</v>
      </c>
      <c r="AF587" s="43" t="s">
        <v>55</v>
      </c>
      <c r="AG587" s="43" t="s">
        <v>526</v>
      </c>
      <c r="AH587" s="43" t="s">
        <v>952</v>
      </c>
      <c r="AJ587" s="140">
        <v>0</v>
      </c>
      <c r="AK587" s="140">
        <v>0</v>
      </c>
      <c r="AL587" s="140">
        <v>0</v>
      </c>
      <c r="AM587" s="140">
        <v>0</v>
      </c>
      <c r="AN587" s="140">
        <v>0</v>
      </c>
      <c r="AO587" s="140">
        <v>0</v>
      </c>
      <c r="AP587" s="140">
        <v>2</v>
      </c>
      <c r="AQ587" s="140">
        <v>4</v>
      </c>
      <c r="AR587" s="140">
        <v>0</v>
      </c>
      <c r="AS587" s="140">
        <v>0</v>
      </c>
      <c r="AT587" s="140">
        <v>0</v>
      </c>
      <c r="AU587" s="140">
        <v>0</v>
      </c>
      <c r="AV587" s="140">
        <v>0</v>
      </c>
      <c r="AW587" s="140">
        <v>2</v>
      </c>
      <c r="AX587" s="140">
        <v>4</v>
      </c>
      <c r="AY587" s="140">
        <v>0</v>
      </c>
      <c r="AZ587" s="140">
        <v>0</v>
      </c>
      <c r="BA587" s="140">
        <v>0</v>
      </c>
      <c r="BB587" s="140">
        <v>0</v>
      </c>
      <c r="BC587" s="140">
        <v>0</v>
      </c>
      <c r="BD587" s="140">
        <v>0</v>
      </c>
      <c r="BE587" s="140">
        <v>0</v>
      </c>
      <c r="BF587" s="140">
        <v>0</v>
      </c>
      <c r="BG587" s="140">
        <v>0</v>
      </c>
      <c r="BH587" s="140">
        <v>0</v>
      </c>
      <c r="BI587" s="140">
        <v>0</v>
      </c>
      <c r="BJ587" s="140">
        <v>0</v>
      </c>
      <c r="BK587" s="140">
        <v>0</v>
      </c>
      <c r="BL587" s="140">
        <v>0</v>
      </c>
      <c r="BM587" s="140">
        <v>0</v>
      </c>
      <c r="BN587" s="140">
        <v>0</v>
      </c>
      <c r="BO587" s="140">
        <v>0</v>
      </c>
      <c r="BQ587" s="43" t="s">
        <v>329</v>
      </c>
      <c r="BX587" s="43">
        <v>21</v>
      </c>
      <c r="CF587" s="90">
        <f>M587</f>
        <v>6</v>
      </c>
      <c r="CT587" s="90">
        <f t="shared" si="64"/>
        <v>0</v>
      </c>
      <c r="CU587" s="90">
        <f t="shared" si="65"/>
        <v>6</v>
      </c>
    </row>
    <row r="588" spans="1:99" ht="12" customHeight="1">
      <c r="A588" s="43">
        <v>3511</v>
      </c>
      <c r="B588" s="89" t="s">
        <v>1515</v>
      </c>
      <c r="C588" s="89" t="s">
        <v>1723</v>
      </c>
      <c r="D588" s="89" t="s">
        <v>949</v>
      </c>
      <c r="E588" s="89" t="s">
        <v>1743</v>
      </c>
      <c r="F588" s="43">
        <v>529369</v>
      </c>
      <c r="G588" s="43">
        <v>177317</v>
      </c>
      <c r="H588" s="89" t="s">
        <v>148</v>
      </c>
      <c r="I588" s="125">
        <v>42825</v>
      </c>
      <c r="K588" s="140">
        <v>0</v>
      </c>
      <c r="L588" s="140">
        <v>17</v>
      </c>
      <c r="M588" s="140">
        <v>17</v>
      </c>
      <c r="N588" s="140">
        <v>2971</v>
      </c>
      <c r="O588" s="140">
        <v>2966</v>
      </c>
      <c r="P588" s="43" t="s">
        <v>329</v>
      </c>
      <c r="Q588" s="89" t="s">
        <v>1725</v>
      </c>
      <c r="R588" s="43" t="s">
        <v>1726</v>
      </c>
      <c r="S588" s="125">
        <v>41774</v>
      </c>
      <c r="T588" s="117">
        <v>42046</v>
      </c>
      <c r="V588" s="43" t="s">
        <v>317</v>
      </c>
      <c r="X588" s="43" t="s">
        <v>318</v>
      </c>
      <c r="Y588" s="43" t="s">
        <v>361</v>
      </c>
      <c r="Z588" s="43" t="s">
        <v>361</v>
      </c>
      <c r="AA588" s="43" t="s">
        <v>320</v>
      </c>
      <c r="AB588" s="144">
        <v>0.10199999809265101</v>
      </c>
      <c r="AF588" s="43" t="s">
        <v>54</v>
      </c>
      <c r="AG588" s="43" t="s">
        <v>399</v>
      </c>
      <c r="AH588" s="43" t="s">
        <v>952</v>
      </c>
      <c r="AJ588" s="140">
        <v>0</v>
      </c>
      <c r="AK588" s="140">
        <v>0</v>
      </c>
      <c r="AL588" s="140">
        <v>0</v>
      </c>
      <c r="AM588" s="140">
        <v>0</v>
      </c>
      <c r="AN588" s="140">
        <v>0</v>
      </c>
      <c r="AO588" s="140">
        <v>2</v>
      </c>
      <c r="AP588" s="140">
        <v>7</v>
      </c>
      <c r="AQ588" s="140">
        <v>8</v>
      </c>
      <c r="AR588" s="140">
        <v>0</v>
      </c>
      <c r="AS588" s="140">
        <v>0</v>
      </c>
      <c r="AT588" s="140">
        <v>0</v>
      </c>
      <c r="AU588" s="140">
        <v>0</v>
      </c>
      <c r="AV588" s="140">
        <v>2</v>
      </c>
      <c r="AW588" s="140">
        <v>7</v>
      </c>
      <c r="AX588" s="140">
        <v>8</v>
      </c>
      <c r="AY588" s="140">
        <v>0</v>
      </c>
      <c r="AZ588" s="140">
        <v>0</v>
      </c>
      <c r="BA588" s="140">
        <v>0</v>
      </c>
      <c r="BB588" s="140">
        <v>0</v>
      </c>
      <c r="BC588" s="140">
        <v>0</v>
      </c>
      <c r="BD588" s="140">
        <v>0</v>
      </c>
      <c r="BE588" s="140">
        <v>0</v>
      </c>
      <c r="BF588" s="140">
        <v>0</v>
      </c>
      <c r="BG588" s="140">
        <v>0</v>
      </c>
      <c r="BH588" s="140">
        <v>0</v>
      </c>
      <c r="BI588" s="140">
        <v>0</v>
      </c>
      <c r="BJ588" s="140">
        <v>0</v>
      </c>
      <c r="BK588" s="140">
        <v>0</v>
      </c>
      <c r="BL588" s="140">
        <v>0</v>
      </c>
      <c r="BM588" s="140">
        <v>0</v>
      </c>
      <c r="BN588" s="140">
        <v>0</v>
      </c>
      <c r="BO588" s="140">
        <v>0</v>
      </c>
      <c r="BQ588" s="43" t="s">
        <v>329</v>
      </c>
      <c r="BX588" s="43">
        <v>21</v>
      </c>
      <c r="CF588" s="90">
        <f>M588</f>
        <v>17</v>
      </c>
      <c r="CT588" s="90">
        <f t="shared" si="64"/>
        <v>0</v>
      </c>
      <c r="CU588" s="90">
        <f t="shared" si="65"/>
        <v>17</v>
      </c>
    </row>
    <row r="589" spans="1:99" ht="12" customHeight="1">
      <c r="A589" s="43">
        <v>3511</v>
      </c>
      <c r="B589" s="89" t="s">
        <v>1515</v>
      </c>
      <c r="C589" s="89" t="s">
        <v>953</v>
      </c>
      <c r="D589" s="89" t="s">
        <v>949</v>
      </c>
      <c r="E589" s="89" t="s">
        <v>1744</v>
      </c>
      <c r="F589" s="43">
        <v>529369</v>
      </c>
      <c r="G589" s="43">
        <v>177317</v>
      </c>
      <c r="H589" s="89" t="s">
        <v>148</v>
      </c>
      <c r="I589" s="125">
        <v>43800</v>
      </c>
      <c r="K589" s="140">
        <v>0</v>
      </c>
      <c r="L589" s="140">
        <v>179</v>
      </c>
      <c r="M589" s="140">
        <v>179</v>
      </c>
      <c r="N589" s="140">
        <v>455</v>
      </c>
      <c r="O589" s="140">
        <v>455</v>
      </c>
      <c r="P589" s="43" t="s">
        <v>329</v>
      </c>
      <c r="Q589" s="89" t="s">
        <v>955</v>
      </c>
      <c r="R589" s="43" t="s">
        <v>466</v>
      </c>
      <c r="S589" s="125">
        <v>43658</v>
      </c>
      <c r="T589" s="117">
        <v>43791</v>
      </c>
      <c r="U589" s="43" t="s">
        <v>329</v>
      </c>
      <c r="V589" s="43" t="s">
        <v>317</v>
      </c>
      <c r="X589" s="43" t="s">
        <v>318</v>
      </c>
      <c r="Y589" s="43" t="s">
        <v>361</v>
      </c>
      <c r="Z589" s="43" t="s">
        <v>361</v>
      </c>
      <c r="AA589" s="43" t="s">
        <v>320</v>
      </c>
      <c r="AB589" s="144">
        <v>0.17900000512599901</v>
      </c>
      <c r="AF589" s="43" t="s">
        <v>75</v>
      </c>
      <c r="AG589" s="43" t="s">
        <v>322</v>
      </c>
      <c r="AH589" s="43" t="s">
        <v>952</v>
      </c>
      <c r="AJ589" s="140">
        <v>179</v>
      </c>
      <c r="AK589" s="140">
        <v>0</v>
      </c>
      <c r="AL589" s="140">
        <v>0</v>
      </c>
      <c r="AM589" s="140">
        <v>0</v>
      </c>
      <c r="AN589" s="140">
        <v>68</v>
      </c>
      <c r="AO589" s="140">
        <v>34</v>
      </c>
      <c r="AP589" s="140">
        <v>71</v>
      </c>
      <c r="AQ589" s="140">
        <v>2</v>
      </c>
      <c r="AR589" s="140">
        <v>4</v>
      </c>
      <c r="AS589" s="140">
        <v>0</v>
      </c>
      <c r="AT589" s="140">
        <v>0</v>
      </c>
      <c r="AU589" s="140">
        <v>68</v>
      </c>
      <c r="AV589" s="140">
        <v>34</v>
      </c>
      <c r="AW589" s="140">
        <v>71</v>
      </c>
      <c r="AX589" s="140">
        <v>2</v>
      </c>
      <c r="AY589" s="140">
        <v>4</v>
      </c>
      <c r="AZ589" s="140">
        <v>0</v>
      </c>
      <c r="BA589" s="140">
        <v>0</v>
      </c>
      <c r="BB589" s="140">
        <v>0</v>
      </c>
      <c r="BC589" s="140">
        <v>0</v>
      </c>
      <c r="BD589" s="140">
        <v>0</v>
      </c>
      <c r="BE589" s="140">
        <v>0</v>
      </c>
      <c r="BF589" s="140">
        <v>0</v>
      </c>
      <c r="BG589" s="140">
        <v>0</v>
      </c>
      <c r="BH589" s="140">
        <v>0</v>
      </c>
      <c r="BI589" s="140">
        <v>0</v>
      </c>
      <c r="BJ589" s="140">
        <v>0</v>
      </c>
      <c r="BK589" s="140">
        <v>0</v>
      </c>
      <c r="BL589" s="140">
        <v>0</v>
      </c>
      <c r="BM589" s="140">
        <v>0</v>
      </c>
      <c r="BN589" s="140">
        <v>0</v>
      </c>
      <c r="BO589" s="140">
        <v>0</v>
      </c>
      <c r="BQ589" s="43" t="s">
        <v>329</v>
      </c>
      <c r="BX589" s="43">
        <v>21</v>
      </c>
      <c r="CD589" s="90">
        <f>M589</f>
        <v>179</v>
      </c>
      <c r="CT589" s="90">
        <f t="shared" si="64"/>
        <v>179</v>
      </c>
      <c r="CU589" s="90">
        <f t="shared" si="65"/>
        <v>179</v>
      </c>
    </row>
    <row r="590" spans="1:99" ht="12" customHeight="1">
      <c r="A590" s="43">
        <v>3511</v>
      </c>
      <c r="B590" s="89" t="s">
        <v>1515</v>
      </c>
      <c r="C590" s="89" t="s">
        <v>953</v>
      </c>
      <c r="D590" s="89" t="s">
        <v>949</v>
      </c>
      <c r="E590" s="89" t="s">
        <v>1745</v>
      </c>
      <c r="F590" s="43">
        <v>529369</v>
      </c>
      <c r="G590" s="43">
        <v>177317</v>
      </c>
      <c r="H590" s="89" t="s">
        <v>148</v>
      </c>
      <c r="I590" s="125">
        <v>43800</v>
      </c>
      <c r="K590" s="140">
        <v>0</v>
      </c>
      <c r="L590" s="140">
        <v>19</v>
      </c>
      <c r="M590" s="140">
        <v>19</v>
      </c>
      <c r="N590" s="140">
        <v>455</v>
      </c>
      <c r="O590" s="140">
        <v>455</v>
      </c>
      <c r="P590" s="43" t="s">
        <v>329</v>
      </c>
      <c r="Q590" s="89" t="s">
        <v>955</v>
      </c>
      <c r="R590" s="43" t="s">
        <v>466</v>
      </c>
      <c r="S590" s="125">
        <v>43658</v>
      </c>
      <c r="T590" s="117">
        <v>43791</v>
      </c>
      <c r="U590" s="43" t="s">
        <v>329</v>
      </c>
      <c r="V590" s="43" t="s">
        <v>317</v>
      </c>
      <c r="X590" s="43" t="s">
        <v>318</v>
      </c>
      <c r="Y590" s="43" t="s">
        <v>361</v>
      </c>
      <c r="Z590" s="43" t="s">
        <v>361</v>
      </c>
      <c r="AA590" s="43" t="s">
        <v>320</v>
      </c>
      <c r="AB590" s="144">
        <v>0.43999999761581399</v>
      </c>
      <c r="AF590" s="43" t="s">
        <v>75</v>
      </c>
      <c r="AG590" s="43" t="s">
        <v>322</v>
      </c>
      <c r="AH590" s="43" t="s">
        <v>952</v>
      </c>
      <c r="AJ590" s="140">
        <v>0</v>
      </c>
      <c r="AK590" s="140">
        <v>13</v>
      </c>
      <c r="AL590" s="140">
        <v>0</v>
      </c>
      <c r="AM590" s="140">
        <v>6</v>
      </c>
      <c r="AN590" s="140">
        <v>1</v>
      </c>
      <c r="AO590" s="140">
        <v>1</v>
      </c>
      <c r="AP590" s="140">
        <v>0</v>
      </c>
      <c r="AQ590" s="140">
        <v>17</v>
      </c>
      <c r="AR590" s="140">
        <v>0</v>
      </c>
      <c r="AS590" s="140">
        <v>0</v>
      </c>
      <c r="AT590" s="140">
        <v>0</v>
      </c>
      <c r="AU590" s="140">
        <v>1</v>
      </c>
      <c r="AV590" s="140">
        <v>1</v>
      </c>
      <c r="AW590" s="140">
        <v>0</v>
      </c>
      <c r="AX590" s="140">
        <v>17</v>
      </c>
      <c r="AY590" s="140">
        <v>0</v>
      </c>
      <c r="AZ590" s="140">
        <v>0</v>
      </c>
      <c r="BA590" s="140">
        <v>0</v>
      </c>
      <c r="BB590" s="140">
        <v>0</v>
      </c>
      <c r="BC590" s="140">
        <v>0</v>
      </c>
      <c r="BD590" s="140">
        <v>0</v>
      </c>
      <c r="BE590" s="140">
        <v>0</v>
      </c>
      <c r="BF590" s="140">
        <v>0</v>
      </c>
      <c r="BG590" s="140">
        <v>0</v>
      </c>
      <c r="BH590" s="140">
        <v>0</v>
      </c>
      <c r="BI590" s="140">
        <v>0</v>
      </c>
      <c r="BJ590" s="140">
        <v>0</v>
      </c>
      <c r="BK590" s="140">
        <v>0</v>
      </c>
      <c r="BL590" s="140">
        <v>0</v>
      </c>
      <c r="BM590" s="140">
        <v>0</v>
      </c>
      <c r="BN590" s="140">
        <v>0</v>
      </c>
      <c r="BO590" s="140">
        <v>0</v>
      </c>
      <c r="BQ590" s="43" t="s">
        <v>329</v>
      </c>
      <c r="BX590" s="43">
        <v>21</v>
      </c>
      <c r="CC590" s="90">
        <f>M590</f>
        <v>19</v>
      </c>
      <c r="CT590" s="90">
        <f t="shared" si="64"/>
        <v>19</v>
      </c>
      <c r="CU590" s="90">
        <f t="shared" si="65"/>
        <v>19</v>
      </c>
    </row>
    <row r="591" spans="1:99" ht="12" customHeight="1">
      <c r="A591" s="43">
        <v>3511</v>
      </c>
      <c r="B591" s="89" t="s">
        <v>1515</v>
      </c>
      <c r="C591" s="89" t="s">
        <v>953</v>
      </c>
      <c r="D591" s="89" t="s">
        <v>949</v>
      </c>
      <c r="E591" s="89" t="s">
        <v>1746</v>
      </c>
      <c r="F591" s="43">
        <v>529369</v>
      </c>
      <c r="G591" s="43">
        <v>177317</v>
      </c>
      <c r="H591" s="89" t="s">
        <v>148</v>
      </c>
      <c r="I591" s="125">
        <v>43800</v>
      </c>
      <c r="K591" s="140">
        <v>0</v>
      </c>
      <c r="L591" s="140">
        <v>41</v>
      </c>
      <c r="M591" s="140">
        <v>41</v>
      </c>
      <c r="N591" s="140">
        <v>455</v>
      </c>
      <c r="O591" s="140">
        <v>455</v>
      </c>
      <c r="P591" s="43" t="s">
        <v>329</v>
      </c>
      <c r="Q591" s="89" t="s">
        <v>955</v>
      </c>
      <c r="R591" s="43" t="s">
        <v>466</v>
      </c>
      <c r="S591" s="125">
        <v>43658</v>
      </c>
      <c r="T591" s="117">
        <v>43791</v>
      </c>
      <c r="U591" s="43" t="s">
        <v>329</v>
      </c>
      <c r="V591" s="43" t="s">
        <v>317</v>
      </c>
      <c r="X591" s="43" t="s">
        <v>318</v>
      </c>
      <c r="Y591" s="43" t="s">
        <v>361</v>
      </c>
      <c r="Z591" s="43" t="s">
        <v>361</v>
      </c>
      <c r="AA591" s="43" t="s">
        <v>320</v>
      </c>
      <c r="AB591" s="144">
        <v>0.50599998235702504</v>
      </c>
      <c r="AF591" s="43" t="s">
        <v>75</v>
      </c>
      <c r="AG591" s="43" t="s">
        <v>322</v>
      </c>
      <c r="AH591" s="43" t="s">
        <v>952</v>
      </c>
      <c r="AJ591" s="140">
        <v>0</v>
      </c>
      <c r="AK591" s="140">
        <v>37</v>
      </c>
      <c r="AL591" s="140">
        <v>0</v>
      </c>
      <c r="AM591" s="140">
        <v>4</v>
      </c>
      <c r="AN591" s="140">
        <v>2</v>
      </c>
      <c r="AO591" s="140">
        <v>2</v>
      </c>
      <c r="AP591" s="140">
        <v>10</v>
      </c>
      <c r="AQ591" s="140">
        <v>25</v>
      </c>
      <c r="AR591" s="140">
        <v>2</v>
      </c>
      <c r="AS591" s="140">
        <v>0</v>
      </c>
      <c r="AT591" s="140">
        <v>0</v>
      </c>
      <c r="AU591" s="140">
        <v>2</v>
      </c>
      <c r="AV591" s="140">
        <v>2</v>
      </c>
      <c r="AW591" s="140">
        <v>10</v>
      </c>
      <c r="AX591" s="140">
        <v>25</v>
      </c>
      <c r="AY591" s="140">
        <v>2</v>
      </c>
      <c r="AZ591" s="140">
        <v>0</v>
      </c>
      <c r="BA591" s="140">
        <v>0</v>
      </c>
      <c r="BB591" s="140">
        <v>0</v>
      </c>
      <c r="BC591" s="140">
        <v>0</v>
      </c>
      <c r="BD591" s="140">
        <v>0</v>
      </c>
      <c r="BE591" s="140">
        <v>0</v>
      </c>
      <c r="BF591" s="140">
        <v>0</v>
      </c>
      <c r="BG591" s="140">
        <v>0</v>
      </c>
      <c r="BH591" s="140">
        <v>0</v>
      </c>
      <c r="BI591" s="140">
        <v>0</v>
      </c>
      <c r="BJ591" s="140">
        <v>0</v>
      </c>
      <c r="BK591" s="140">
        <v>0</v>
      </c>
      <c r="BL591" s="140">
        <v>0</v>
      </c>
      <c r="BM591" s="140">
        <v>0</v>
      </c>
      <c r="BN591" s="140">
        <v>0</v>
      </c>
      <c r="BO591" s="140">
        <v>0</v>
      </c>
      <c r="BQ591" s="43" t="s">
        <v>329</v>
      </c>
      <c r="BX591" s="43">
        <v>21</v>
      </c>
      <c r="CC591" s="90">
        <f>M591</f>
        <v>41</v>
      </c>
      <c r="CT591" s="90">
        <f t="shared" si="64"/>
        <v>41</v>
      </c>
      <c r="CU591" s="90">
        <f t="shared" si="65"/>
        <v>41</v>
      </c>
    </row>
    <row r="592" spans="1:99" ht="12" customHeight="1">
      <c r="A592" s="43">
        <v>3511</v>
      </c>
      <c r="B592" s="89" t="s">
        <v>1515</v>
      </c>
      <c r="C592" s="89" t="s">
        <v>953</v>
      </c>
      <c r="D592" s="89" t="s">
        <v>949</v>
      </c>
      <c r="E592" s="89" t="s">
        <v>1747</v>
      </c>
      <c r="F592" s="43">
        <v>529369</v>
      </c>
      <c r="G592" s="43">
        <v>177317</v>
      </c>
      <c r="H592" s="89" t="s">
        <v>148</v>
      </c>
      <c r="I592" s="125">
        <v>43800</v>
      </c>
      <c r="K592" s="140">
        <v>0</v>
      </c>
      <c r="L592" s="140">
        <v>59</v>
      </c>
      <c r="M592" s="140">
        <v>59</v>
      </c>
      <c r="N592" s="140">
        <v>455</v>
      </c>
      <c r="O592" s="140">
        <v>455</v>
      </c>
      <c r="P592" s="43" t="s">
        <v>329</v>
      </c>
      <c r="Q592" s="89" t="s">
        <v>955</v>
      </c>
      <c r="R592" s="43" t="s">
        <v>466</v>
      </c>
      <c r="S592" s="125">
        <v>43658</v>
      </c>
      <c r="T592" s="117">
        <v>43791</v>
      </c>
      <c r="U592" s="43" t="s">
        <v>329</v>
      </c>
      <c r="V592" s="43" t="s">
        <v>317</v>
      </c>
      <c r="X592" s="43" t="s">
        <v>318</v>
      </c>
      <c r="Y592" s="43" t="s">
        <v>361</v>
      </c>
      <c r="Z592" s="43" t="s">
        <v>361</v>
      </c>
      <c r="AA592" s="43" t="s">
        <v>320</v>
      </c>
      <c r="AB592" s="144">
        <v>0.48800000548362699</v>
      </c>
      <c r="AF592" s="43" t="s">
        <v>75</v>
      </c>
      <c r="AG592" s="43" t="s">
        <v>322</v>
      </c>
      <c r="AH592" s="43" t="s">
        <v>952</v>
      </c>
      <c r="AJ592" s="140">
        <v>0</v>
      </c>
      <c r="AK592" s="140">
        <v>47</v>
      </c>
      <c r="AL592" s="140">
        <v>0</v>
      </c>
      <c r="AM592" s="140">
        <v>12</v>
      </c>
      <c r="AN592" s="140">
        <v>0</v>
      </c>
      <c r="AO592" s="140">
        <v>0</v>
      </c>
      <c r="AP592" s="140">
        <v>33</v>
      </c>
      <c r="AQ592" s="140">
        <v>25</v>
      </c>
      <c r="AR592" s="140">
        <v>1</v>
      </c>
      <c r="AS592" s="140">
        <v>0</v>
      </c>
      <c r="AT592" s="140">
        <v>0</v>
      </c>
      <c r="AU592" s="140">
        <v>0</v>
      </c>
      <c r="AV592" s="140">
        <v>0</v>
      </c>
      <c r="AW592" s="140">
        <v>33</v>
      </c>
      <c r="AX592" s="140">
        <v>25</v>
      </c>
      <c r="AY592" s="140">
        <v>1</v>
      </c>
      <c r="AZ592" s="140">
        <v>0</v>
      </c>
      <c r="BA592" s="140">
        <v>0</v>
      </c>
      <c r="BB592" s="140">
        <v>0</v>
      </c>
      <c r="BC592" s="140">
        <v>0</v>
      </c>
      <c r="BD592" s="140">
        <v>0</v>
      </c>
      <c r="BE592" s="140">
        <v>0</v>
      </c>
      <c r="BF592" s="140">
        <v>0</v>
      </c>
      <c r="BG592" s="140">
        <v>0</v>
      </c>
      <c r="BH592" s="140">
        <v>0</v>
      </c>
      <c r="BI592" s="140">
        <v>0</v>
      </c>
      <c r="BJ592" s="140">
        <v>0</v>
      </c>
      <c r="BK592" s="140">
        <v>0</v>
      </c>
      <c r="BL592" s="140">
        <v>0</v>
      </c>
      <c r="BM592" s="140">
        <v>0</v>
      </c>
      <c r="BN592" s="140">
        <v>0</v>
      </c>
      <c r="BO592" s="140">
        <v>0</v>
      </c>
      <c r="BQ592" s="43" t="s">
        <v>329</v>
      </c>
      <c r="BX592" s="43">
        <v>21</v>
      </c>
      <c r="CC592" s="90">
        <f>M592</f>
        <v>59</v>
      </c>
      <c r="CT592" s="90">
        <f t="shared" si="64"/>
        <v>59</v>
      </c>
      <c r="CU592" s="90">
        <f t="shared" si="65"/>
        <v>59</v>
      </c>
    </row>
    <row r="593" spans="1:99" ht="12" customHeight="1">
      <c r="A593" s="43">
        <v>3511</v>
      </c>
      <c r="B593" s="89" t="s">
        <v>1515</v>
      </c>
      <c r="C593" s="89" t="s">
        <v>953</v>
      </c>
      <c r="D593" s="89" t="s">
        <v>949</v>
      </c>
      <c r="E593" s="89" t="s">
        <v>1748</v>
      </c>
      <c r="F593" s="43">
        <v>529369</v>
      </c>
      <c r="G593" s="43">
        <v>177317</v>
      </c>
      <c r="H593" s="89" t="s">
        <v>148</v>
      </c>
      <c r="I593" s="125">
        <v>43800</v>
      </c>
      <c r="K593" s="140">
        <v>0</v>
      </c>
      <c r="L593" s="140">
        <v>60</v>
      </c>
      <c r="M593" s="140">
        <v>60</v>
      </c>
      <c r="N593" s="140">
        <v>455</v>
      </c>
      <c r="O593" s="140">
        <v>455</v>
      </c>
      <c r="P593" s="43" t="s">
        <v>329</v>
      </c>
      <c r="Q593" s="89" t="s">
        <v>955</v>
      </c>
      <c r="R593" s="43" t="s">
        <v>466</v>
      </c>
      <c r="S593" s="125">
        <v>43658</v>
      </c>
      <c r="T593" s="117">
        <v>43791</v>
      </c>
      <c r="U593" s="43" t="s">
        <v>329</v>
      </c>
      <c r="V593" s="43" t="s">
        <v>317</v>
      </c>
      <c r="X593" s="43" t="s">
        <v>318</v>
      </c>
      <c r="Y593" s="43" t="s">
        <v>361</v>
      </c>
      <c r="Z593" s="43" t="s">
        <v>361</v>
      </c>
      <c r="AA593" s="43" t="s">
        <v>320</v>
      </c>
      <c r="AB593" s="144">
        <v>0.69900000095367398</v>
      </c>
      <c r="AF593" s="43" t="s">
        <v>75</v>
      </c>
      <c r="AG593" s="43" t="s">
        <v>322</v>
      </c>
      <c r="AH593" s="43" t="s">
        <v>952</v>
      </c>
      <c r="AJ593" s="140">
        <v>0</v>
      </c>
      <c r="AK593" s="140">
        <v>54</v>
      </c>
      <c r="AL593" s="140">
        <v>0</v>
      </c>
      <c r="AM593" s="140">
        <v>6</v>
      </c>
      <c r="AN593" s="140">
        <v>0</v>
      </c>
      <c r="AO593" s="140">
        <v>12</v>
      </c>
      <c r="AP593" s="140">
        <v>22</v>
      </c>
      <c r="AQ593" s="140">
        <v>25</v>
      </c>
      <c r="AR593" s="140">
        <v>1</v>
      </c>
      <c r="AS593" s="140">
        <v>0</v>
      </c>
      <c r="AT593" s="140">
        <v>0</v>
      </c>
      <c r="AU593" s="140">
        <v>0</v>
      </c>
      <c r="AV593" s="140">
        <v>12</v>
      </c>
      <c r="AW593" s="140">
        <v>22</v>
      </c>
      <c r="AX593" s="140">
        <v>25</v>
      </c>
      <c r="AY593" s="140">
        <v>1</v>
      </c>
      <c r="AZ593" s="140">
        <v>0</v>
      </c>
      <c r="BA593" s="140">
        <v>0</v>
      </c>
      <c r="BB593" s="140">
        <v>0</v>
      </c>
      <c r="BC593" s="140">
        <v>0</v>
      </c>
      <c r="BD593" s="140">
        <v>0</v>
      </c>
      <c r="BE593" s="140">
        <v>0</v>
      </c>
      <c r="BF593" s="140">
        <v>0</v>
      </c>
      <c r="BG593" s="140">
        <v>0</v>
      </c>
      <c r="BH593" s="140">
        <v>0</v>
      </c>
      <c r="BI593" s="140">
        <v>0</v>
      </c>
      <c r="BJ593" s="140">
        <v>0</v>
      </c>
      <c r="BK593" s="140">
        <v>0</v>
      </c>
      <c r="BL593" s="140">
        <v>0</v>
      </c>
      <c r="BM593" s="140">
        <v>0</v>
      </c>
      <c r="BN593" s="140">
        <v>0</v>
      </c>
      <c r="BO593" s="140">
        <v>0</v>
      </c>
      <c r="BQ593" s="43" t="s">
        <v>329</v>
      </c>
      <c r="BX593" s="43">
        <v>21</v>
      </c>
      <c r="CC593" s="90">
        <f>M593</f>
        <v>60</v>
      </c>
      <c r="CT593" s="90">
        <f t="shared" si="64"/>
        <v>60</v>
      </c>
      <c r="CU593" s="90">
        <f t="shared" si="65"/>
        <v>60</v>
      </c>
    </row>
    <row r="594" spans="1:99" ht="12" customHeight="1">
      <c r="A594" s="43">
        <v>3511</v>
      </c>
      <c r="B594" s="89" t="s">
        <v>1515</v>
      </c>
      <c r="C594" s="89" t="s">
        <v>953</v>
      </c>
      <c r="D594" s="89" t="s">
        <v>949</v>
      </c>
      <c r="E594" s="89" t="s">
        <v>1749</v>
      </c>
      <c r="F594" s="43">
        <v>529369</v>
      </c>
      <c r="G594" s="43">
        <v>177317</v>
      </c>
      <c r="H594" s="89" t="s">
        <v>148</v>
      </c>
      <c r="I594" s="125">
        <v>43800</v>
      </c>
      <c r="K594" s="140">
        <v>0</v>
      </c>
      <c r="L594" s="140">
        <v>16</v>
      </c>
      <c r="M594" s="140">
        <v>16</v>
      </c>
      <c r="N594" s="140">
        <v>455</v>
      </c>
      <c r="O594" s="140">
        <v>455</v>
      </c>
      <c r="P594" s="43" t="s">
        <v>329</v>
      </c>
      <c r="Q594" s="89" t="s">
        <v>955</v>
      </c>
      <c r="R594" s="43" t="s">
        <v>466</v>
      </c>
      <c r="S594" s="125">
        <v>43658</v>
      </c>
      <c r="T594" s="117">
        <v>43791</v>
      </c>
      <c r="U594" s="43" t="s">
        <v>329</v>
      </c>
      <c r="V594" s="43" t="s">
        <v>317</v>
      </c>
      <c r="X594" s="43" t="s">
        <v>318</v>
      </c>
      <c r="Y594" s="43" t="s">
        <v>361</v>
      </c>
      <c r="Z594" s="43" t="s">
        <v>361</v>
      </c>
      <c r="AA594" s="43" t="s">
        <v>320</v>
      </c>
      <c r="AB594" s="144">
        <v>0.72299998998642001</v>
      </c>
      <c r="AF594" s="43" t="s">
        <v>75</v>
      </c>
      <c r="AG594" s="43" t="s">
        <v>322</v>
      </c>
      <c r="AH594" s="43" t="s">
        <v>952</v>
      </c>
      <c r="AJ594" s="140">
        <v>0</v>
      </c>
      <c r="AK594" s="140">
        <v>0</v>
      </c>
      <c r="AL594" s="140">
        <v>0</v>
      </c>
      <c r="AM594" s="140">
        <v>0</v>
      </c>
      <c r="AN594" s="140">
        <v>0</v>
      </c>
      <c r="AO594" s="140">
        <v>0</v>
      </c>
      <c r="AP594" s="140">
        <v>0</v>
      </c>
      <c r="AQ594" s="140">
        <v>0</v>
      </c>
      <c r="AR594" s="140">
        <v>16</v>
      </c>
      <c r="AS594" s="140">
        <v>0</v>
      </c>
      <c r="AT594" s="140">
        <v>0</v>
      </c>
      <c r="AU594" s="140">
        <v>0</v>
      </c>
      <c r="AV594" s="140">
        <v>0</v>
      </c>
      <c r="AW594" s="140">
        <v>0</v>
      </c>
      <c r="AX594" s="140">
        <v>0</v>
      </c>
      <c r="AY594" s="140">
        <v>16</v>
      </c>
      <c r="AZ594" s="140">
        <v>0</v>
      </c>
      <c r="BA594" s="140">
        <v>0</v>
      </c>
      <c r="BB594" s="140">
        <v>0</v>
      </c>
      <c r="BC594" s="140">
        <v>0</v>
      </c>
      <c r="BD594" s="140">
        <v>0</v>
      </c>
      <c r="BE594" s="140">
        <v>0</v>
      </c>
      <c r="BF594" s="140">
        <v>0</v>
      </c>
      <c r="BG594" s="140">
        <v>0</v>
      </c>
      <c r="BH594" s="140">
        <v>0</v>
      </c>
      <c r="BI594" s="140">
        <v>0</v>
      </c>
      <c r="BJ594" s="140">
        <v>0</v>
      </c>
      <c r="BK594" s="140">
        <v>0</v>
      </c>
      <c r="BL594" s="140">
        <v>0</v>
      </c>
      <c r="BM594" s="140">
        <v>0</v>
      </c>
      <c r="BN594" s="140">
        <v>0</v>
      </c>
      <c r="BO594" s="140">
        <v>0</v>
      </c>
      <c r="BQ594" s="43" t="s">
        <v>329</v>
      </c>
      <c r="BX594" s="43">
        <v>21</v>
      </c>
      <c r="CC594" s="90">
        <f>M594</f>
        <v>16</v>
      </c>
      <c r="CT594" s="90">
        <f t="shared" si="64"/>
        <v>16</v>
      </c>
      <c r="CU594" s="90">
        <f t="shared" si="65"/>
        <v>16</v>
      </c>
    </row>
    <row r="595" spans="1:99" ht="12" customHeight="1">
      <c r="A595" s="43">
        <v>3514</v>
      </c>
      <c r="B595" s="89" t="s">
        <v>1515</v>
      </c>
      <c r="C595" s="89" t="s">
        <v>400</v>
      </c>
      <c r="D595" s="89" t="s">
        <v>395</v>
      </c>
      <c r="E595" s="89" t="s">
        <v>367</v>
      </c>
      <c r="F595" s="43">
        <v>528809</v>
      </c>
      <c r="G595" s="43">
        <v>177181</v>
      </c>
      <c r="H595" s="89" t="s">
        <v>148</v>
      </c>
      <c r="I595" s="125">
        <v>42662</v>
      </c>
      <c r="K595" s="140">
        <v>0</v>
      </c>
      <c r="L595" s="140">
        <v>46</v>
      </c>
      <c r="M595" s="140">
        <v>46</v>
      </c>
      <c r="N595" s="140">
        <v>835</v>
      </c>
      <c r="O595" s="140">
        <v>835</v>
      </c>
      <c r="P595" s="43" t="s">
        <v>329</v>
      </c>
      <c r="Q595" s="89" t="s">
        <v>402</v>
      </c>
      <c r="R595" s="43" t="s">
        <v>360</v>
      </c>
      <c r="S595" s="125">
        <v>42675</v>
      </c>
      <c r="T595" s="117">
        <v>42858</v>
      </c>
      <c r="V595" s="43" t="s">
        <v>317</v>
      </c>
      <c r="X595" s="43" t="s">
        <v>318</v>
      </c>
      <c r="Y595" s="43" t="s">
        <v>361</v>
      </c>
      <c r="Z595" s="43" t="s">
        <v>361</v>
      </c>
      <c r="AA595" s="43" t="s">
        <v>320</v>
      </c>
      <c r="AB595" s="144">
        <v>7.9000003635883304E-2</v>
      </c>
      <c r="AF595" s="43" t="s">
        <v>75</v>
      </c>
      <c r="AG595" s="43" t="s">
        <v>322</v>
      </c>
      <c r="AH595" s="43" t="s">
        <v>398</v>
      </c>
      <c r="AJ595" s="140">
        <v>46</v>
      </c>
      <c r="AK595" s="140">
        <v>0</v>
      </c>
      <c r="AL595" s="140">
        <v>5</v>
      </c>
      <c r="AM595" s="140">
        <v>0</v>
      </c>
      <c r="AN595" s="140">
        <v>0</v>
      </c>
      <c r="AO595" s="140">
        <v>0</v>
      </c>
      <c r="AP595" s="140">
        <v>40</v>
      </c>
      <c r="AQ595" s="140">
        <v>6</v>
      </c>
      <c r="AR595" s="140">
        <v>0</v>
      </c>
      <c r="AS595" s="140">
        <v>0</v>
      </c>
      <c r="AT595" s="140">
        <v>0</v>
      </c>
      <c r="AU595" s="140">
        <v>0</v>
      </c>
      <c r="AV595" s="140">
        <v>0</v>
      </c>
      <c r="AW595" s="140">
        <v>40</v>
      </c>
      <c r="AX595" s="140">
        <v>6</v>
      </c>
      <c r="AY595" s="140">
        <v>0</v>
      </c>
      <c r="AZ595" s="140">
        <v>0</v>
      </c>
      <c r="BA595" s="140">
        <v>0</v>
      </c>
      <c r="BB595" s="140">
        <v>0</v>
      </c>
      <c r="BC595" s="140">
        <v>0</v>
      </c>
      <c r="BD595" s="140">
        <v>0</v>
      </c>
      <c r="BE595" s="140">
        <v>0</v>
      </c>
      <c r="BF595" s="140">
        <v>0</v>
      </c>
      <c r="BG595" s="140">
        <v>0</v>
      </c>
      <c r="BH595" s="140">
        <v>0</v>
      </c>
      <c r="BI595" s="140">
        <v>0</v>
      </c>
      <c r="BJ595" s="140">
        <v>0</v>
      </c>
      <c r="BK595" s="140">
        <v>0</v>
      </c>
      <c r="BL595" s="140">
        <v>0</v>
      </c>
      <c r="BM595" s="140">
        <v>0</v>
      </c>
      <c r="BN595" s="140">
        <v>0</v>
      </c>
      <c r="BO595" s="140">
        <v>0</v>
      </c>
      <c r="BQ595" s="43" t="s">
        <v>329</v>
      </c>
      <c r="BX595" s="43">
        <v>21</v>
      </c>
      <c r="CD595" s="90">
        <f>M595</f>
        <v>46</v>
      </c>
      <c r="CT595" s="90">
        <f t="shared" si="64"/>
        <v>46</v>
      </c>
      <c r="CU595" s="90">
        <f t="shared" si="65"/>
        <v>46</v>
      </c>
    </row>
    <row r="596" spans="1:99" ht="12" customHeight="1">
      <c r="A596" s="43">
        <v>3514</v>
      </c>
      <c r="B596" s="89" t="s">
        <v>1515</v>
      </c>
      <c r="C596" s="89" t="s">
        <v>400</v>
      </c>
      <c r="D596" s="89" t="s">
        <v>395</v>
      </c>
      <c r="E596" s="89" t="s">
        <v>369</v>
      </c>
      <c r="F596" s="43">
        <v>528809</v>
      </c>
      <c r="G596" s="43">
        <v>177181</v>
      </c>
      <c r="H596" s="89" t="s">
        <v>148</v>
      </c>
      <c r="I596" s="125">
        <v>42662</v>
      </c>
      <c r="K596" s="140">
        <v>0</v>
      </c>
      <c r="L596" s="140">
        <v>118</v>
      </c>
      <c r="M596" s="140">
        <v>118</v>
      </c>
      <c r="N596" s="140">
        <v>835</v>
      </c>
      <c r="O596" s="140">
        <v>835</v>
      </c>
      <c r="P596" s="43" t="s">
        <v>329</v>
      </c>
      <c r="Q596" s="89" t="s">
        <v>402</v>
      </c>
      <c r="R596" s="43" t="s">
        <v>360</v>
      </c>
      <c r="S596" s="125">
        <v>42675</v>
      </c>
      <c r="T596" s="117">
        <v>42858</v>
      </c>
      <c r="V596" s="43" t="s">
        <v>317</v>
      </c>
      <c r="X596" s="43" t="s">
        <v>318</v>
      </c>
      <c r="Y596" s="43" t="s">
        <v>361</v>
      </c>
      <c r="Z596" s="43" t="s">
        <v>361</v>
      </c>
      <c r="AA596" s="43" t="s">
        <v>320</v>
      </c>
      <c r="AB596" s="144">
        <v>0.20399999618530301</v>
      </c>
      <c r="AF596" s="43" t="s">
        <v>75</v>
      </c>
      <c r="AG596" s="43" t="s">
        <v>322</v>
      </c>
      <c r="AH596" s="43" t="s">
        <v>398</v>
      </c>
      <c r="AJ596" s="140">
        <v>118</v>
      </c>
      <c r="AK596" s="140">
        <v>0</v>
      </c>
      <c r="AL596" s="140">
        <v>12</v>
      </c>
      <c r="AM596" s="140">
        <v>0</v>
      </c>
      <c r="AN596" s="140">
        <v>0</v>
      </c>
      <c r="AO596" s="140">
        <v>34</v>
      </c>
      <c r="AP596" s="140">
        <v>82</v>
      </c>
      <c r="AQ596" s="140">
        <v>2</v>
      </c>
      <c r="AR596" s="140">
        <v>0</v>
      </c>
      <c r="AS596" s="140">
        <v>0</v>
      </c>
      <c r="AT596" s="140">
        <v>0</v>
      </c>
      <c r="AU596" s="140">
        <v>0</v>
      </c>
      <c r="AV596" s="140">
        <v>34</v>
      </c>
      <c r="AW596" s="140">
        <v>82</v>
      </c>
      <c r="AX596" s="140">
        <v>2</v>
      </c>
      <c r="AY596" s="140">
        <v>0</v>
      </c>
      <c r="AZ596" s="140">
        <v>0</v>
      </c>
      <c r="BA596" s="140">
        <v>0</v>
      </c>
      <c r="BB596" s="140">
        <v>0</v>
      </c>
      <c r="BC596" s="140">
        <v>0</v>
      </c>
      <c r="BD596" s="140">
        <v>0</v>
      </c>
      <c r="BE596" s="140">
        <v>0</v>
      </c>
      <c r="BF596" s="140">
        <v>0</v>
      </c>
      <c r="BG596" s="140">
        <v>0</v>
      </c>
      <c r="BH596" s="140">
        <v>0</v>
      </c>
      <c r="BI596" s="140">
        <v>0</v>
      </c>
      <c r="BJ596" s="140">
        <v>0</v>
      </c>
      <c r="BK596" s="140">
        <v>0</v>
      </c>
      <c r="BL596" s="140">
        <v>0</v>
      </c>
      <c r="BM596" s="140">
        <v>0</v>
      </c>
      <c r="BN596" s="140">
        <v>0</v>
      </c>
      <c r="BO596" s="140">
        <v>0</v>
      </c>
      <c r="BQ596" s="43" t="s">
        <v>329</v>
      </c>
      <c r="BX596" s="43">
        <v>21</v>
      </c>
      <c r="CC596" s="90">
        <f>M596</f>
        <v>118</v>
      </c>
      <c r="CT596" s="90">
        <f t="shared" si="64"/>
        <v>118</v>
      </c>
      <c r="CU596" s="90">
        <f t="shared" si="65"/>
        <v>118</v>
      </c>
    </row>
    <row r="597" spans="1:99" ht="12" customHeight="1">
      <c r="A597" s="43">
        <v>3514</v>
      </c>
      <c r="B597" s="89" t="s">
        <v>1515</v>
      </c>
      <c r="C597" s="89" t="s">
        <v>400</v>
      </c>
      <c r="D597" s="89" t="s">
        <v>395</v>
      </c>
      <c r="E597" s="89" t="s">
        <v>1750</v>
      </c>
      <c r="F597" s="43">
        <v>528809</v>
      </c>
      <c r="G597" s="43">
        <v>177181</v>
      </c>
      <c r="H597" s="89" t="s">
        <v>148</v>
      </c>
      <c r="I597" s="125">
        <v>42662</v>
      </c>
      <c r="K597" s="140">
        <v>0</v>
      </c>
      <c r="L597" s="140">
        <v>98</v>
      </c>
      <c r="M597" s="140">
        <v>98</v>
      </c>
      <c r="N597" s="140">
        <v>835</v>
      </c>
      <c r="O597" s="140">
        <v>835</v>
      </c>
      <c r="P597" s="43" t="s">
        <v>329</v>
      </c>
      <c r="Q597" s="89" t="s">
        <v>402</v>
      </c>
      <c r="R597" s="43" t="s">
        <v>360</v>
      </c>
      <c r="S597" s="125">
        <v>42675</v>
      </c>
      <c r="T597" s="117">
        <v>42858</v>
      </c>
      <c r="V597" s="43" t="s">
        <v>317</v>
      </c>
      <c r="X597" s="43" t="s">
        <v>318</v>
      </c>
      <c r="Y597" s="43" t="s">
        <v>361</v>
      </c>
      <c r="Z597" s="43" t="s">
        <v>361</v>
      </c>
      <c r="AA597" s="43" t="s">
        <v>320</v>
      </c>
      <c r="AB597" s="144">
        <v>0.168999999761581</v>
      </c>
      <c r="AF597" s="43" t="s">
        <v>75</v>
      </c>
      <c r="AG597" s="43" t="s">
        <v>322</v>
      </c>
      <c r="AH597" s="43" t="s">
        <v>398</v>
      </c>
      <c r="AJ597" s="140">
        <v>98</v>
      </c>
      <c r="AK597" s="140">
        <v>0</v>
      </c>
      <c r="AL597" s="140">
        <v>10</v>
      </c>
      <c r="AM597" s="140">
        <v>0</v>
      </c>
      <c r="AN597" s="140">
        <v>0</v>
      </c>
      <c r="AO597" s="140">
        <v>28</v>
      </c>
      <c r="AP597" s="140">
        <v>68</v>
      </c>
      <c r="AQ597" s="140">
        <v>2</v>
      </c>
      <c r="AR597" s="140">
        <v>0</v>
      </c>
      <c r="AS597" s="140">
        <v>0</v>
      </c>
      <c r="AT597" s="140">
        <v>0</v>
      </c>
      <c r="AU597" s="140">
        <v>0</v>
      </c>
      <c r="AV597" s="140">
        <v>28</v>
      </c>
      <c r="AW597" s="140">
        <v>68</v>
      </c>
      <c r="AX597" s="140">
        <v>2</v>
      </c>
      <c r="AY597" s="140">
        <v>0</v>
      </c>
      <c r="AZ597" s="140">
        <v>0</v>
      </c>
      <c r="BA597" s="140">
        <v>0</v>
      </c>
      <c r="BB597" s="140">
        <v>0</v>
      </c>
      <c r="BC597" s="140">
        <v>0</v>
      </c>
      <c r="BD597" s="140">
        <v>0</v>
      </c>
      <c r="BE597" s="140">
        <v>0</v>
      </c>
      <c r="BF597" s="140">
        <v>0</v>
      </c>
      <c r="BG597" s="140">
        <v>0</v>
      </c>
      <c r="BH597" s="140">
        <v>0</v>
      </c>
      <c r="BI597" s="140">
        <v>0</v>
      </c>
      <c r="BJ597" s="140">
        <v>0</v>
      </c>
      <c r="BK597" s="140">
        <v>0</v>
      </c>
      <c r="BL597" s="140">
        <v>0</v>
      </c>
      <c r="BM597" s="140">
        <v>0</v>
      </c>
      <c r="BN597" s="140">
        <v>0</v>
      </c>
      <c r="BO597" s="140">
        <v>0</v>
      </c>
      <c r="BQ597" s="43" t="s">
        <v>329</v>
      </c>
      <c r="BX597" s="43">
        <v>21</v>
      </c>
      <c r="CD597" s="90">
        <f>M597</f>
        <v>98</v>
      </c>
      <c r="CT597" s="90">
        <f t="shared" si="64"/>
        <v>98</v>
      </c>
      <c r="CU597" s="90">
        <f t="shared" si="65"/>
        <v>98</v>
      </c>
    </row>
    <row r="598" spans="1:99" ht="12" customHeight="1">
      <c r="A598" s="43">
        <v>3518</v>
      </c>
      <c r="B598" s="89" t="s">
        <v>1515</v>
      </c>
      <c r="C598" s="89" t="s">
        <v>1751</v>
      </c>
      <c r="D598" s="89" t="s">
        <v>1752</v>
      </c>
      <c r="E598" s="89" t="s">
        <v>1753</v>
      </c>
      <c r="F598" s="43">
        <v>525666</v>
      </c>
      <c r="G598" s="43">
        <v>174804</v>
      </c>
      <c r="H598" s="89" t="s">
        <v>170</v>
      </c>
      <c r="I598" s="125">
        <v>42095</v>
      </c>
      <c r="K598" s="140">
        <v>0</v>
      </c>
      <c r="L598" s="140">
        <v>16</v>
      </c>
      <c r="M598" s="140">
        <v>16</v>
      </c>
      <c r="N598" s="140">
        <v>663</v>
      </c>
      <c r="O598" s="140">
        <v>662</v>
      </c>
      <c r="P598" s="43" t="s">
        <v>329</v>
      </c>
      <c r="Q598" s="89" t="s">
        <v>1754</v>
      </c>
      <c r="R598" s="43" t="s">
        <v>1726</v>
      </c>
      <c r="S598" s="125">
        <v>41234</v>
      </c>
      <c r="T598" s="117">
        <v>41614</v>
      </c>
      <c r="V598" s="43" t="s">
        <v>317</v>
      </c>
      <c r="X598" s="43" t="s">
        <v>318</v>
      </c>
      <c r="Y598" s="43" t="s">
        <v>361</v>
      </c>
      <c r="Z598" s="43" t="s">
        <v>361</v>
      </c>
      <c r="AA598" s="43" t="s">
        <v>320</v>
      </c>
      <c r="AB598" s="144">
        <v>0</v>
      </c>
      <c r="AF598" s="43" t="s">
        <v>75</v>
      </c>
      <c r="AG598" s="43" t="s">
        <v>322</v>
      </c>
      <c r="AH598" s="43" t="s">
        <v>1755</v>
      </c>
      <c r="AJ598" s="140">
        <v>0</v>
      </c>
      <c r="AK598" s="140">
        <v>0</v>
      </c>
      <c r="AL598" s="140">
        <v>0</v>
      </c>
      <c r="AM598" s="140">
        <v>0</v>
      </c>
      <c r="AN598" s="140">
        <v>0</v>
      </c>
      <c r="AO598" s="140">
        <v>10</v>
      </c>
      <c r="AP598" s="140">
        <v>6</v>
      </c>
      <c r="AQ598" s="140">
        <v>0</v>
      </c>
      <c r="AR598" s="140">
        <v>0</v>
      </c>
      <c r="AS598" s="140">
        <v>0</v>
      </c>
      <c r="AT598" s="140">
        <v>0</v>
      </c>
      <c r="AU598" s="140">
        <v>0</v>
      </c>
      <c r="AV598" s="140">
        <v>10</v>
      </c>
      <c r="AW598" s="140">
        <v>6</v>
      </c>
      <c r="AX598" s="140">
        <v>0</v>
      </c>
      <c r="AY598" s="140">
        <v>0</v>
      </c>
      <c r="AZ598" s="140">
        <v>0</v>
      </c>
      <c r="BA598" s="140">
        <v>0</v>
      </c>
      <c r="BB598" s="140">
        <v>0</v>
      </c>
      <c r="BC598" s="140">
        <v>0</v>
      </c>
      <c r="BD598" s="140">
        <v>0</v>
      </c>
      <c r="BE598" s="140">
        <v>0</v>
      </c>
      <c r="BF598" s="140">
        <v>0</v>
      </c>
      <c r="BG598" s="140">
        <v>0</v>
      </c>
      <c r="BH598" s="140">
        <v>0</v>
      </c>
      <c r="BI598" s="140">
        <v>0</v>
      </c>
      <c r="BJ598" s="140">
        <v>0</v>
      </c>
      <c r="BK598" s="140">
        <v>0</v>
      </c>
      <c r="BL598" s="140">
        <v>0</v>
      </c>
      <c r="BM598" s="140">
        <v>0</v>
      </c>
      <c r="BN598" s="140">
        <v>0</v>
      </c>
      <c r="BO598" s="140">
        <v>0</v>
      </c>
      <c r="BR598" s="43" t="s">
        <v>329</v>
      </c>
      <c r="BX598" s="43">
        <v>7</v>
      </c>
      <c r="CT598" s="90">
        <f t="shared" si="64"/>
        <v>0</v>
      </c>
      <c r="CU598" s="90">
        <f t="shared" si="65"/>
        <v>0</v>
      </c>
    </row>
    <row r="599" spans="1:99" ht="12" customHeight="1">
      <c r="A599" s="43">
        <v>3518</v>
      </c>
      <c r="B599" s="89" t="s">
        <v>1515</v>
      </c>
      <c r="C599" s="89" t="s">
        <v>1751</v>
      </c>
      <c r="D599" s="89" t="s">
        <v>1752</v>
      </c>
      <c r="E599" s="89" t="s">
        <v>1756</v>
      </c>
      <c r="F599" s="43">
        <v>525666</v>
      </c>
      <c r="G599" s="43">
        <v>174804</v>
      </c>
      <c r="H599" s="89" t="s">
        <v>170</v>
      </c>
      <c r="I599" s="125">
        <v>42095</v>
      </c>
      <c r="K599" s="140">
        <v>0</v>
      </c>
      <c r="L599" s="140">
        <v>23</v>
      </c>
      <c r="M599" s="140">
        <v>23</v>
      </c>
      <c r="N599" s="140">
        <v>663</v>
      </c>
      <c r="O599" s="140">
        <v>662</v>
      </c>
      <c r="P599" s="43" t="s">
        <v>329</v>
      </c>
      <c r="Q599" s="89" t="s">
        <v>1754</v>
      </c>
      <c r="R599" s="43" t="s">
        <v>1726</v>
      </c>
      <c r="S599" s="125">
        <v>41234</v>
      </c>
      <c r="T599" s="117">
        <v>41614</v>
      </c>
      <c r="V599" s="43" t="s">
        <v>317</v>
      </c>
      <c r="X599" s="43" t="s">
        <v>318</v>
      </c>
      <c r="Y599" s="43" t="s">
        <v>361</v>
      </c>
      <c r="Z599" s="43" t="s">
        <v>361</v>
      </c>
      <c r="AA599" s="43" t="s">
        <v>320</v>
      </c>
      <c r="AB599" s="144">
        <v>0</v>
      </c>
      <c r="AF599" s="43" t="s">
        <v>75</v>
      </c>
      <c r="AG599" s="43" t="s">
        <v>322</v>
      </c>
      <c r="AH599" s="43" t="s">
        <v>1755</v>
      </c>
      <c r="AJ599" s="140">
        <v>0</v>
      </c>
      <c r="AK599" s="140">
        <v>0</v>
      </c>
      <c r="AL599" s="140">
        <v>1</v>
      </c>
      <c r="AM599" s="140">
        <v>0</v>
      </c>
      <c r="AN599" s="140">
        <v>0</v>
      </c>
      <c r="AO599" s="140">
        <v>10</v>
      </c>
      <c r="AP599" s="140">
        <v>7</v>
      </c>
      <c r="AQ599" s="140">
        <v>4</v>
      </c>
      <c r="AR599" s="140">
        <v>2</v>
      </c>
      <c r="AS599" s="140">
        <v>0</v>
      </c>
      <c r="AT599" s="140">
        <v>0</v>
      </c>
      <c r="AU599" s="140">
        <v>0</v>
      </c>
      <c r="AV599" s="140">
        <v>10</v>
      </c>
      <c r="AW599" s="140">
        <v>7</v>
      </c>
      <c r="AX599" s="140">
        <v>4</v>
      </c>
      <c r="AY599" s="140">
        <v>2</v>
      </c>
      <c r="AZ599" s="140">
        <v>0</v>
      </c>
      <c r="BA599" s="140">
        <v>0</v>
      </c>
      <c r="BB599" s="140">
        <v>0</v>
      </c>
      <c r="BC599" s="140">
        <v>0</v>
      </c>
      <c r="BD599" s="140">
        <v>0</v>
      </c>
      <c r="BE599" s="140">
        <v>0</v>
      </c>
      <c r="BF599" s="140">
        <v>0</v>
      </c>
      <c r="BG599" s="140">
        <v>0</v>
      </c>
      <c r="BH599" s="140">
        <v>0</v>
      </c>
      <c r="BI599" s="140">
        <v>0</v>
      </c>
      <c r="BJ599" s="140">
        <v>0</v>
      </c>
      <c r="BK599" s="140">
        <v>0</v>
      </c>
      <c r="BL599" s="140">
        <v>0</v>
      </c>
      <c r="BM599" s="140">
        <v>0</v>
      </c>
      <c r="BN599" s="140">
        <v>0</v>
      </c>
      <c r="BO599" s="140">
        <v>0</v>
      </c>
      <c r="BR599" s="43" t="s">
        <v>329</v>
      </c>
      <c r="BX599" s="43">
        <v>7</v>
      </c>
      <c r="CT599" s="90">
        <f t="shared" si="64"/>
        <v>0</v>
      </c>
      <c r="CU599" s="90">
        <f t="shared" si="65"/>
        <v>0</v>
      </c>
    </row>
    <row r="600" spans="1:99" ht="12" customHeight="1">
      <c r="A600" s="43">
        <v>3518</v>
      </c>
      <c r="B600" s="89" t="s">
        <v>1515</v>
      </c>
      <c r="C600" s="89" t="s">
        <v>1751</v>
      </c>
      <c r="D600" s="89" t="s">
        <v>1752</v>
      </c>
      <c r="E600" s="89" t="s">
        <v>1757</v>
      </c>
      <c r="F600" s="43">
        <v>525666</v>
      </c>
      <c r="G600" s="43">
        <v>174804</v>
      </c>
      <c r="H600" s="89" t="s">
        <v>170</v>
      </c>
      <c r="I600" s="125">
        <v>42095</v>
      </c>
      <c r="K600" s="140">
        <v>0</v>
      </c>
      <c r="L600" s="140">
        <v>24</v>
      </c>
      <c r="M600" s="140">
        <v>24</v>
      </c>
      <c r="N600" s="140">
        <v>663</v>
      </c>
      <c r="O600" s="140">
        <v>662</v>
      </c>
      <c r="P600" s="43" t="s">
        <v>329</v>
      </c>
      <c r="Q600" s="89" t="s">
        <v>1754</v>
      </c>
      <c r="R600" s="43" t="s">
        <v>1726</v>
      </c>
      <c r="S600" s="125">
        <v>41234</v>
      </c>
      <c r="T600" s="117">
        <v>41614</v>
      </c>
      <c r="V600" s="43" t="s">
        <v>317</v>
      </c>
      <c r="X600" s="43" t="s">
        <v>318</v>
      </c>
      <c r="Y600" s="43" t="s">
        <v>361</v>
      </c>
      <c r="Z600" s="43" t="s">
        <v>361</v>
      </c>
      <c r="AA600" s="43" t="s">
        <v>320</v>
      </c>
      <c r="AB600" s="144">
        <v>0</v>
      </c>
      <c r="AF600" s="43" t="s">
        <v>75</v>
      </c>
      <c r="AG600" s="43" t="s">
        <v>322</v>
      </c>
      <c r="AH600" s="43" t="s">
        <v>1755</v>
      </c>
      <c r="AJ600" s="140">
        <v>0</v>
      </c>
      <c r="AK600" s="140">
        <v>0</v>
      </c>
      <c r="AL600" s="140">
        <v>5</v>
      </c>
      <c r="AM600" s="140">
        <v>0</v>
      </c>
      <c r="AN600" s="140">
        <v>0</v>
      </c>
      <c r="AO600" s="140">
        <v>1</v>
      </c>
      <c r="AP600" s="140">
        <v>19</v>
      </c>
      <c r="AQ600" s="140">
        <v>4</v>
      </c>
      <c r="AR600" s="140">
        <v>0</v>
      </c>
      <c r="AS600" s="140">
        <v>0</v>
      </c>
      <c r="AT600" s="140">
        <v>0</v>
      </c>
      <c r="AU600" s="140">
        <v>0</v>
      </c>
      <c r="AV600" s="140">
        <v>1</v>
      </c>
      <c r="AW600" s="140">
        <v>19</v>
      </c>
      <c r="AX600" s="140">
        <v>4</v>
      </c>
      <c r="AY600" s="140">
        <v>0</v>
      </c>
      <c r="AZ600" s="140">
        <v>0</v>
      </c>
      <c r="BA600" s="140">
        <v>0</v>
      </c>
      <c r="BB600" s="140">
        <v>0</v>
      </c>
      <c r="BC600" s="140">
        <v>0</v>
      </c>
      <c r="BD600" s="140">
        <v>0</v>
      </c>
      <c r="BE600" s="140">
        <v>0</v>
      </c>
      <c r="BF600" s="140">
        <v>0</v>
      </c>
      <c r="BG600" s="140">
        <v>0</v>
      </c>
      <c r="BH600" s="140">
        <v>0</v>
      </c>
      <c r="BI600" s="140">
        <v>0</v>
      </c>
      <c r="BJ600" s="140">
        <v>0</v>
      </c>
      <c r="BK600" s="140">
        <v>0</v>
      </c>
      <c r="BL600" s="140">
        <v>0</v>
      </c>
      <c r="BM600" s="140">
        <v>0</v>
      </c>
      <c r="BN600" s="140">
        <v>0</v>
      </c>
      <c r="BO600" s="140">
        <v>0</v>
      </c>
      <c r="BR600" s="43" t="s">
        <v>329</v>
      </c>
      <c r="BX600" s="43">
        <v>7</v>
      </c>
      <c r="CT600" s="90">
        <f t="shared" si="64"/>
        <v>0</v>
      </c>
      <c r="CU600" s="90">
        <f t="shared" si="65"/>
        <v>0</v>
      </c>
    </row>
    <row r="601" spans="1:99" ht="12" customHeight="1">
      <c r="A601" s="43">
        <v>3518</v>
      </c>
      <c r="B601" s="89" t="s">
        <v>1515</v>
      </c>
      <c r="C601" s="89" t="s">
        <v>1751</v>
      </c>
      <c r="D601" s="89" t="s">
        <v>1752</v>
      </c>
      <c r="E601" s="89" t="s">
        <v>1758</v>
      </c>
      <c r="F601" s="43">
        <v>525666</v>
      </c>
      <c r="G601" s="43">
        <v>174804</v>
      </c>
      <c r="H601" s="89" t="s">
        <v>170</v>
      </c>
      <c r="I601" s="125">
        <v>42095</v>
      </c>
      <c r="K601" s="140">
        <v>0</v>
      </c>
      <c r="L601" s="140">
        <v>166</v>
      </c>
      <c r="M601" s="140">
        <v>166</v>
      </c>
      <c r="N601" s="140">
        <v>663</v>
      </c>
      <c r="O601" s="140">
        <v>662</v>
      </c>
      <c r="P601" s="43" t="s">
        <v>329</v>
      </c>
      <c r="Q601" s="89" t="s">
        <v>1754</v>
      </c>
      <c r="R601" s="43" t="s">
        <v>1726</v>
      </c>
      <c r="S601" s="125">
        <v>41234</v>
      </c>
      <c r="T601" s="117">
        <v>41614</v>
      </c>
      <c r="V601" s="43" t="s">
        <v>317</v>
      </c>
      <c r="X601" s="43" t="s">
        <v>318</v>
      </c>
      <c r="Y601" s="43" t="s">
        <v>361</v>
      </c>
      <c r="Z601" s="43" t="s">
        <v>361</v>
      </c>
      <c r="AA601" s="43" t="s">
        <v>320</v>
      </c>
      <c r="AB601" s="144">
        <v>0</v>
      </c>
      <c r="AF601" s="43" t="s">
        <v>75</v>
      </c>
      <c r="AG601" s="43" t="s">
        <v>322</v>
      </c>
      <c r="AH601" s="43" t="s">
        <v>1755</v>
      </c>
      <c r="AJ601" s="140">
        <v>0</v>
      </c>
      <c r="AK601" s="140">
        <v>0</v>
      </c>
      <c r="AL601" s="140">
        <v>10</v>
      </c>
      <c r="AM601" s="140">
        <v>0</v>
      </c>
      <c r="AN601" s="140">
        <v>23</v>
      </c>
      <c r="AO601" s="140">
        <v>23</v>
      </c>
      <c r="AP601" s="140">
        <v>70</v>
      </c>
      <c r="AQ601" s="140">
        <v>44</v>
      </c>
      <c r="AR601" s="140">
        <v>6</v>
      </c>
      <c r="AS601" s="140">
        <v>0</v>
      </c>
      <c r="AT601" s="140">
        <v>0</v>
      </c>
      <c r="AU601" s="140">
        <v>23</v>
      </c>
      <c r="AV601" s="140">
        <v>23</v>
      </c>
      <c r="AW601" s="140">
        <v>70</v>
      </c>
      <c r="AX601" s="140">
        <v>44</v>
      </c>
      <c r="AY601" s="140">
        <v>6</v>
      </c>
      <c r="AZ601" s="140">
        <v>0</v>
      </c>
      <c r="BA601" s="140">
        <v>0</v>
      </c>
      <c r="BB601" s="140">
        <v>0</v>
      </c>
      <c r="BC601" s="140">
        <v>0</v>
      </c>
      <c r="BD601" s="140">
        <v>0</v>
      </c>
      <c r="BE601" s="140">
        <v>0</v>
      </c>
      <c r="BF601" s="140">
        <v>0</v>
      </c>
      <c r="BG601" s="140">
        <v>0</v>
      </c>
      <c r="BH601" s="140">
        <v>0</v>
      </c>
      <c r="BI601" s="140">
        <v>0</v>
      </c>
      <c r="BJ601" s="140">
        <v>0</v>
      </c>
      <c r="BK601" s="140">
        <v>0</v>
      </c>
      <c r="BL601" s="140">
        <v>0</v>
      </c>
      <c r="BM601" s="140">
        <v>0</v>
      </c>
      <c r="BN601" s="140">
        <v>0</v>
      </c>
      <c r="BO601" s="140">
        <v>0</v>
      </c>
      <c r="BR601" s="43" t="s">
        <v>329</v>
      </c>
      <c r="BX601" s="43">
        <v>7</v>
      </c>
      <c r="CT601" s="90">
        <f t="shared" si="64"/>
        <v>0</v>
      </c>
      <c r="CU601" s="90">
        <f t="shared" si="65"/>
        <v>0</v>
      </c>
    </row>
    <row r="602" spans="1:99" ht="12" customHeight="1">
      <c r="A602" s="43">
        <v>3518</v>
      </c>
      <c r="B602" s="89" t="s">
        <v>1515</v>
      </c>
      <c r="C602" s="89" t="s">
        <v>1751</v>
      </c>
      <c r="D602" s="89" t="s">
        <v>1752</v>
      </c>
      <c r="E602" s="89" t="s">
        <v>1759</v>
      </c>
      <c r="F602" s="43">
        <v>525666</v>
      </c>
      <c r="G602" s="43">
        <v>174804</v>
      </c>
      <c r="H602" s="89" t="s">
        <v>170</v>
      </c>
      <c r="I602" s="125">
        <v>42095</v>
      </c>
      <c r="K602" s="140">
        <v>0</v>
      </c>
      <c r="L602" s="140">
        <v>30</v>
      </c>
      <c r="M602" s="140">
        <v>30</v>
      </c>
      <c r="N602" s="140">
        <v>663</v>
      </c>
      <c r="O602" s="140">
        <v>662</v>
      </c>
      <c r="P602" s="43" t="s">
        <v>329</v>
      </c>
      <c r="Q602" s="89" t="s">
        <v>1754</v>
      </c>
      <c r="R602" s="43" t="s">
        <v>1726</v>
      </c>
      <c r="S602" s="125">
        <v>41234</v>
      </c>
      <c r="T602" s="117">
        <v>41614</v>
      </c>
      <c r="V602" s="43" t="s">
        <v>317</v>
      </c>
      <c r="X602" s="43" t="s">
        <v>318</v>
      </c>
      <c r="Y602" s="43" t="s">
        <v>361</v>
      </c>
      <c r="Z602" s="43" t="s">
        <v>361</v>
      </c>
      <c r="AA602" s="43" t="s">
        <v>320</v>
      </c>
      <c r="AB602" s="144">
        <v>0</v>
      </c>
      <c r="AF602" s="43" t="s">
        <v>75</v>
      </c>
      <c r="AG602" s="43" t="s">
        <v>322</v>
      </c>
      <c r="AH602" s="43" t="s">
        <v>1755</v>
      </c>
      <c r="AJ602" s="140">
        <v>0</v>
      </c>
      <c r="AK602" s="140">
        <v>0</v>
      </c>
      <c r="AL602" s="140">
        <v>5</v>
      </c>
      <c r="AM602" s="140">
        <v>0</v>
      </c>
      <c r="AN602" s="140">
        <v>0</v>
      </c>
      <c r="AO602" s="140">
        <v>15</v>
      </c>
      <c r="AP602" s="140">
        <v>5</v>
      </c>
      <c r="AQ602" s="140">
        <v>10</v>
      </c>
      <c r="AR602" s="140">
        <v>0</v>
      </c>
      <c r="AS602" s="140">
        <v>0</v>
      </c>
      <c r="AT602" s="140">
        <v>0</v>
      </c>
      <c r="AU602" s="140">
        <v>0</v>
      </c>
      <c r="AV602" s="140">
        <v>15</v>
      </c>
      <c r="AW602" s="140">
        <v>5</v>
      </c>
      <c r="AX602" s="140">
        <v>10</v>
      </c>
      <c r="AY602" s="140">
        <v>0</v>
      </c>
      <c r="AZ602" s="140">
        <v>0</v>
      </c>
      <c r="BA602" s="140">
        <v>0</v>
      </c>
      <c r="BB602" s="140">
        <v>0</v>
      </c>
      <c r="BC602" s="140">
        <v>0</v>
      </c>
      <c r="BD602" s="140">
        <v>0</v>
      </c>
      <c r="BE602" s="140">
        <v>0</v>
      </c>
      <c r="BF602" s="140">
        <v>0</v>
      </c>
      <c r="BG602" s="140">
        <v>0</v>
      </c>
      <c r="BH602" s="140">
        <v>0</v>
      </c>
      <c r="BI602" s="140">
        <v>0</v>
      </c>
      <c r="BJ602" s="140">
        <v>0</v>
      </c>
      <c r="BK602" s="140">
        <v>0</v>
      </c>
      <c r="BL602" s="140">
        <v>0</v>
      </c>
      <c r="BM602" s="140">
        <v>0</v>
      </c>
      <c r="BN602" s="140">
        <v>0</v>
      </c>
      <c r="BO602" s="140">
        <v>0</v>
      </c>
      <c r="BR602" s="43" t="s">
        <v>329</v>
      </c>
      <c r="BX602" s="43">
        <v>7</v>
      </c>
      <c r="CT602" s="90">
        <f t="shared" si="64"/>
        <v>0</v>
      </c>
      <c r="CU602" s="90">
        <f t="shared" si="65"/>
        <v>0</v>
      </c>
    </row>
    <row r="603" spans="1:99" ht="12" customHeight="1">
      <c r="A603" s="43">
        <v>3518</v>
      </c>
      <c r="B603" s="89" t="s">
        <v>1515</v>
      </c>
      <c r="C603" s="89" t="s">
        <v>1760</v>
      </c>
      <c r="D603" s="89" t="s">
        <v>1752</v>
      </c>
      <c r="E603" s="89" t="s">
        <v>1761</v>
      </c>
      <c r="F603" s="43">
        <v>525666</v>
      </c>
      <c r="G603" s="43">
        <v>174804</v>
      </c>
      <c r="H603" s="89" t="s">
        <v>170</v>
      </c>
      <c r="I603" s="125">
        <v>42095</v>
      </c>
      <c r="K603" s="140">
        <v>0</v>
      </c>
      <c r="L603" s="140">
        <v>66</v>
      </c>
      <c r="M603" s="140">
        <v>66</v>
      </c>
      <c r="N603" s="140">
        <v>66</v>
      </c>
      <c r="O603" s="140">
        <v>66</v>
      </c>
      <c r="P603" s="43" t="s">
        <v>329</v>
      </c>
      <c r="Q603" s="89" t="s">
        <v>1762</v>
      </c>
      <c r="R603" s="43" t="s">
        <v>406</v>
      </c>
      <c r="S603" s="125">
        <v>42671</v>
      </c>
      <c r="T603" s="117">
        <v>42706</v>
      </c>
      <c r="V603" s="43" t="s">
        <v>317</v>
      </c>
      <c r="X603" s="43" t="s">
        <v>318</v>
      </c>
      <c r="Y603" s="43" t="s">
        <v>361</v>
      </c>
      <c r="Z603" s="43" t="s">
        <v>361</v>
      </c>
      <c r="AA603" s="43" t="s">
        <v>320</v>
      </c>
      <c r="AB603" s="144">
        <v>0</v>
      </c>
      <c r="AF603" s="43" t="s">
        <v>54</v>
      </c>
      <c r="AG603" s="43" t="s">
        <v>399</v>
      </c>
      <c r="AH603" s="43" t="s">
        <v>1755</v>
      </c>
      <c r="AJ603" s="140">
        <v>10</v>
      </c>
      <c r="AK603" s="140">
        <v>0</v>
      </c>
      <c r="AL603" s="140">
        <v>10</v>
      </c>
      <c r="AM603" s="140">
        <v>0</v>
      </c>
      <c r="AN603" s="140">
        <v>0</v>
      </c>
      <c r="AO603" s="140">
        <v>36</v>
      </c>
      <c r="AP603" s="140">
        <v>24</v>
      </c>
      <c r="AQ603" s="140">
        <v>6</v>
      </c>
      <c r="AR603" s="140">
        <v>0</v>
      </c>
      <c r="AS603" s="140">
        <v>0</v>
      </c>
      <c r="AT603" s="140">
        <v>0</v>
      </c>
      <c r="AU603" s="140">
        <v>0</v>
      </c>
      <c r="AV603" s="140">
        <v>36</v>
      </c>
      <c r="AW603" s="140">
        <v>24</v>
      </c>
      <c r="AX603" s="140">
        <v>6</v>
      </c>
      <c r="AY603" s="140">
        <v>0</v>
      </c>
      <c r="AZ603" s="140">
        <v>0</v>
      </c>
      <c r="BA603" s="140">
        <v>0</v>
      </c>
      <c r="BB603" s="140">
        <v>0</v>
      </c>
      <c r="BC603" s="140">
        <v>0</v>
      </c>
      <c r="BD603" s="140">
        <v>0</v>
      </c>
      <c r="BE603" s="140">
        <v>0</v>
      </c>
      <c r="BF603" s="140">
        <v>0</v>
      </c>
      <c r="BG603" s="140">
        <v>0</v>
      </c>
      <c r="BH603" s="140">
        <v>0</v>
      </c>
      <c r="BI603" s="140">
        <v>0</v>
      </c>
      <c r="BJ603" s="140">
        <v>0</v>
      </c>
      <c r="BK603" s="140">
        <v>0</v>
      </c>
      <c r="BL603" s="140">
        <v>0</v>
      </c>
      <c r="BM603" s="140">
        <v>0</v>
      </c>
      <c r="BN603" s="140">
        <v>0</v>
      </c>
      <c r="BO603" s="140">
        <v>0</v>
      </c>
      <c r="BR603" s="43" t="s">
        <v>329</v>
      </c>
      <c r="BX603" s="43">
        <v>7</v>
      </c>
      <c r="CT603" s="90">
        <f t="shared" si="64"/>
        <v>0</v>
      </c>
      <c r="CU603" s="90">
        <f t="shared" si="65"/>
        <v>0</v>
      </c>
    </row>
    <row r="604" spans="1:99" ht="12" customHeight="1">
      <c r="A604" s="43">
        <v>3519</v>
      </c>
      <c r="B604" s="89" t="s">
        <v>1515</v>
      </c>
      <c r="C604" s="89" t="s">
        <v>1763</v>
      </c>
      <c r="D604" s="89" t="s">
        <v>1764</v>
      </c>
      <c r="E604" s="89" t="s">
        <v>1765</v>
      </c>
      <c r="F604" s="43">
        <v>525782</v>
      </c>
      <c r="G604" s="43">
        <v>175172</v>
      </c>
      <c r="H604" s="89" t="s">
        <v>170</v>
      </c>
      <c r="I604" s="125">
        <v>43848</v>
      </c>
      <c r="K604" s="140">
        <v>0</v>
      </c>
      <c r="L604" s="140">
        <v>28</v>
      </c>
      <c r="M604" s="140">
        <v>28</v>
      </c>
      <c r="N604" s="140">
        <v>517</v>
      </c>
      <c r="O604" s="140">
        <v>517</v>
      </c>
      <c r="P604" s="43" t="s">
        <v>329</v>
      </c>
      <c r="Q604" s="89" t="s">
        <v>1766</v>
      </c>
      <c r="R604" s="43" t="s">
        <v>392</v>
      </c>
      <c r="S604" s="125">
        <v>42766</v>
      </c>
      <c r="T604" s="117">
        <v>43553</v>
      </c>
      <c r="V604" s="43" t="s">
        <v>317</v>
      </c>
      <c r="X604" s="43" t="s">
        <v>318</v>
      </c>
      <c r="Y604" s="43" t="s">
        <v>361</v>
      </c>
      <c r="Z604" s="43" t="s">
        <v>361</v>
      </c>
      <c r="AA604" s="43" t="s">
        <v>320</v>
      </c>
      <c r="AB604" s="144">
        <v>4.6000000089407002E-2</v>
      </c>
      <c r="AF604" s="43" t="s">
        <v>55</v>
      </c>
      <c r="AG604" s="43" t="s">
        <v>457</v>
      </c>
      <c r="AH604" s="43" t="s">
        <v>1767</v>
      </c>
      <c r="AJ604" s="140">
        <v>181</v>
      </c>
      <c r="AK604" s="140">
        <v>25</v>
      </c>
      <c r="AL604" s="140">
        <v>18</v>
      </c>
      <c r="AM604" s="140">
        <v>3</v>
      </c>
      <c r="AN604" s="140">
        <v>0</v>
      </c>
      <c r="AO604" s="140">
        <v>14</v>
      </c>
      <c r="AP604" s="140">
        <v>14</v>
      </c>
      <c r="AQ604" s="140">
        <v>0</v>
      </c>
      <c r="AR604" s="140">
        <v>0</v>
      </c>
      <c r="AS604" s="140">
        <v>0</v>
      </c>
      <c r="AT604" s="140">
        <v>0</v>
      </c>
      <c r="AU604" s="140">
        <v>0</v>
      </c>
      <c r="AV604" s="140">
        <v>14</v>
      </c>
      <c r="AW604" s="140">
        <v>14</v>
      </c>
      <c r="AX604" s="140">
        <v>0</v>
      </c>
      <c r="AY604" s="140">
        <v>0</v>
      </c>
      <c r="AZ604" s="140">
        <v>0</v>
      </c>
      <c r="BA604" s="140">
        <v>0</v>
      </c>
      <c r="BB604" s="140">
        <v>0</v>
      </c>
      <c r="BC604" s="140">
        <v>0</v>
      </c>
      <c r="BD604" s="140">
        <v>0</v>
      </c>
      <c r="BE604" s="140">
        <v>0</v>
      </c>
      <c r="BF604" s="140">
        <v>0</v>
      </c>
      <c r="BG604" s="140">
        <v>0</v>
      </c>
      <c r="BH604" s="140">
        <v>0</v>
      </c>
      <c r="BI604" s="140">
        <v>0</v>
      </c>
      <c r="BJ604" s="140">
        <v>0</v>
      </c>
      <c r="BK604" s="140">
        <v>0</v>
      </c>
      <c r="BL604" s="140">
        <v>0</v>
      </c>
      <c r="BM604" s="140">
        <v>0</v>
      </c>
      <c r="BN604" s="140">
        <v>0</v>
      </c>
      <c r="BO604" s="140">
        <v>0</v>
      </c>
      <c r="BR604" s="43" t="s">
        <v>329</v>
      </c>
      <c r="BX604" s="43">
        <v>7</v>
      </c>
      <c r="CB604" s="90">
        <f>M604</f>
        <v>28</v>
      </c>
      <c r="CT604" s="90">
        <f t="shared" si="64"/>
        <v>28</v>
      </c>
      <c r="CU604" s="90">
        <f t="shared" si="65"/>
        <v>28</v>
      </c>
    </row>
    <row r="605" spans="1:99" ht="12" customHeight="1">
      <c r="A605" s="43">
        <v>3519</v>
      </c>
      <c r="B605" s="89" t="s">
        <v>1515</v>
      </c>
      <c r="C605" s="89" t="s">
        <v>1763</v>
      </c>
      <c r="D605" s="89" t="s">
        <v>1764</v>
      </c>
      <c r="E605" s="89" t="s">
        <v>1768</v>
      </c>
      <c r="F605" s="43">
        <v>525782</v>
      </c>
      <c r="G605" s="43">
        <v>175172</v>
      </c>
      <c r="H605" s="89" t="s">
        <v>170</v>
      </c>
      <c r="I605" s="125">
        <v>43848</v>
      </c>
      <c r="K605" s="140">
        <v>0</v>
      </c>
      <c r="L605" s="140">
        <v>24</v>
      </c>
      <c r="M605" s="140">
        <v>24</v>
      </c>
      <c r="N605" s="140">
        <v>517</v>
      </c>
      <c r="O605" s="140">
        <v>517</v>
      </c>
      <c r="P605" s="43" t="s">
        <v>329</v>
      </c>
      <c r="Q605" s="89" t="s">
        <v>1766</v>
      </c>
      <c r="R605" s="43" t="s">
        <v>392</v>
      </c>
      <c r="S605" s="125">
        <v>42766</v>
      </c>
      <c r="T605" s="117">
        <v>43553</v>
      </c>
      <c r="V605" s="43" t="s">
        <v>317</v>
      </c>
      <c r="X605" s="43" t="s">
        <v>318</v>
      </c>
      <c r="Y605" s="43" t="s">
        <v>361</v>
      </c>
      <c r="Z605" s="43" t="s">
        <v>361</v>
      </c>
      <c r="AA605" s="43" t="s">
        <v>320</v>
      </c>
      <c r="AB605" s="144">
        <v>3.9999999105930301E-2</v>
      </c>
      <c r="AF605" s="43" t="s">
        <v>55</v>
      </c>
      <c r="AG605" s="43" t="s">
        <v>457</v>
      </c>
      <c r="AH605" s="43" t="s">
        <v>1767</v>
      </c>
      <c r="AJ605" s="140">
        <v>0</v>
      </c>
      <c r="AK605" s="140">
        <v>22</v>
      </c>
      <c r="AL605" s="140">
        <v>0</v>
      </c>
      <c r="AM605" s="140">
        <v>2</v>
      </c>
      <c r="AN605" s="140">
        <v>0</v>
      </c>
      <c r="AO605" s="140">
        <v>0</v>
      </c>
      <c r="AP605" s="140">
        <v>16</v>
      </c>
      <c r="AQ605" s="140">
        <v>8</v>
      </c>
      <c r="AR605" s="140">
        <v>0</v>
      </c>
      <c r="AS605" s="140">
        <v>0</v>
      </c>
      <c r="AT605" s="140">
        <v>0</v>
      </c>
      <c r="AU605" s="140">
        <v>0</v>
      </c>
      <c r="AV605" s="140">
        <v>0</v>
      </c>
      <c r="AW605" s="140">
        <v>16</v>
      </c>
      <c r="AX605" s="140">
        <v>8</v>
      </c>
      <c r="AY605" s="140">
        <v>0</v>
      </c>
      <c r="AZ605" s="140">
        <v>0</v>
      </c>
      <c r="BA605" s="140">
        <v>0</v>
      </c>
      <c r="BB605" s="140">
        <v>0</v>
      </c>
      <c r="BC605" s="140">
        <v>0</v>
      </c>
      <c r="BD605" s="140">
        <v>0</v>
      </c>
      <c r="BE605" s="140">
        <v>0</v>
      </c>
      <c r="BF605" s="140">
        <v>0</v>
      </c>
      <c r="BG605" s="140">
        <v>0</v>
      </c>
      <c r="BH605" s="140">
        <v>0</v>
      </c>
      <c r="BI605" s="140">
        <v>0</v>
      </c>
      <c r="BJ605" s="140">
        <v>0</v>
      </c>
      <c r="BK605" s="140">
        <v>0</v>
      </c>
      <c r="BL605" s="140">
        <v>0</v>
      </c>
      <c r="BM605" s="140">
        <v>0</v>
      </c>
      <c r="BN605" s="140">
        <v>0</v>
      </c>
      <c r="BO605" s="140">
        <v>0</v>
      </c>
      <c r="BR605" s="43" t="s">
        <v>329</v>
      </c>
      <c r="BX605" s="43">
        <v>7</v>
      </c>
      <c r="CB605" s="90">
        <f>M605</f>
        <v>24</v>
      </c>
      <c r="CT605" s="90">
        <f t="shared" si="64"/>
        <v>24</v>
      </c>
      <c r="CU605" s="90">
        <f t="shared" si="65"/>
        <v>24</v>
      </c>
    </row>
    <row r="606" spans="1:99" ht="12" customHeight="1">
      <c r="A606" s="43">
        <v>3519</v>
      </c>
      <c r="B606" s="89" t="s">
        <v>1515</v>
      </c>
      <c r="C606" s="89" t="s">
        <v>1763</v>
      </c>
      <c r="D606" s="89" t="s">
        <v>1764</v>
      </c>
      <c r="F606" s="43">
        <v>525782</v>
      </c>
      <c r="G606" s="43">
        <v>175172</v>
      </c>
      <c r="H606" s="89" t="s">
        <v>170</v>
      </c>
      <c r="I606" s="125">
        <v>43848</v>
      </c>
      <c r="K606" s="140">
        <v>0</v>
      </c>
      <c r="L606" s="140">
        <v>333</v>
      </c>
      <c r="M606" s="140">
        <v>333</v>
      </c>
      <c r="N606" s="140">
        <v>517</v>
      </c>
      <c r="O606" s="140">
        <v>517</v>
      </c>
      <c r="P606" s="43" t="s">
        <v>329</v>
      </c>
      <c r="Q606" s="89" t="s">
        <v>1766</v>
      </c>
      <c r="R606" s="43" t="s">
        <v>392</v>
      </c>
      <c r="S606" s="125">
        <v>42766</v>
      </c>
      <c r="T606" s="117">
        <v>43553</v>
      </c>
      <c r="V606" s="43" t="s">
        <v>317</v>
      </c>
      <c r="X606" s="43" t="s">
        <v>318</v>
      </c>
      <c r="Y606" s="43" t="s">
        <v>361</v>
      </c>
      <c r="Z606" s="43" t="s">
        <v>361</v>
      </c>
      <c r="AA606" s="43" t="s">
        <v>320</v>
      </c>
      <c r="AB606" s="144">
        <v>0.55099999904632602</v>
      </c>
      <c r="AF606" s="43" t="s">
        <v>75</v>
      </c>
      <c r="AG606" s="43" t="s">
        <v>322</v>
      </c>
      <c r="AH606" s="43" t="s">
        <v>1767</v>
      </c>
      <c r="AJ606" s="140">
        <v>0</v>
      </c>
      <c r="AK606" s="140">
        <v>300</v>
      </c>
      <c r="AL606" s="140">
        <v>0</v>
      </c>
      <c r="AM606" s="140">
        <v>33</v>
      </c>
      <c r="AN606" s="140">
        <v>0</v>
      </c>
      <c r="AO606" s="140">
        <v>84</v>
      </c>
      <c r="AP606" s="140">
        <v>231</v>
      </c>
      <c r="AQ606" s="140">
        <v>18</v>
      </c>
      <c r="AR606" s="140">
        <v>0</v>
      </c>
      <c r="AS606" s="140">
        <v>0</v>
      </c>
      <c r="AT606" s="140">
        <v>0</v>
      </c>
      <c r="AU606" s="140">
        <v>0</v>
      </c>
      <c r="AV606" s="140">
        <v>84</v>
      </c>
      <c r="AW606" s="140">
        <v>231</v>
      </c>
      <c r="AX606" s="140">
        <v>18</v>
      </c>
      <c r="AY606" s="140">
        <v>0</v>
      </c>
      <c r="AZ606" s="140">
        <v>0</v>
      </c>
      <c r="BA606" s="140">
        <v>0</v>
      </c>
      <c r="BB606" s="140">
        <v>0</v>
      </c>
      <c r="BC606" s="140">
        <v>0</v>
      </c>
      <c r="BD606" s="140">
        <v>0</v>
      </c>
      <c r="BE606" s="140">
        <v>0</v>
      </c>
      <c r="BF606" s="140">
        <v>0</v>
      </c>
      <c r="BG606" s="140">
        <v>0</v>
      </c>
      <c r="BH606" s="140">
        <v>0</v>
      </c>
      <c r="BI606" s="140">
        <v>0</v>
      </c>
      <c r="BJ606" s="140">
        <v>0</v>
      </c>
      <c r="BK606" s="140">
        <v>0</v>
      </c>
      <c r="BL606" s="140">
        <v>0</v>
      </c>
      <c r="BM606" s="140">
        <v>0</v>
      </c>
      <c r="BN606" s="140">
        <v>0</v>
      </c>
      <c r="BO606" s="140">
        <v>0</v>
      </c>
      <c r="BR606" s="43" t="s">
        <v>329</v>
      </c>
      <c r="BX606" s="43">
        <v>7</v>
      </c>
      <c r="CB606" s="90">
        <f>M606</f>
        <v>333</v>
      </c>
      <c r="CT606" s="90">
        <f t="shared" si="64"/>
        <v>333</v>
      </c>
      <c r="CU606" s="90">
        <f t="shared" si="65"/>
        <v>333</v>
      </c>
    </row>
    <row r="607" spans="1:99" ht="12" customHeight="1">
      <c r="A607" s="43">
        <v>3519</v>
      </c>
      <c r="B607" s="89" t="s">
        <v>1515</v>
      </c>
      <c r="C607" s="89" t="s">
        <v>1763</v>
      </c>
      <c r="D607" s="89" t="s">
        <v>1764</v>
      </c>
      <c r="F607" s="43">
        <v>525782</v>
      </c>
      <c r="G607" s="43">
        <v>175172</v>
      </c>
      <c r="H607" s="89" t="s">
        <v>170</v>
      </c>
      <c r="I607" s="125">
        <v>43848</v>
      </c>
      <c r="K607" s="140">
        <v>0</v>
      </c>
      <c r="L607" s="140">
        <v>132</v>
      </c>
      <c r="M607" s="140">
        <v>132</v>
      </c>
      <c r="N607" s="140">
        <v>517</v>
      </c>
      <c r="O607" s="140">
        <v>517</v>
      </c>
      <c r="P607" s="43" t="s">
        <v>329</v>
      </c>
      <c r="Q607" s="89" t="s">
        <v>1766</v>
      </c>
      <c r="R607" s="43" t="s">
        <v>392</v>
      </c>
      <c r="S607" s="125">
        <v>42766</v>
      </c>
      <c r="T607" s="117">
        <v>43553</v>
      </c>
      <c r="V607" s="43" t="s">
        <v>317</v>
      </c>
      <c r="X607" s="43" t="s">
        <v>318</v>
      </c>
      <c r="Y607" s="43" t="s">
        <v>361</v>
      </c>
      <c r="Z607" s="43" t="s">
        <v>361</v>
      </c>
      <c r="AA607" s="43" t="s">
        <v>320</v>
      </c>
      <c r="AB607" s="144">
        <v>0.21799999475479101</v>
      </c>
      <c r="AF607" s="43" t="s">
        <v>54</v>
      </c>
      <c r="AG607" s="43" t="s">
        <v>1659</v>
      </c>
      <c r="AH607" s="43" t="s">
        <v>1767</v>
      </c>
      <c r="AJ607" s="140">
        <v>336</v>
      </c>
      <c r="AK607" s="140">
        <v>119</v>
      </c>
      <c r="AL607" s="140">
        <v>34</v>
      </c>
      <c r="AM607" s="140">
        <v>13</v>
      </c>
      <c r="AN607" s="140">
        <v>0</v>
      </c>
      <c r="AO607" s="140">
        <v>43</v>
      </c>
      <c r="AP607" s="140">
        <v>89</v>
      </c>
      <c r="AQ607" s="140">
        <v>0</v>
      </c>
      <c r="AR607" s="140">
        <v>0</v>
      </c>
      <c r="AS607" s="140">
        <v>0</v>
      </c>
      <c r="AT607" s="140">
        <v>0</v>
      </c>
      <c r="AU607" s="140">
        <v>0</v>
      </c>
      <c r="AV607" s="140">
        <v>43</v>
      </c>
      <c r="AW607" s="140">
        <v>89</v>
      </c>
      <c r="AX607" s="140">
        <v>0</v>
      </c>
      <c r="AY607" s="140">
        <v>0</v>
      </c>
      <c r="AZ607" s="140">
        <v>0</v>
      </c>
      <c r="BA607" s="140">
        <v>0</v>
      </c>
      <c r="BB607" s="140">
        <v>0</v>
      </c>
      <c r="BC607" s="140">
        <v>0</v>
      </c>
      <c r="BD607" s="140">
        <v>0</v>
      </c>
      <c r="BE607" s="140">
        <v>0</v>
      </c>
      <c r="BF607" s="140">
        <v>0</v>
      </c>
      <c r="BG607" s="140">
        <v>0</v>
      </c>
      <c r="BH607" s="140">
        <v>0</v>
      </c>
      <c r="BI607" s="140">
        <v>0</v>
      </c>
      <c r="BJ607" s="140">
        <v>0</v>
      </c>
      <c r="BK607" s="140">
        <v>0</v>
      </c>
      <c r="BL607" s="140">
        <v>0</v>
      </c>
      <c r="BM607" s="140">
        <v>0</v>
      </c>
      <c r="BN607" s="140">
        <v>0</v>
      </c>
      <c r="BO607" s="140">
        <v>0</v>
      </c>
      <c r="BR607" s="43" t="s">
        <v>329</v>
      </c>
      <c r="BX607" s="43">
        <v>7</v>
      </c>
      <c r="CB607" s="90">
        <f>M607</f>
        <v>132</v>
      </c>
      <c r="CT607" s="90">
        <f t="shared" si="64"/>
        <v>132</v>
      </c>
      <c r="CU607" s="90">
        <f t="shared" si="65"/>
        <v>132</v>
      </c>
    </row>
    <row r="608" spans="1:99" ht="12" customHeight="1">
      <c r="A608" s="43">
        <v>3521</v>
      </c>
      <c r="B608" s="89" t="s">
        <v>1515</v>
      </c>
      <c r="C608" s="89" t="s">
        <v>970</v>
      </c>
      <c r="D608" s="89" t="s">
        <v>971</v>
      </c>
      <c r="E608" s="89" t="s">
        <v>1769</v>
      </c>
      <c r="F608" s="43">
        <v>527156</v>
      </c>
      <c r="G608" s="43">
        <v>175243</v>
      </c>
      <c r="H608" s="89" t="s">
        <v>174</v>
      </c>
      <c r="I608" s="125">
        <v>43862</v>
      </c>
      <c r="K608" s="140">
        <v>0</v>
      </c>
      <c r="L608" s="140">
        <v>217</v>
      </c>
      <c r="M608" s="140">
        <v>217</v>
      </c>
      <c r="N608" s="140">
        <v>446</v>
      </c>
      <c r="O608" s="140">
        <v>204</v>
      </c>
      <c r="P608" s="43" t="s">
        <v>329</v>
      </c>
      <c r="Q608" s="89" t="s">
        <v>973</v>
      </c>
      <c r="R608" s="43" t="s">
        <v>360</v>
      </c>
      <c r="S608" s="125">
        <v>43028</v>
      </c>
      <c r="T608" s="117">
        <v>43480</v>
      </c>
      <c r="V608" s="43" t="s">
        <v>317</v>
      </c>
      <c r="X608" s="43" t="s">
        <v>318</v>
      </c>
      <c r="Y608" s="43" t="s">
        <v>361</v>
      </c>
      <c r="Z608" s="43" t="s">
        <v>361</v>
      </c>
      <c r="AA608" s="43" t="s">
        <v>320</v>
      </c>
      <c r="AB608" s="144">
        <v>1.08399999141693</v>
      </c>
      <c r="AF608" s="43" t="s">
        <v>75</v>
      </c>
      <c r="AG608" s="43" t="s">
        <v>322</v>
      </c>
      <c r="AH608" s="43" t="s">
        <v>974</v>
      </c>
      <c r="AJ608" s="140">
        <v>217</v>
      </c>
      <c r="AK608" s="140">
        <v>0</v>
      </c>
      <c r="AL608" s="140">
        <v>0</v>
      </c>
      <c r="AM608" s="140">
        <v>0</v>
      </c>
      <c r="AN608" s="140">
        <v>0</v>
      </c>
      <c r="AO608" s="140">
        <v>64</v>
      </c>
      <c r="AP608" s="140">
        <v>143</v>
      </c>
      <c r="AQ608" s="140">
        <v>10</v>
      </c>
      <c r="AR608" s="140">
        <v>0</v>
      </c>
      <c r="AS608" s="140">
        <v>0</v>
      </c>
      <c r="AT608" s="140">
        <v>0</v>
      </c>
      <c r="AU608" s="140">
        <v>0</v>
      </c>
      <c r="AV608" s="140">
        <v>64</v>
      </c>
      <c r="AW608" s="140">
        <v>143</v>
      </c>
      <c r="AX608" s="140">
        <v>10</v>
      </c>
      <c r="AY608" s="140">
        <v>0</v>
      </c>
      <c r="AZ608" s="140">
        <v>0</v>
      </c>
      <c r="BA608" s="140">
        <v>0</v>
      </c>
      <c r="BB608" s="140">
        <v>0</v>
      </c>
      <c r="BC608" s="140">
        <v>0</v>
      </c>
      <c r="BD608" s="140">
        <v>0</v>
      </c>
      <c r="BE608" s="140">
        <v>0</v>
      </c>
      <c r="BF608" s="140">
        <v>0</v>
      </c>
      <c r="BG608" s="140">
        <v>0</v>
      </c>
      <c r="BH608" s="140">
        <v>0</v>
      </c>
      <c r="BI608" s="140">
        <v>0</v>
      </c>
      <c r="BJ608" s="140">
        <v>0</v>
      </c>
      <c r="BK608" s="140">
        <v>0</v>
      </c>
      <c r="BL608" s="140">
        <v>0</v>
      </c>
      <c r="BM608" s="140">
        <v>0</v>
      </c>
      <c r="BN608" s="140">
        <v>0</v>
      </c>
      <c r="BO608" s="140">
        <v>0</v>
      </c>
      <c r="BS608" s="43" t="s">
        <v>329</v>
      </c>
      <c r="BX608" s="43">
        <v>7</v>
      </c>
      <c r="CE608" s="90">
        <f>M608</f>
        <v>217</v>
      </c>
      <c r="CT608" s="90">
        <f t="shared" si="64"/>
        <v>0</v>
      </c>
      <c r="CU608" s="90">
        <f t="shared" si="65"/>
        <v>217</v>
      </c>
    </row>
    <row r="609" spans="1:99" ht="12" customHeight="1">
      <c r="A609" s="43">
        <v>3521</v>
      </c>
      <c r="B609" s="89" t="s">
        <v>1515</v>
      </c>
      <c r="C609" s="89" t="s">
        <v>970</v>
      </c>
      <c r="D609" s="89" t="s">
        <v>971</v>
      </c>
      <c r="E609" s="89" t="s">
        <v>1769</v>
      </c>
      <c r="F609" s="43">
        <v>527156</v>
      </c>
      <c r="G609" s="43">
        <v>175243</v>
      </c>
      <c r="H609" s="89" t="s">
        <v>174</v>
      </c>
      <c r="I609" s="125">
        <v>43862</v>
      </c>
      <c r="K609" s="140">
        <v>0</v>
      </c>
      <c r="L609" s="140">
        <v>31</v>
      </c>
      <c r="M609" s="140">
        <v>31</v>
      </c>
      <c r="N609" s="140">
        <v>446</v>
      </c>
      <c r="O609" s="140">
        <v>204</v>
      </c>
      <c r="P609" s="43" t="s">
        <v>329</v>
      </c>
      <c r="Q609" s="89" t="s">
        <v>973</v>
      </c>
      <c r="R609" s="43" t="s">
        <v>360</v>
      </c>
      <c r="S609" s="125">
        <v>43028</v>
      </c>
      <c r="T609" s="117">
        <v>43480</v>
      </c>
      <c r="V609" s="43" t="s">
        <v>317</v>
      </c>
      <c r="X609" s="43" t="s">
        <v>318</v>
      </c>
      <c r="Y609" s="43" t="s">
        <v>361</v>
      </c>
      <c r="Z609" s="43" t="s">
        <v>361</v>
      </c>
      <c r="AA609" s="43" t="s">
        <v>320</v>
      </c>
      <c r="AB609" s="144">
        <v>0.15500000119209301</v>
      </c>
      <c r="AF609" s="43" t="s">
        <v>54</v>
      </c>
      <c r="AG609" s="43" t="s">
        <v>831</v>
      </c>
      <c r="AH609" s="43" t="s">
        <v>974</v>
      </c>
      <c r="AJ609" s="140">
        <v>31</v>
      </c>
      <c r="AK609" s="140">
        <v>0</v>
      </c>
      <c r="AL609" s="140">
        <v>0</v>
      </c>
      <c r="AM609" s="140">
        <v>0</v>
      </c>
      <c r="AN609" s="140">
        <v>0</v>
      </c>
      <c r="AO609" s="140">
        <v>9</v>
      </c>
      <c r="AP609" s="140">
        <v>14</v>
      </c>
      <c r="AQ609" s="140">
        <v>8</v>
      </c>
      <c r="AR609" s="140">
        <v>0</v>
      </c>
      <c r="AS609" s="140">
        <v>0</v>
      </c>
      <c r="AT609" s="140">
        <v>0</v>
      </c>
      <c r="AU609" s="140">
        <v>0</v>
      </c>
      <c r="AV609" s="140">
        <v>9</v>
      </c>
      <c r="AW609" s="140">
        <v>14</v>
      </c>
      <c r="AX609" s="140">
        <v>8</v>
      </c>
      <c r="AY609" s="140">
        <v>0</v>
      </c>
      <c r="AZ609" s="140">
        <v>0</v>
      </c>
      <c r="BA609" s="140">
        <v>0</v>
      </c>
      <c r="BB609" s="140">
        <v>0</v>
      </c>
      <c r="BC609" s="140">
        <v>0</v>
      </c>
      <c r="BD609" s="140">
        <v>0</v>
      </c>
      <c r="BE609" s="140">
        <v>0</v>
      </c>
      <c r="BF609" s="140">
        <v>0</v>
      </c>
      <c r="BG609" s="140">
        <v>0</v>
      </c>
      <c r="BH609" s="140">
        <v>0</v>
      </c>
      <c r="BI609" s="140">
        <v>0</v>
      </c>
      <c r="BJ609" s="140">
        <v>0</v>
      </c>
      <c r="BK609" s="140">
        <v>0</v>
      </c>
      <c r="BL609" s="140">
        <v>0</v>
      </c>
      <c r="BM609" s="140">
        <v>0</v>
      </c>
      <c r="BN609" s="140">
        <v>0</v>
      </c>
      <c r="BO609" s="140">
        <v>0</v>
      </c>
      <c r="BS609" s="43" t="s">
        <v>329</v>
      </c>
      <c r="BX609" s="43">
        <v>7</v>
      </c>
      <c r="CE609" s="90">
        <f>M609</f>
        <v>31</v>
      </c>
      <c r="CT609" s="90">
        <f t="shared" si="64"/>
        <v>0</v>
      </c>
      <c r="CU609" s="90">
        <f t="shared" si="65"/>
        <v>31</v>
      </c>
    </row>
    <row r="610" spans="1:99" ht="12" customHeight="1">
      <c r="A610" s="43">
        <v>3521</v>
      </c>
      <c r="B610" s="89" t="s">
        <v>1515</v>
      </c>
      <c r="C610" s="89" t="s">
        <v>970</v>
      </c>
      <c r="D610" s="89" t="s">
        <v>971</v>
      </c>
      <c r="E610" s="89" t="s">
        <v>1769</v>
      </c>
      <c r="F610" s="43">
        <v>527156</v>
      </c>
      <c r="G610" s="43">
        <v>175243</v>
      </c>
      <c r="H610" s="89" t="s">
        <v>174</v>
      </c>
      <c r="I610" s="125">
        <v>43862</v>
      </c>
      <c r="K610" s="140">
        <v>56</v>
      </c>
      <c r="L610" s="140">
        <v>0</v>
      </c>
      <c r="M610" s="140">
        <v>-56</v>
      </c>
      <c r="N610" s="140">
        <v>446</v>
      </c>
      <c r="O610" s="140">
        <v>204</v>
      </c>
      <c r="P610" s="43" t="s">
        <v>329</v>
      </c>
      <c r="Q610" s="89" t="s">
        <v>973</v>
      </c>
      <c r="R610" s="43" t="s">
        <v>360</v>
      </c>
      <c r="S610" s="125">
        <v>43028</v>
      </c>
      <c r="T610" s="117">
        <v>43480</v>
      </c>
      <c r="V610" s="43" t="s">
        <v>317</v>
      </c>
      <c r="X610" s="43" t="s">
        <v>318</v>
      </c>
      <c r="Y610" s="43" t="s">
        <v>361</v>
      </c>
      <c r="Z610" s="43" t="s">
        <v>361</v>
      </c>
      <c r="AA610" s="43" t="s">
        <v>320</v>
      </c>
      <c r="AB610" s="144">
        <v>0</v>
      </c>
      <c r="AF610" s="43" t="s">
        <v>55</v>
      </c>
      <c r="AG610" s="43" t="s">
        <v>526</v>
      </c>
      <c r="AH610" s="43" t="s">
        <v>974</v>
      </c>
      <c r="AJ610" s="140">
        <v>0</v>
      </c>
      <c r="AK610" s="140">
        <v>0</v>
      </c>
      <c r="AL610" s="140">
        <v>0</v>
      </c>
      <c r="AM610" s="140">
        <v>0</v>
      </c>
      <c r="AN610" s="140">
        <v>-1</v>
      </c>
      <c r="AO610" s="140">
        <v>-18</v>
      </c>
      <c r="AP610" s="140">
        <v>-22</v>
      </c>
      <c r="AQ610" s="140">
        <v>-15</v>
      </c>
      <c r="AR610" s="140">
        <v>0</v>
      </c>
      <c r="AS610" s="140">
        <v>0</v>
      </c>
      <c r="AT610" s="140">
        <v>0</v>
      </c>
      <c r="AU610" s="140">
        <v>-1</v>
      </c>
      <c r="AV610" s="140">
        <v>-18</v>
      </c>
      <c r="AW610" s="140">
        <v>-22</v>
      </c>
      <c r="AX610" s="140">
        <v>-15</v>
      </c>
      <c r="AY610" s="140">
        <v>0</v>
      </c>
      <c r="AZ610" s="140">
        <v>0</v>
      </c>
      <c r="BA610" s="140">
        <v>0</v>
      </c>
      <c r="BB610" s="140">
        <v>0</v>
      </c>
      <c r="BC610" s="140">
        <v>0</v>
      </c>
      <c r="BD610" s="140">
        <v>0</v>
      </c>
      <c r="BE610" s="140">
        <v>0</v>
      </c>
      <c r="BF610" s="140">
        <v>0</v>
      </c>
      <c r="BG610" s="140">
        <v>0</v>
      </c>
      <c r="BH610" s="140">
        <v>0</v>
      </c>
      <c r="BI610" s="140">
        <v>0</v>
      </c>
      <c r="BJ610" s="140">
        <v>0</v>
      </c>
      <c r="BK610" s="140">
        <v>0</v>
      </c>
      <c r="BL610" s="140">
        <v>0</v>
      </c>
      <c r="BM610" s="140">
        <v>0</v>
      </c>
      <c r="BN610" s="140">
        <v>0</v>
      </c>
      <c r="BO610" s="140">
        <v>0</v>
      </c>
      <c r="BS610" s="43" t="s">
        <v>329</v>
      </c>
      <c r="BX610" s="43">
        <v>7</v>
      </c>
      <c r="CE610" s="90">
        <f>M610</f>
        <v>-56</v>
      </c>
      <c r="CT610" s="90">
        <f t="shared" si="64"/>
        <v>0</v>
      </c>
      <c r="CU610" s="90">
        <f t="shared" si="65"/>
        <v>-56</v>
      </c>
    </row>
    <row r="611" spans="1:99" ht="12" customHeight="1">
      <c r="A611" s="43">
        <v>3521</v>
      </c>
      <c r="B611" s="89" t="s">
        <v>1515</v>
      </c>
      <c r="C611" s="89" t="s">
        <v>970</v>
      </c>
      <c r="D611" s="89" t="s">
        <v>971</v>
      </c>
      <c r="E611" s="89" t="s">
        <v>1769</v>
      </c>
      <c r="F611" s="43">
        <v>527156</v>
      </c>
      <c r="G611" s="43">
        <v>175243</v>
      </c>
      <c r="H611" s="89" t="s">
        <v>174</v>
      </c>
      <c r="I611" s="125">
        <v>43862</v>
      </c>
      <c r="K611" s="140">
        <v>28</v>
      </c>
      <c r="L611" s="140">
        <v>0</v>
      </c>
      <c r="M611" s="140">
        <v>-28</v>
      </c>
      <c r="N611" s="140">
        <v>446</v>
      </c>
      <c r="O611" s="140">
        <v>204</v>
      </c>
      <c r="P611" s="43" t="s">
        <v>329</v>
      </c>
      <c r="Q611" s="89" t="s">
        <v>973</v>
      </c>
      <c r="R611" s="43" t="s">
        <v>360</v>
      </c>
      <c r="S611" s="125">
        <v>43028</v>
      </c>
      <c r="T611" s="117">
        <v>43480</v>
      </c>
      <c r="V611" s="43" t="s">
        <v>317</v>
      </c>
      <c r="X611" s="43" t="s">
        <v>318</v>
      </c>
      <c r="Y611" s="43" t="s">
        <v>361</v>
      </c>
      <c r="Z611" s="43" t="s">
        <v>361</v>
      </c>
      <c r="AA611" s="43" t="s">
        <v>320</v>
      </c>
      <c r="AB611" s="144">
        <v>0</v>
      </c>
      <c r="AF611" s="43" t="s">
        <v>75</v>
      </c>
      <c r="AG611" s="43" t="s">
        <v>322</v>
      </c>
      <c r="AH611" s="43" t="s">
        <v>974</v>
      </c>
      <c r="AJ611" s="140">
        <v>0</v>
      </c>
      <c r="AK611" s="140">
        <v>0</v>
      </c>
      <c r="AL611" s="140">
        <v>0</v>
      </c>
      <c r="AM611" s="140">
        <v>0</v>
      </c>
      <c r="AN611" s="140">
        <v>-1</v>
      </c>
      <c r="AO611" s="140">
        <v>-12</v>
      </c>
      <c r="AP611" s="140">
        <v>-12</v>
      </c>
      <c r="AQ611" s="140">
        <v>-3</v>
      </c>
      <c r="AR611" s="140">
        <v>0</v>
      </c>
      <c r="AS611" s="140">
        <v>0</v>
      </c>
      <c r="AT611" s="140">
        <v>0</v>
      </c>
      <c r="AU611" s="140">
        <v>-1</v>
      </c>
      <c r="AV611" s="140">
        <v>-12</v>
      </c>
      <c r="AW611" s="140">
        <v>-12</v>
      </c>
      <c r="AX611" s="140">
        <v>-3</v>
      </c>
      <c r="AY611" s="140">
        <v>0</v>
      </c>
      <c r="AZ611" s="140">
        <v>0</v>
      </c>
      <c r="BA611" s="140">
        <v>0</v>
      </c>
      <c r="BB611" s="140">
        <v>0</v>
      </c>
      <c r="BC611" s="140">
        <v>0</v>
      </c>
      <c r="BD611" s="140">
        <v>0</v>
      </c>
      <c r="BE611" s="140">
        <v>0</v>
      </c>
      <c r="BF611" s="140">
        <v>0</v>
      </c>
      <c r="BG611" s="140">
        <v>0</v>
      </c>
      <c r="BH611" s="140">
        <v>0</v>
      </c>
      <c r="BI611" s="140">
        <v>0</v>
      </c>
      <c r="BJ611" s="140">
        <v>0</v>
      </c>
      <c r="BK611" s="140">
        <v>0</v>
      </c>
      <c r="BL611" s="140">
        <v>0</v>
      </c>
      <c r="BM611" s="140">
        <v>0</v>
      </c>
      <c r="BN611" s="140">
        <v>0</v>
      </c>
      <c r="BO611" s="140">
        <v>0</v>
      </c>
      <c r="BS611" s="43" t="s">
        <v>329</v>
      </c>
      <c r="BX611" s="43">
        <v>7</v>
      </c>
      <c r="CE611" s="90">
        <f>M611</f>
        <v>-28</v>
      </c>
      <c r="CT611" s="90">
        <f t="shared" si="64"/>
        <v>0</v>
      </c>
      <c r="CU611" s="90">
        <f t="shared" si="65"/>
        <v>-28</v>
      </c>
    </row>
    <row r="612" spans="1:99" ht="12" customHeight="1">
      <c r="A612" s="43">
        <v>3522</v>
      </c>
      <c r="B612" s="89" t="s">
        <v>1515</v>
      </c>
      <c r="C612" s="89" t="s">
        <v>1770</v>
      </c>
      <c r="D612" s="89" t="s">
        <v>1771</v>
      </c>
      <c r="E612" s="89" t="s">
        <v>1772</v>
      </c>
      <c r="F612" s="43">
        <v>525912</v>
      </c>
      <c r="G612" s="43">
        <v>175143</v>
      </c>
      <c r="H612" s="89" t="s">
        <v>170</v>
      </c>
      <c r="K612" s="140">
        <v>0</v>
      </c>
      <c r="L612" s="140">
        <v>66</v>
      </c>
      <c r="M612" s="140">
        <v>66</v>
      </c>
      <c r="N612" s="140">
        <v>385</v>
      </c>
      <c r="O612" s="140">
        <v>385</v>
      </c>
      <c r="P612" s="43" t="s">
        <v>329</v>
      </c>
      <c r="Q612" s="89" t="s">
        <v>1773</v>
      </c>
      <c r="R612" s="43" t="s">
        <v>392</v>
      </c>
      <c r="S612" s="125">
        <v>42739</v>
      </c>
      <c r="T612" s="117">
        <v>43314</v>
      </c>
      <c r="V612" s="43" t="s">
        <v>317</v>
      </c>
      <c r="X612" s="43" t="s">
        <v>318</v>
      </c>
      <c r="Y612" s="43" t="s">
        <v>361</v>
      </c>
      <c r="Z612" s="43" t="s">
        <v>361</v>
      </c>
      <c r="AA612" s="43" t="s">
        <v>320</v>
      </c>
      <c r="AB612" s="144">
        <v>0.135000005364418</v>
      </c>
      <c r="AF612" s="43" t="s">
        <v>75</v>
      </c>
      <c r="AG612" s="43" t="s">
        <v>322</v>
      </c>
      <c r="AH612" s="43" t="s">
        <v>1774</v>
      </c>
      <c r="AJ612" s="140">
        <v>0</v>
      </c>
      <c r="AK612" s="140">
        <v>61</v>
      </c>
      <c r="AL612" s="140">
        <v>0</v>
      </c>
      <c r="AM612" s="140">
        <v>5</v>
      </c>
      <c r="AN612" s="140">
        <v>0</v>
      </c>
      <c r="AO612" s="140">
        <v>30</v>
      </c>
      <c r="AP612" s="140">
        <v>33</v>
      </c>
      <c r="AQ612" s="140">
        <v>3</v>
      </c>
      <c r="AR612" s="140">
        <v>0</v>
      </c>
      <c r="AS612" s="140">
        <v>0</v>
      </c>
      <c r="AT612" s="140">
        <v>0</v>
      </c>
      <c r="AU612" s="140">
        <v>0</v>
      </c>
      <c r="AV612" s="140">
        <v>30</v>
      </c>
      <c r="AW612" s="140">
        <v>33</v>
      </c>
      <c r="AX612" s="140">
        <v>3</v>
      </c>
      <c r="AY612" s="140">
        <v>0</v>
      </c>
      <c r="AZ612" s="140">
        <v>0</v>
      </c>
      <c r="BA612" s="140">
        <v>0</v>
      </c>
      <c r="BB612" s="140">
        <v>0</v>
      </c>
      <c r="BC612" s="140">
        <v>0</v>
      </c>
      <c r="BD612" s="140">
        <v>0</v>
      </c>
      <c r="BE612" s="140">
        <v>0</v>
      </c>
      <c r="BF612" s="140">
        <v>0</v>
      </c>
      <c r="BG612" s="140">
        <v>0</v>
      </c>
      <c r="BH612" s="140">
        <v>0</v>
      </c>
      <c r="BI612" s="140">
        <v>0</v>
      </c>
      <c r="BJ612" s="140">
        <v>0</v>
      </c>
      <c r="BK612" s="140">
        <v>0</v>
      </c>
      <c r="BL612" s="140">
        <v>0</v>
      </c>
      <c r="BM612" s="140">
        <v>0</v>
      </c>
      <c r="BN612" s="140">
        <v>0</v>
      </c>
      <c r="BO612" s="140">
        <v>0</v>
      </c>
      <c r="BR612" s="43" t="s">
        <v>329</v>
      </c>
      <c r="BX612" s="43">
        <v>9</v>
      </c>
      <c r="CC612" s="90">
        <f t="shared" ref="CC612:CE619" si="66">$M612/3</f>
        <v>22</v>
      </c>
      <c r="CD612" s="90">
        <f t="shared" si="66"/>
        <v>22</v>
      </c>
      <c r="CE612" s="90">
        <f t="shared" si="66"/>
        <v>22</v>
      </c>
      <c r="CT612" s="90">
        <f t="shared" si="64"/>
        <v>44</v>
      </c>
      <c r="CU612" s="90">
        <f t="shared" si="65"/>
        <v>66</v>
      </c>
    </row>
    <row r="613" spans="1:99" ht="12" customHeight="1">
      <c r="A613" s="43">
        <v>3522</v>
      </c>
      <c r="B613" s="89" t="s">
        <v>1515</v>
      </c>
      <c r="C613" s="89" t="s">
        <v>1770</v>
      </c>
      <c r="D613" s="89" t="s">
        <v>1771</v>
      </c>
      <c r="E613" s="89" t="s">
        <v>1775</v>
      </c>
      <c r="F613" s="43">
        <v>525912</v>
      </c>
      <c r="G613" s="43">
        <v>175143</v>
      </c>
      <c r="H613" s="89" t="s">
        <v>170</v>
      </c>
      <c r="K613" s="140">
        <v>0</v>
      </c>
      <c r="L613" s="140">
        <v>70</v>
      </c>
      <c r="M613" s="140">
        <v>70</v>
      </c>
      <c r="N613" s="140">
        <v>385</v>
      </c>
      <c r="O613" s="140">
        <v>385</v>
      </c>
      <c r="P613" s="43" t="s">
        <v>329</v>
      </c>
      <c r="Q613" s="89" t="s">
        <v>1773</v>
      </c>
      <c r="R613" s="43" t="s">
        <v>392</v>
      </c>
      <c r="S613" s="125">
        <v>42739</v>
      </c>
      <c r="T613" s="117">
        <v>43314</v>
      </c>
      <c r="V613" s="43" t="s">
        <v>317</v>
      </c>
      <c r="X613" s="43" t="s">
        <v>318</v>
      </c>
      <c r="Y613" s="43" t="s">
        <v>361</v>
      </c>
      <c r="Z613" s="43" t="s">
        <v>361</v>
      </c>
      <c r="AA613" s="43" t="s">
        <v>320</v>
      </c>
      <c r="AB613" s="144">
        <v>0.14300000667571999</v>
      </c>
      <c r="AF613" s="43" t="s">
        <v>75</v>
      </c>
      <c r="AG613" s="43" t="s">
        <v>322</v>
      </c>
      <c r="AH613" s="43" t="s">
        <v>1774</v>
      </c>
      <c r="AJ613" s="140">
        <v>0</v>
      </c>
      <c r="AK613" s="140">
        <v>61</v>
      </c>
      <c r="AL613" s="140">
        <v>0</v>
      </c>
      <c r="AM613" s="140">
        <v>9</v>
      </c>
      <c r="AN613" s="140">
        <v>0</v>
      </c>
      <c r="AO613" s="140">
        <v>34</v>
      </c>
      <c r="AP613" s="140">
        <v>34</v>
      </c>
      <c r="AQ613" s="140">
        <v>2</v>
      </c>
      <c r="AR613" s="140">
        <v>0</v>
      </c>
      <c r="AS613" s="140">
        <v>0</v>
      </c>
      <c r="AT613" s="140">
        <v>0</v>
      </c>
      <c r="AU613" s="140">
        <v>0</v>
      </c>
      <c r="AV613" s="140">
        <v>34</v>
      </c>
      <c r="AW613" s="140">
        <v>34</v>
      </c>
      <c r="AX613" s="140">
        <v>2</v>
      </c>
      <c r="AY613" s="140">
        <v>0</v>
      </c>
      <c r="AZ613" s="140">
        <v>0</v>
      </c>
      <c r="BA613" s="140">
        <v>0</v>
      </c>
      <c r="BB613" s="140">
        <v>0</v>
      </c>
      <c r="BC613" s="140">
        <v>0</v>
      </c>
      <c r="BD613" s="140">
        <v>0</v>
      </c>
      <c r="BE613" s="140">
        <v>0</v>
      </c>
      <c r="BF613" s="140">
        <v>0</v>
      </c>
      <c r="BG613" s="140">
        <v>0</v>
      </c>
      <c r="BH613" s="140">
        <v>0</v>
      </c>
      <c r="BI613" s="140">
        <v>0</v>
      </c>
      <c r="BJ613" s="140">
        <v>0</v>
      </c>
      <c r="BK613" s="140">
        <v>0</v>
      </c>
      <c r="BL613" s="140">
        <v>0</v>
      </c>
      <c r="BM613" s="140">
        <v>0</v>
      </c>
      <c r="BN613" s="140">
        <v>0</v>
      </c>
      <c r="BO613" s="140">
        <v>0</v>
      </c>
      <c r="BR613" s="43" t="s">
        <v>329</v>
      </c>
      <c r="BX613" s="43">
        <v>9</v>
      </c>
      <c r="CC613" s="90">
        <f t="shared" si="66"/>
        <v>23.333333333333332</v>
      </c>
      <c r="CD613" s="90">
        <f t="shared" si="66"/>
        <v>23.333333333333332</v>
      </c>
      <c r="CE613" s="90">
        <f t="shared" si="66"/>
        <v>23.333333333333332</v>
      </c>
      <c r="CT613" s="90">
        <f t="shared" si="64"/>
        <v>46.666666666666664</v>
      </c>
      <c r="CU613" s="90">
        <f t="shared" si="65"/>
        <v>70</v>
      </c>
    </row>
    <row r="614" spans="1:99" ht="12" customHeight="1">
      <c r="A614" s="43">
        <v>3522</v>
      </c>
      <c r="B614" s="89" t="s">
        <v>1515</v>
      </c>
      <c r="C614" s="89" t="s">
        <v>1770</v>
      </c>
      <c r="D614" s="89" t="s">
        <v>1771</v>
      </c>
      <c r="E614" s="89" t="s">
        <v>1776</v>
      </c>
      <c r="F614" s="43">
        <v>525912</v>
      </c>
      <c r="G614" s="43">
        <v>175143</v>
      </c>
      <c r="H614" s="89" t="s">
        <v>170</v>
      </c>
      <c r="K614" s="140">
        <v>0</v>
      </c>
      <c r="L614" s="140">
        <v>45</v>
      </c>
      <c r="M614" s="140">
        <v>45</v>
      </c>
      <c r="N614" s="140">
        <v>385</v>
      </c>
      <c r="O614" s="140">
        <v>385</v>
      </c>
      <c r="P614" s="43" t="s">
        <v>329</v>
      </c>
      <c r="Q614" s="89" t="s">
        <v>1773</v>
      </c>
      <c r="R614" s="43" t="s">
        <v>392</v>
      </c>
      <c r="S614" s="125">
        <v>42739</v>
      </c>
      <c r="T614" s="117">
        <v>43314</v>
      </c>
      <c r="V614" s="43" t="s">
        <v>317</v>
      </c>
      <c r="X614" s="43" t="s">
        <v>318</v>
      </c>
      <c r="Y614" s="43" t="s">
        <v>361</v>
      </c>
      <c r="Z614" s="43" t="s">
        <v>361</v>
      </c>
      <c r="AA614" s="43" t="s">
        <v>320</v>
      </c>
      <c r="AB614" s="144">
        <v>9.2000000178813907E-2</v>
      </c>
      <c r="AF614" s="43" t="s">
        <v>55</v>
      </c>
      <c r="AG614" s="43" t="s">
        <v>457</v>
      </c>
      <c r="AH614" s="43" t="s">
        <v>1774</v>
      </c>
      <c r="AJ614" s="140">
        <v>0</v>
      </c>
      <c r="AK614" s="140">
        <v>37</v>
      </c>
      <c r="AL614" s="140">
        <v>0</v>
      </c>
      <c r="AM614" s="140">
        <v>8</v>
      </c>
      <c r="AN614" s="140">
        <v>0</v>
      </c>
      <c r="AO614" s="140">
        <v>19</v>
      </c>
      <c r="AP614" s="140">
        <v>22</v>
      </c>
      <c r="AQ614" s="140">
        <v>4</v>
      </c>
      <c r="AR614" s="140">
        <v>0</v>
      </c>
      <c r="AS614" s="140">
        <v>0</v>
      </c>
      <c r="AT614" s="140">
        <v>0</v>
      </c>
      <c r="AU614" s="140">
        <v>0</v>
      </c>
      <c r="AV614" s="140">
        <v>19</v>
      </c>
      <c r="AW614" s="140">
        <v>22</v>
      </c>
      <c r="AX614" s="140">
        <v>4</v>
      </c>
      <c r="AY614" s="140">
        <v>0</v>
      </c>
      <c r="AZ614" s="140">
        <v>0</v>
      </c>
      <c r="BA614" s="140">
        <v>0</v>
      </c>
      <c r="BB614" s="140">
        <v>0</v>
      </c>
      <c r="BC614" s="140">
        <v>0</v>
      </c>
      <c r="BD614" s="140">
        <v>0</v>
      </c>
      <c r="BE614" s="140">
        <v>0</v>
      </c>
      <c r="BF614" s="140">
        <v>0</v>
      </c>
      <c r="BG614" s="140">
        <v>0</v>
      </c>
      <c r="BH614" s="140">
        <v>0</v>
      </c>
      <c r="BI614" s="140">
        <v>0</v>
      </c>
      <c r="BJ614" s="140">
        <v>0</v>
      </c>
      <c r="BK614" s="140">
        <v>0</v>
      </c>
      <c r="BL614" s="140">
        <v>0</v>
      </c>
      <c r="BM614" s="140">
        <v>0</v>
      </c>
      <c r="BN614" s="140">
        <v>0</v>
      </c>
      <c r="BO614" s="140">
        <v>0</v>
      </c>
      <c r="BR614" s="43" t="s">
        <v>329</v>
      </c>
      <c r="BX614" s="43">
        <v>9</v>
      </c>
      <c r="CC614" s="90">
        <f t="shared" si="66"/>
        <v>15</v>
      </c>
      <c r="CD614" s="90">
        <f t="shared" si="66"/>
        <v>15</v>
      </c>
      <c r="CE614" s="90">
        <f t="shared" si="66"/>
        <v>15</v>
      </c>
      <c r="CT614" s="90">
        <f t="shared" si="64"/>
        <v>30</v>
      </c>
      <c r="CU614" s="90">
        <f t="shared" si="65"/>
        <v>45</v>
      </c>
    </row>
    <row r="615" spans="1:99" ht="12" customHeight="1">
      <c r="A615" s="43">
        <v>3522</v>
      </c>
      <c r="B615" s="89" t="s">
        <v>1515</v>
      </c>
      <c r="C615" s="89" t="s">
        <v>1770</v>
      </c>
      <c r="D615" s="89" t="s">
        <v>1771</v>
      </c>
      <c r="E615" s="89" t="s">
        <v>1777</v>
      </c>
      <c r="F615" s="43">
        <v>525912</v>
      </c>
      <c r="G615" s="43">
        <v>175143</v>
      </c>
      <c r="H615" s="89" t="s">
        <v>170</v>
      </c>
      <c r="K615" s="140">
        <v>0</v>
      </c>
      <c r="L615" s="140">
        <v>29</v>
      </c>
      <c r="M615" s="140">
        <v>29</v>
      </c>
      <c r="N615" s="140">
        <v>385</v>
      </c>
      <c r="O615" s="140">
        <v>385</v>
      </c>
      <c r="P615" s="43" t="s">
        <v>329</v>
      </c>
      <c r="Q615" s="89" t="s">
        <v>1773</v>
      </c>
      <c r="R615" s="43" t="s">
        <v>392</v>
      </c>
      <c r="S615" s="125">
        <v>42739</v>
      </c>
      <c r="T615" s="117">
        <v>43314</v>
      </c>
      <c r="V615" s="43" t="s">
        <v>317</v>
      </c>
      <c r="X615" s="43" t="s">
        <v>318</v>
      </c>
      <c r="Y615" s="43" t="s">
        <v>361</v>
      </c>
      <c r="Z615" s="43" t="s">
        <v>361</v>
      </c>
      <c r="AA615" s="43" t="s">
        <v>320</v>
      </c>
      <c r="AB615" s="144">
        <v>5.9000000357627903E-2</v>
      </c>
      <c r="AF615" s="43" t="s">
        <v>54</v>
      </c>
      <c r="AG615" s="43" t="s">
        <v>399</v>
      </c>
      <c r="AH615" s="43" t="s">
        <v>1774</v>
      </c>
      <c r="AJ615" s="140">
        <v>0</v>
      </c>
      <c r="AK615" s="140">
        <v>27</v>
      </c>
      <c r="AL615" s="140">
        <v>0</v>
      </c>
      <c r="AM615" s="140">
        <v>2</v>
      </c>
      <c r="AN615" s="140">
        <v>0</v>
      </c>
      <c r="AO615" s="140">
        <v>13</v>
      </c>
      <c r="AP615" s="140">
        <v>16</v>
      </c>
      <c r="AQ615" s="140">
        <v>0</v>
      </c>
      <c r="AR615" s="140">
        <v>0</v>
      </c>
      <c r="AS615" s="140">
        <v>0</v>
      </c>
      <c r="AT615" s="140">
        <v>0</v>
      </c>
      <c r="AU615" s="140">
        <v>0</v>
      </c>
      <c r="AV615" s="140">
        <v>13</v>
      </c>
      <c r="AW615" s="140">
        <v>16</v>
      </c>
      <c r="AX615" s="140">
        <v>0</v>
      </c>
      <c r="AY615" s="140">
        <v>0</v>
      </c>
      <c r="AZ615" s="140">
        <v>0</v>
      </c>
      <c r="BA615" s="140">
        <v>0</v>
      </c>
      <c r="BB615" s="140">
        <v>0</v>
      </c>
      <c r="BC615" s="140">
        <v>0</v>
      </c>
      <c r="BD615" s="140">
        <v>0</v>
      </c>
      <c r="BE615" s="140">
        <v>0</v>
      </c>
      <c r="BF615" s="140">
        <v>0</v>
      </c>
      <c r="BG615" s="140">
        <v>0</v>
      </c>
      <c r="BH615" s="140">
        <v>0</v>
      </c>
      <c r="BI615" s="140">
        <v>0</v>
      </c>
      <c r="BJ615" s="140">
        <v>0</v>
      </c>
      <c r="BK615" s="140">
        <v>0</v>
      </c>
      <c r="BL615" s="140">
        <v>0</v>
      </c>
      <c r="BM615" s="140">
        <v>0</v>
      </c>
      <c r="BN615" s="140">
        <v>0</v>
      </c>
      <c r="BO615" s="140">
        <v>0</v>
      </c>
      <c r="BR615" s="43" t="s">
        <v>329</v>
      </c>
      <c r="BX615" s="43">
        <v>9</v>
      </c>
      <c r="CC615" s="90">
        <f t="shared" si="66"/>
        <v>9.6666666666666661</v>
      </c>
      <c r="CD615" s="90">
        <f t="shared" si="66"/>
        <v>9.6666666666666661</v>
      </c>
      <c r="CE615" s="90">
        <f t="shared" si="66"/>
        <v>9.6666666666666661</v>
      </c>
      <c r="CT615" s="90">
        <f t="shared" si="64"/>
        <v>19.333333333333332</v>
      </c>
      <c r="CU615" s="90">
        <f t="shared" si="65"/>
        <v>29</v>
      </c>
    </row>
    <row r="616" spans="1:99" ht="12" customHeight="1">
      <c r="A616" s="43">
        <v>3522</v>
      </c>
      <c r="B616" s="89" t="s">
        <v>1515</v>
      </c>
      <c r="C616" s="89" t="s">
        <v>1770</v>
      </c>
      <c r="D616" s="89" t="s">
        <v>1771</v>
      </c>
      <c r="E616" s="89" t="s">
        <v>1778</v>
      </c>
      <c r="F616" s="43">
        <v>525912</v>
      </c>
      <c r="G616" s="43">
        <v>175143</v>
      </c>
      <c r="H616" s="89" t="s">
        <v>170</v>
      </c>
      <c r="K616" s="140">
        <v>0</v>
      </c>
      <c r="L616" s="140">
        <v>92</v>
      </c>
      <c r="M616" s="140">
        <v>92</v>
      </c>
      <c r="N616" s="140">
        <v>385</v>
      </c>
      <c r="O616" s="140">
        <v>385</v>
      </c>
      <c r="P616" s="43" t="s">
        <v>329</v>
      </c>
      <c r="Q616" s="89" t="s">
        <v>1773</v>
      </c>
      <c r="R616" s="43" t="s">
        <v>392</v>
      </c>
      <c r="S616" s="125">
        <v>42739</v>
      </c>
      <c r="T616" s="117">
        <v>43314</v>
      </c>
      <c r="V616" s="43" t="s">
        <v>317</v>
      </c>
      <c r="X616" s="43" t="s">
        <v>318</v>
      </c>
      <c r="Y616" s="43" t="s">
        <v>361</v>
      </c>
      <c r="Z616" s="43" t="s">
        <v>361</v>
      </c>
      <c r="AA616" s="43" t="s">
        <v>320</v>
      </c>
      <c r="AB616" s="144">
        <v>0.18899999558925601</v>
      </c>
      <c r="AF616" s="43" t="s">
        <v>75</v>
      </c>
      <c r="AG616" s="43" t="s">
        <v>322</v>
      </c>
      <c r="AH616" s="43" t="s">
        <v>1774</v>
      </c>
      <c r="AJ616" s="140">
        <v>0</v>
      </c>
      <c r="AK616" s="140">
        <v>83</v>
      </c>
      <c r="AL616" s="140">
        <v>0</v>
      </c>
      <c r="AM616" s="140">
        <v>9</v>
      </c>
      <c r="AN616" s="140">
        <v>0</v>
      </c>
      <c r="AO616" s="140">
        <v>41</v>
      </c>
      <c r="AP616" s="140">
        <v>43</v>
      </c>
      <c r="AQ616" s="140">
        <v>8</v>
      </c>
      <c r="AR616" s="140">
        <v>0</v>
      </c>
      <c r="AS616" s="140">
        <v>0</v>
      </c>
      <c r="AT616" s="140">
        <v>0</v>
      </c>
      <c r="AU616" s="140">
        <v>0</v>
      </c>
      <c r="AV616" s="140">
        <v>41</v>
      </c>
      <c r="AW616" s="140">
        <v>43</v>
      </c>
      <c r="AX616" s="140">
        <v>8</v>
      </c>
      <c r="AY616" s="140">
        <v>0</v>
      </c>
      <c r="AZ616" s="140">
        <v>0</v>
      </c>
      <c r="BA616" s="140">
        <v>0</v>
      </c>
      <c r="BB616" s="140">
        <v>0</v>
      </c>
      <c r="BC616" s="140">
        <v>0</v>
      </c>
      <c r="BD616" s="140">
        <v>0</v>
      </c>
      <c r="BE616" s="140">
        <v>0</v>
      </c>
      <c r="BF616" s="140">
        <v>0</v>
      </c>
      <c r="BG616" s="140">
        <v>0</v>
      </c>
      <c r="BH616" s="140">
        <v>0</v>
      </c>
      <c r="BI616" s="140">
        <v>0</v>
      </c>
      <c r="BJ616" s="140">
        <v>0</v>
      </c>
      <c r="BK616" s="140">
        <v>0</v>
      </c>
      <c r="BL616" s="140">
        <v>0</v>
      </c>
      <c r="BM616" s="140">
        <v>0</v>
      </c>
      <c r="BN616" s="140">
        <v>0</v>
      </c>
      <c r="BO616" s="140">
        <v>0</v>
      </c>
      <c r="BR616" s="43" t="s">
        <v>329</v>
      </c>
      <c r="BX616" s="43">
        <v>9</v>
      </c>
      <c r="CC616" s="90">
        <f t="shared" si="66"/>
        <v>30.666666666666668</v>
      </c>
      <c r="CD616" s="90">
        <f t="shared" si="66"/>
        <v>30.666666666666668</v>
      </c>
      <c r="CE616" s="90">
        <f t="shared" si="66"/>
        <v>30.666666666666668</v>
      </c>
      <c r="CT616" s="90">
        <f t="shared" si="64"/>
        <v>61.333333333333336</v>
      </c>
      <c r="CU616" s="90">
        <f t="shared" si="65"/>
        <v>92</v>
      </c>
    </row>
    <row r="617" spans="1:99" ht="12" customHeight="1">
      <c r="A617" s="43">
        <v>3522</v>
      </c>
      <c r="B617" s="89" t="s">
        <v>1515</v>
      </c>
      <c r="C617" s="89" t="s">
        <v>1770</v>
      </c>
      <c r="D617" s="89" t="s">
        <v>1771</v>
      </c>
      <c r="E617" s="89" t="s">
        <v>1779</v>
      </c>
      <c r="F617" s="43">
        <v>525912</v>
      </c>
      <c r="G617" s="43">
        <v>175143</v>
      </c>
      <c r="H617" s="89" t="s">
        <v>170</v>
      </c>
      <c r="K617" s="140">
        <v>0</v>
      </c>
      <c r="L617" s="140">
        <v>40</v>
      </c>
      <c r="M617" s="140">
        <v>40</v>
      </c>
      <c r="N617" s="140">
        <v>385</v>
      </c>
      <c r="O617" s="140">
        <v>385</v>
      </c>
      <c r="P617" s="43" t="s">
        <v>329</v>
      </c>
      <c r="Q617" s="89" t="s">
        <v>1773</v>
      </c>
      <c r="R617" s="43" t="s">
        <v>392</v>
      </c>
      <c r="S617" s="125">
        <v>42739</v>
      </c>
      <c r="T617" s="117">
        <v>43314</v>
      </c>
      <c r="V617" s="43" t="s">
        <v>317</v>
      </c>
      <c r="X617" s="43" t="s">
        <v>318</v>
      </c>
      <c r="Y617" s="43" t="s">
        <v>361</v>
      </c>
      <c r="Z617" s="43" t="s">
        <v>361</v>
      </c>
      <c r="AA617" s="43" t="s">
        <v>320</v>
      </c>
      <c r="AB617" s="144">
        <v>8.2000002264976501E-2</v>
      </c>
      <c r="AF617" s="43" t="s">
        <v>55</v>
      </c>
      <c r="AG617" s="43" t="s">
        <v>457</v>
      </c>
      <c r="AH617" s="43" t="s">
        <v>1774</v>
      </c>
      <c r="AJ617" s="140">
        <v>0</v>
      </c>
      <c r="AK617" s="140">
        <v>36</v>
      </c>
      <c r="AL617" s="140">
        <v>0</v>
      </c>
      <c r="AM617" s="140">
        <v>4</v>
      </c>
      <c r="AN617" s="140">
        <v>0</v>
      </c>
      <c r="AO617" s="140">
        <v>28</v>
      </c>
      <c r="AP617" s="140">
        <v>12</v>
      </c>
      <c r="AQ617" s="140">
        <v>0</v>
      </c>
      <c r="AR617" s="140">
        <v>0</v>
      </c>
      <c r="AS617" s="140">
        <v>0</v>
      </c>
      <c r="AT617" s="140">
        <v>0</v>
      </c>
      <c r="AU617" s="140">
        <v>0</v>
      </c>
      <c r="AV617" s="140">
        <v>28</v>
      </c>
      <c r="AW617" s="140">
        <v>12</v>
      </c>
      <c r="AX617" s="140">
        <v>0</v>
      </c>
      <c r="AY617" s="140">
        <v>0</v>
      </c>
      <c r="AZ617" s="140">
        <v>0</v>
      </c>
      <c r="BA617" s="140">
        <v>0</v>
      </c>
      <c r="BB617" s="140">
        <v>0</v>
      </c>
      <c r="BC617" s="140">
        <v>0</v>
      </c>
      <c r="BD617" s="140">
        <v>0</v>
      </c>
      <c r="BE617" s="140">
        <v>0</v>
      </c>
      <c r="BF617" s="140">
        <v>0</v>
      </c>
      <c r="BG617" s="140">
        <v>0</v>
      </c>
      <c r="BH617" s="140">
        <v>0</v>
      </c>
      <c r="BI617" s="140">
        <v>0</v>
      </c>
      <c r="BJ617" s="140">
        <v>0</v>
      </c>
      <c r="BK617" s="140">
        <v>0</v>
      </c>
      <c r="BL617" s="140">
        <v>0</v>
      </c>
      <c r="BM617" s="140">
        <v>0</v>
      </c>
      <c r="BN617" s="140">
        <v>0</v>
      </c>
      <c r="BO617" s="140">
        <v>0</v>
      </c>
      <c r="BR617" s="43" t="s">
        <v>329</v>
      </c>
      <c r="BX617" s="43">
        <v>9</v>
      </c>
      <c r="CC617" s="90">
        <f t="shared" si="66"/>
        <v>13.333333333333334</v>
      </c>
      <c r="CD617" s="90">
        <f t="shared" si="66"/>
        <v>13.333333333333334</v>
      </c>
      <c r="CE617" s="90">
        <f t="shared" si="66"/>
        <v>13.333333333333334</v>
      </c>
      <c r="CT617" s="90">
        <f t="shared" si="64"/>
        <v>26.666666666666668</v>
      </c>
      <c r="CU617" s="90">
        <f t="shared" si="65"/>
        <v>40</v>
      </c>
    </row>
    <row r="618" spans="1:99" ht="12" customHeight="1">
      <c r="A618" s="43">
        <v>3522</v>
      </c>
      <c r="B618" s="89" t="s">
        <v>1515</v>
      </c>
      <c r="C618" s="89" t="s">
        <v>1770</v>
      </c>
      <c r="D618" s="89" t="s">
        <v>1771</v>
      </c>
      <c r="E618" s="89" t="s">
        <v>1779</v>
      </c>
      <c r="F618" s="43">
        <v>525912</v>
      </c>
      <c r="G618" s="43">
        <v>175143</v>
      </c>
      <c r="H618" s="89" t="s">
        <v>170</v>
      </c>
      <c r="K618" s="140">
        <v>0</v>
      </c>
      <c r="L618" s="140">
        <v>22</v>
      </c>
      <c r="M618" s="140">
        <v>22</v>
      </c>
      <c r="N618" s="140">
        <v>385</v>
      </c>
      <c r="O618" s="140">
        <v>385</v>
      </c>
      <c r="P618" s="43" t="s">
        <v>329</v>
      </c>
      <c r="Q618" s="89" t="s">
        <v>1773</v>
      </c>
      <c r="R618" s="43" t="s">
        <v>392</v>
      </c>
      <c r="S618" s="125">
        <v>42739</v>
      </c>
      <c r="T618" s="117">
        <v>43314</v>
      </c>
      <c r="V618" s="43" t="s">
        <v>317</v>
      </c>
      <c r="X618" s="43" t="s">
        <v>318</v>
      </c>
      <c r="Y618" s="43" t="s">
        <v>361</v>
      </c>
      <c r="Z618" s="43" t="s">
        <v>361</v>
      </c>
      <c r="AA618" s="43" t="s">
        <v>320</v>
      </c>
      <c r="AB618" s="144">
        <v>4.5000001788139302E-2</v>
      </c>
      <c r="AF618" s="43" t="s">
        <v>54</v>
      </c>
      <c r="AG618" s="43" t="s">
        <v>399</v>
      </c>
      <c r="AH618" s="43" t="s">
        <v>1774</v>
      </c>
      <c r="AJ618" s="140">
        <v>84</v>
      </c>
      <c r="AK618" s="140">
        <v>20</v>
      </c>
      <c r="AL618" s="140">
        <v>9</v>
      </c>
      <c r="AM618" s="140">
        <v>2</v>
      </c>
      <c r="AN618" s="140">
        <v>0</v>
      </c>
      <c r="AO618" s="140">
        <v>3</v>
      </c>
      <c r="AP618" s="140">
        <v>19</v>
      </c>
      <c r="AQ618" s="140">
        <v>0</v>
      </c>
      <c r="AR618" s="140">
        <v>0</v>
      </c>
      <c r="AS618" s="140">
        <v>0</v>
      </c>
      <c r="AT618" s="140">
        <v>0</v>
      </c>
      <c r="AU618" s="140">
        <v>0</v>
      </c>
      <c r="AV618" s="140">
        <v>3</v>
      </c>
      <c r="AW618" s="140">
        <v>19</v>
      </c>
      <c r="AX618" s="140">
        <v>0</v>
      </c>
      <c r="AY618" s="140">
        <v>0</v>
      </c>
      <c r="AZ618" s="140">
        <v>0</v>
      </c>
      <c r="BA618" s="140">
        <v>0</v>
      </c>
      <c r="BB618" s="140">
        <v>0</v>
      </c>
      <c r="BC618" s="140">
        <v>0</v>
      </c>
      <c r="BD618" s="140">
        <v>0</v>
      </c>
      <c r="BE618" s="140">
        <v>0</v>
      </c>
      <c r="BF618" s="140">
        <v>0</v>
      </c>
      <c r="BG618" s="140">
        <v>0</v>
      </c>
      <c r="BH618" s="140">
        <v>0</v>
      </c>
      <c r="BI618" s="140">
        <v>0</v>
      </c>
      <c r="BJ618" s="140">
        <v>0</v>
      </c>
      <c r="BK618" s="140">
        <v>0</v>
      </c>
      <c r="BL618" s="140">
        <v>0</v>
      </c>
      <c r="BM618" s="140">
        <v>0</v>
      </c>
      <c r="BN618" s="140">
        <v>0</v>
      </c>
      <c r="BO618" s="140">
        <v>0</v>
      </c>
      <c r="BR618" s="43" t="s">
        <v>329</v>
      </c>
      <c r="BX618" s="43">
        <v>9</v>
      </c>
      <c r="CC618" s="90">
        <f t="shared" si="66"/>
        <v>7.333333333333333</v>
      </c>
      <c r="CD618" s="90">
        <f t="shared" si="66"/>
        <v>7.333333333333333</v>
      </c>
      <c r="CE618" s="90">
        <f t="shared" si="66"/>
        <v>7.333333333333333</v>
      </c>
      <c r="CT618" s="90">
        <f t="shared" si="64"/>
        <v>14.666666666666666</v>
      </c>
      <c r="CU618" s="90">
        <f t="shared" si="65"/>
        <v>22</v>
      </c>
    </row>
    <row r="619" spans="1:99" ht="12" customHeight="1">
      <c r="A619" s="43">
        <v>3522</v>
      </c>
      <c r="B619" s="89" t="s">
        <v>1515</v>
      </c>
      <c r="C619" s="89" t="s">
        <v>1770</v>
      </c>
      <c r="D619" s="89" t="s">
        <v>1771</v>
      </c>
      <c r="E619" s="89" t="s">
        <v>1779</v>
      </c>
      <c r="F619" s="43">
        <v>525912</v>
      </c>
      <c r="G619" s="43">
        <v>175143</v>
      </c>
      <c r="H619" s="89" t="s">
        <v>170</v>
      </c>
      <c r="K619" s="140">
        <v>0</v>
      </c>
      <c r="L619" s="140">
        <v>21</v>
      </c>
      <c r="M619" s="140">
        <v>21</v>
      </c>
      <c r="N619" s="140">
        <v>385</v>
      </c>
      <c r="O619" s="140">
        <v>385</v>
      </c>
      <c r="P619" s="43" t="s">
        <v>329</v>
      </c>
      <c r="Q619" s="89" t="s">
        <v>1773</v>
      </c>
      <c r="R619" s="43" t="s">
        <v>392</v>
      </c>
      <c r="S619" s="125">
        <v>42739</v>
      </c>
      <c r="T619" s="117">
        <v>43314</v>
      </c>
      <c r="V619" s="43" t="s">
        <v>317</v>
      </c>
      <c r="X619" s="43" t="s">
        <v>318</v>
      </c>
      <c r="Y619" s="43" t="s">
        <v>361</v>
      </c>
      <c r="Z619" s="43" t="s">
        <v>361</v>
      </c>
      <c r="AA619" s="43" t="s">
        <v>320</v>
      </c>
      <c r="AB619" s="144">
        <v>4.39999997615814E-2</v>
      </c>
      <c r="AF619" s="43" t="s">
        <v>75</v>
      </c>
      <c r="AG619" s="43" t="s">
        <v>322</v>
      </c>
      <c r="AH619" s="43" t="s">
        <v>1774</v>
      </c>
      <c r="AJ619" s="140">
        <v>264</v>
      </c>
      <c r="AK619" s="140">
        <v>19</v>
      </c>
      <c r="AL619" s="140">
        <v>26</v>
      </c>
      <c r="AM619" s="140">
        <v>2</v>
      </c>
      <c r="AN619" s="140">
        <v>0</v>
      </c>
      <c r="AO619" s="140">
        <v>12</v>
      </c>
      <c r="AP619" s="140">
        <v>9</v>
      </c>
      <c r="AQ619" s="140">
        <v>0</v>
      </c>
      <c r="AR619" s="140">
        <v>0</v>
      </c>
      <c r="AS619" s="140">
        <v>0</v>
      </c>
      <c r="AT619" s="140">
        <v>0</v>
      </c>
      <c r="AU619" s="140">
        <v>0</v>
      </c>
      <c r="AV619" s="140">
        <v>12</v>
      </c>
      <c r="AW619" s="140">
        <v>9</v>
      </c>
      <c r="AX619" s="140">
        <v>0</v>
      </c>
      <c r="AY619" s="140">
        <v>0</v>
      </c>
      <c r="AZ619" s="140">
        <v>0</v>
      </c>
      <c r="BA619" s="140">
        <v>0</v>
      </c>
      <c r="BB619" s="140">
        <v>0</v>
      </c>
      <c r="BC619" s="140">
        <v>0</v>
      </c>
      <c r="BD619" s="140">
        <v>0</v>
      </c>
      <c r="BE619" s="140">
        <v>0</v>
      </c>
      <c r="BF619" s="140">
        <v>0</v>
      </c>
      <c r="BG619" s="140">
        <v>0</v>
      </c>
      <c r="BH619" s="140">
        <v>0</v>
      </c>
      <c r="BI619" s="140">
        <v>0</v>
      </c>
      <c r="BJ619" s="140">
        <v>0</v>
      </c>
      <c r="BK619" s="140">
        <v>0</v>
      </c>
      <c r="BL619" s="140">
        <v>0</v>
      </c>
      <c r="BM619" s="140">
        <v>0</v>
      </c>
      <c r="BN619" s="140">
        <v>0</v>
      </c>
      <c r="BO619" s="140">
        <v>0</v>
      </c>
      <c r="BR619" s="43" t="s">
        <v>329</v>
      </c>
      <c r="BX619" s="43">
        <v>9</v>
      </c>
      <c r="CC619" s="90">
        <f t="shared" si="66"/>
        <v>7</v>
      </c>
      <c r="CD619" s="90">
        <f t="shared" si="66"/>
        <v>7</v>
      </c>
      <c r="CE619" s="90">
        <f t="shared" si="66"/>
        <v>7</v>
      </c>
      <c r="CT619" s="90">
        <f t="shared" si="64"/>
        <v>14</v>
      </c>
      <c r="CU619" s="90">
        <f t="shared" si="65"/>
        <v>21</v>
      </c>
    </row>
    <row r="620" spans="1:99" ht="12" customHeight="1">
      <c r="A620" s="43">
        <v>3716</v>
      </c>
      <c r="B620" s="89" t="s">
        <v>1515</v>
      </c>
      <c r="C620" s="89" t="s">
        <v>1780</v>
      </c>
      <c r="D620" s="89" t="s">
        <v>1781</v>
      </c>
      <c r="E620" s="89" t="s">
        <v>758</v>
      </c>
      <c r="F620" s="43">
        <v>525905</v>
      </c>
      <c r="G620" s="43">
        <v>173871</v>
      </c>
      <c r="H620" s="89" t="s">
        <v>168</v>
      </c>
      <c r="K620" s="140">
        <v>0</v>
      </c>
      <c r="L620" s="140">
        <v>2</v>
      </c>
      <c r="M620" s="140">
        <v>2</v>
      </c>
      <c r="N620" s="140">
        <v>3</v>
      </c>
      <c r="O620" s="140">
        <v>2</v>
      </c>
      <c r="Q620" s="89" t="s">
        <v>1782</v>
      </c>
      <c r="R620" s="43" t="s">
        <v>316</v>
      </c>
      <c r="S620" s="125">
        <v>43410</v>
      </c>
      <c r="T620" s="117">
        <v>43500</v>
      </c>
      <c r="V620" s="43" t="s">
        <v>317</v>
      </c>
      <c r="X620" s="43" t="s">
        <v>318</v>
      </c>
      <c r="Y620" s="43" t="s">
        <v>319</v>
      </c>
      <c r="Z620" s="43" t="s">
        <v>320</v>
      </c>
      <c r="AA620" s="43" t="s">
        <v>321</v>
      </c>
      <c r="AB620" s="144">
        <v>6.0000000521540598E-3</v>
      </c>
      <c r="AF620" s="43" t="s">
        <v>75</v>
      </c>
      <c r="AG620" s="43" t="s">
        <v>322</v>
      </c>
      <c r="AJ620" s="140">
        <v>0</v>
      </c>
      <c r="AK620" s="140">
        <v>0</v>
      </c>
      <c r="AL620" s="140">
        <v>0</v>
      </c>
      <c r="AM620" s="140">
        <v>0</v>
      </c>
      <c r="AN620" s="140">
        <v>0</v>
      </c>
      <c r="AO620" s="140">
        <v>2</v>
      </c>
      <c r="AP620" s="140">
        <v>0</v>
      </c>
      <c r="AQ620" s="140">
        <v>0</v>
      </c>
      <c r="AR620" s="140">
        <v>0</v>
      </c>
      <c r="AS620" s="140">
        <v>0</v>
      </c>
      <c r="AT620" s="140">
        <v>0</v>
      </c>
      <c r="AU620" s="140">
        <v>0</v>
      </c>
      <c r="AV620" s="140">
        <v>2</v>
      </c>
      <c r="AW620" s="140">
        <v>0</v>
      </c>
      <c r="AX620" s="140">
        <v>0</v>
      </c>
      <c r="AY620" s="140">
        <v>0</v>
      </c>
      <c r="AZ620" s="140">
        <v>0</v>
      </c>
      <c r="BA620" s="140">
        <v>0</v>
      </c>
      <c r="BB620" s="140">
        <v>0</v>
      </c>
      <c r="BC620" s="140">
        <v>0</v>
      </c>
      <c r="BD620" s="140">
        <v>0</v>
      </c>
      <c r="BE620" s="140">
        <v>0</v>
      </c>
      <c r="BF620" s="140">
        <v>0</v>
      </c>
      <c r="BG620" s="140">
        <v>0</v>
      </c>
      <c r="BH620" s="140">
        <v>0</v>
      </c>
      <c r="BI620" s="140">
        <v>0</v>
      </c>
      <c r="BJ620" s="140">
        <v>0</v>
      </c>
      <c r="BK620" s="140">
        <v>0</v>
      </c>
      <c r="BL620" s="140">
        <v>0</v>
      </c>
      <c r="BM620" s="140">
        <v>0</v>
      </c>
      <c r="BN620" s="140">
        <v>0</v>
      </c>
      <c r="BO620" s="140">
        <v>0</v>
      </c>
      <c r="BX620" s="43">
        <v>15</v>
      </c>
      <c r="BZ620" s="90">
        <f t="shared" ref="BZ620:CB621" si="67">$M620/3</f>
        <v>0.66666666666666663</v>
      </c>
      <c r="CA620" s="90">
        <f t="shared" si="67"/>
        <v>0.66666666666666663</v>
      </c>
      <c r="CB620" s="90">
        <f t="shared" si="67"/>
        <v>0.66666666666666663</v>
      </c>
      <c r="CT620" s="90">
        <f t="shared" si="64"/>
        <v>2</v>
      </c>
      <c r="CU620" s="90">
        <f t="shared" si="65"/>
        <v>2</v>
      </c>
    </row>
    <row r="621" spans="1:99" ht="12" customHeight="1">
      <c r="A621" s="43">
        <v>3716</v>
      </c>
      <c r="B621" s="89" t="s">
        <v>1515</v>
      </c>
      <c r="C621" s="89" t="s">
        <v>1780</v>
      </c>
      <c r="D621" s="89" t="s">
        <v>1781</v>
      </c>
      <c r="E621" s="89" t="s">
        <v>730</v>
      </c>
      <c r="F621" s="43">
        <v>525905</v>
      </c>
      <c r="G621" s="43">
        <v>173871</v>
      </c>
      <c r="H621" s="89" t="s">
        <v>168</v>
      </c>
      <c r="K621" s="140">
        <v>1</v>
      </c>
      <c r="L621" s="140">
        <v>1</v>
      </c>
      <c r="M621" s="140">
        <v>0</v>
      </c>
      <c r="N621" s="140">
        <v>3</v>
      </c>
      <c r="O621" s="140">
        <v>2</v>
      </c>
      <c r="Q621" s="89" t="s">
        <v>1782</v>
      </c>
      <c r="R621" s="43" t="s">
        <v>316</v>
      </c>
      <c r="S621" s="125">
        <v>43410</v>
      </c>
      <c r="T621" s="117">
        <v>43500</v>
      </c>
      <c r="V621" s="43" t="s">
        <v>317</v>
      </c>
      <c r="X621" s="43" t="s">
        <v>318</v>
      </c>
      <c r="Y621" s="43" t="s">
        <v>319</v>
      </c>
      <c r="Z621" s="43" t="s">
        <v>320</v>
      </c>
      <c r="AA621" s="43" t="s">
        <v>321</v>
      </c>
      <c r="AB621" s="144">
        <v>3.0000000260770299E-3</v>
      </c>
      <c r="AF621" s="43" t="s">
        <v>75</v>
      </c>
      <c r="AG621" s="43" t="s">
        <v>322</v>
      </c>
      <c r="AJ621" s="140">
        <v>0</v>
      </c>
      <c r="AK621" s="140">
        <v>0</v>
      </c>
      <c r="AL621" s="140">
        <v>0</v>
      </c>
      <c r="AM621" s="140">
        <v>0</v>
      </c>
      <c r="AN621" s="140">
        <v>1</v>
      </c>
      <c r="AO621" s="140">
        <v>0</v>
      </c>
      <c r="AP621" s="140">
        <v>0</v>
      </c>
      <c r="AQ621" s="140">
        <v>-1</v>
      </c>
      <c r="AR621" s="140">
        <v>0</v>
      </c>
      <c r="AS621" s="140">
        <v>0</v>
      </c>
      <c r="AT621" s="140">
        <v>0</v>
      </c>
      <c r="AU621" s="140">
        <v>1</v>
      </c>
      <c r="AV621" s="140">
        <v>0</v>
      </c>
      <c r="AW621" s="140">
        <v>0</v>
      </c>
      <c r="AX621" s="140">
        <v>-1</v>
      </c>
      <c r="AY621" s="140">
        <v>0</v>
      </c>
      <c r="AZ621" s="140">
        <v>0</v>
      </c>
      <c r="BA621" s="140">
        <v>0</v>
      </c>
      <c r="BB621" s="140">
        <v>0</v>
      </c>
      <c r="BC621" s="140">
        <v>0</v>
      </c>
      <c r="BD621" s="140">
        <v>0</v>
      </c>
      <c r="BE621" s="140">
        <v>0</v>
      </c>
      <c r="BF621" s="140">
        <v>0</v>
      </c>
      <c r="BG621" s="140">
        <v>0</v>
      </c>
      <c r="BH621" s="140">
        <v>0</v>
      </c>
      <c r="BI621" s="140">
        <v>0</v>
      </c>
      <c r="BJ621" s="140">
        <v>0</v>
      </c>
      <c r="BK621" s="140">
        <v>0</v>
      </c>
      <c r="BL621" s="140">
        <v>0</v>
      </c>
      <c r="BM621" s="140">
        <v>0</v>
      </c>
      <c r="BN621" s="140">
        <v>0</v>
      </c>
      <c r="BO621" s="140">
        <v>0</v>
      </c>
      <c r="BX621" s="43">
        <v>15</v>
      </c>
      <c r="BZ621" s="90">
        <f t="shared" si="67"/>
        <v>0</v>
      </c>
      <c r="CA621" s="90">
        <f t="shared" si="67"/>
        <v>0</v>
      </c>
      <c r="CB621" s="90">
        <f t="shared" si="67"/>
        <v>0</v>
      </c>
      <c r="CT621" s="90">
        <f t="shared" si="64"/>
        <v>0</v>
      </c>
      <c r="CU621" s="90">
        <f t="shared" si="65"/>
        <v>0</v>
      </c>
    </row>
    <row r="622" spans="1:99" ht="12" customHeight="1">
      <c r="A622" s="43">
        <v>3943</v>
      </c>
      <c r="B622" s="89" t="s">
        <v>1515</v>
      </c>
      <c r="C622" s="89" t="s">
        <v>1783</v>
      </c>
      <c r="D622" s="89" t="s">
        <v>995</v>
      </c>
      <c r="E622" s="89" t="s">
        <v>1784</v>
      </c>
      <c r="F622" s="43">
        <v>529575</v>
      </c>
      <c r="G622" s="43">
        <v>177401</v>
      </c>
      <c r="H622" s="89" t="s">
        <v>148</v>
      </c>
      <c r="I622" s="125">
        <v>41456</v>
      </c>
      <c r="K622" s="140">
        <v>0</v>
      </c>
      <c r="L622" s="140">
        <v>206</v>
      </c>
      <c r="M622" s="140">
        <v>206</v>
      </c>
      <c r="N622" s="140">
        <v>1950</v>
      </c>
      <c r="O622" s="140">
        <v>1950</v>
      </c>
      <c r="P622" s="43" t="s">
        <v>329</v>
      </c>
      <c r="Q622" s="89" t="s">
        <v>1785</v>
      </c>
      <c r="R622" s="43" t="s">
        <v>360</v>
      </c>
      <c r="S622" s="125">
        <v>43080</v>
      </c>
      <c r="T622" s="117">
        <v>43552</v>
      </c>
      <c r="V622" s="43" t="s">
        <v>317</v>
      </c>
      <c r="X622" s="43" t="s">
        <v>318</v>
      </c>
      <c r="Y622" s="43" t="s">
        <v>361</v>
      </c>
      <c r="Z622" s="43" t="s">
        <v>361</v>
      </c>
      <c r="AA622" s="43" t="s">
        <v>320</v>
      </c>
      <c r="AB622" s="144">
        <v>0.20100000500678999</v>
      </c>
      <c r="AF622" s="43" t="s">
        <v>75</v>
      </c>
      <c r="AG622" s="43" t="s">
        <v>322</v>
      </c>
      <c r="AH622" s="43" t="s">
        <v>999</v>
      </c>
      <c r="AJ622" s="140">
        <v>0</v>
      </c>
      <c r="AK622" s="140">
        <v>185</v>
      </c>
      <c r="AL622" s="140">
        <v>0</v>
      </c>
      <c r="AM622" s="140">
        <v>21</v>
      </c>
      <c r="AN622" s="140">
        <v>12</v>
      </c>
      <c r="AO622" s="140">
        <v>56</v>
      </c>
      <c r="AP622" s="140">
        <v>93</v>
      </c>
      <c r="AQ622" s="140">
        <v>38</v>
      </c>
      <c r="AR622" s="140">
        <v>7</v>
      </c>
      <c r="AS622" s="140">
        <v>0</v>
      </c>
      <c r="AT622" s="140">
        <v>0</v>
      </c>
      <c r="AU622" s="140">
        <v>12</v>
      </c>
      <c r="AV622" s="140">
        <v>56</v>
      </c>
      <c r="AW622" s="140">
        <v>93</v>
      </c>
      <c r="AX622" s="140">
        <v>38</v>
      </c>
      <c r="AY622" s="140">
        <v>7</v>
      </c>
      <c r="AZ622" s="140">
        <v>0</v>
      </c>
      <c r="BA622" s="140">
        <v>0</v>
      </c>
      <c r="BB622" s="140">
        <v>0</v>
      </c>
      <c r="BC622" s="140">
        <v>0</v>
      </c>
      <c r="BD622" s="140">
        <v>0</v>
      </c>
      <c r="BE622" s="140">
        <v>0</v>
      </c>
      <c r="BF622" s="140">
        <v>0</v>
      </c>
      <c r="BG622" s="140">
        <v>0</v>
      </c>
      <c r="BH622" s="140">
        <v>0</v>
      </c>
      <c r="BI622" s="140">
        <v>0</v>
      </c>
      <c r="BJ622" s="140">
        <v>0</v>
      </c>
      <c r="BK622" s="140">
        <v>0</v>
      </c>
      <c r="BL622" s="140">
        <v>0</v>
      </c>
      <c r="BM622" s="140">
        <v>0</v>
      </c>
      <c r="BN622" s="140">
        <v>0</v>
      </c>
      <c r="BO622" s="140">
        <v>0</v>
      </c>
      <c r="BQ622" s="43" t="s">
        <v>329</v>
      </c>
      <c r="BX622" s="43">
        <v>21</v>
      </c>
      <c r="CE622" s="90">
        <f>M622</f>
        <v>206</v>
      </c>
      <c r="CT622" s="90">
        <f t="shared" si="64"/>
        <v>0</v>
      </c>
      <c r="CU622" s="90">
        <f t="shared" si="65"/>
        <v>206</v>
      </c>
    </row>
    <row r="623" spans="1:99" ht="12" customHeight="1">
      <c r="A623" s="43">
        <v>3943</v>
      </c>
      <c r="B623" s="89" t="s">
        <v>1515</v>
      </c>
      <c r="C623" s="89" t="s">
        <v>1783</v>
      </c>
      <c r="D623" s="89" t="s">
        <v>995</v>
      </c>
      <c r="E623" s="89" t="s">
        <v>1784</v>
      </c>
      <c r="F623" s="43">
        <v>529575</v>
      </c>
      <c r="G623" s="43">
        <v>177401</v>
      </c>
      <c r="H623" s="89" t="s">
        <v>148</v>
      </c>
      <c r="I623" s="125">
        <v>41456</v>
      </c>
      <c r="K623" s="140">
        <v>0</v>
      </c>
      <c r="L623" s="140">
        <v>22</v>
      </c>
      <c r="M623" s="140">
        <v>22</v>
      </c>
      <c r="N623" s="140">
        <v>1950</v>
      </c>
      <c r="O623" s="140">
        <v>1950</v>
      </c>
      <c r="P623" s="43" t="s">
        <v>329</v>
      </c>
      <c r="Q623" s="89" t="s">
        <v>1785</v>
      </c>
      <c r="R623" s="43" t="s">
        <v>360</v>
      </c>
      <c r="S623" s="125">
        <v>43080</v>
      </c>
      <c r="T623" s="117">
        <v>43552</v>
      </c>
      <c r="V623" s="43" t="s">
        <v>317</v>
      </c>
      <c r="X623" s="43" t="s">
        <v>318</v>
      </c>
      <c r="Y623" s="43" t="s">
        <v>361</v>
      </c>
      <c r="Z623" s="43" t="s">
        <v>361</v>
      </c>
      <c r="AA623" s="43" t="s">
        <v>320</v>
      </c>
      <c r="AB623" s="144">
        <v>2.0999999716877899E-2</v>
      </c>
      <c r="AF623" s="43" t="s">
        <v>55</v>
      </c>
      <c r="AG623" s="43" t="s">
        <v>457</v>
      </c>
      <c r="AH623" s="43" t="s">
        <v>999</v>
      </c>
      <c r="AJ623" s="140">
        <v>0</v>
      </c>
      <c r="AK623" s="140">
        <v>20</v>
      </c>
      <c r="AL623" s="140">
        <v>0</v>
      </c>
      <c r="AM623" s="140">
        <v>2</v>
      </c>
      <c r="AN623" s="140">
        <v>0</v>
      </c>
      <c r="AO623" s="140">
        <v>8</v>
      </c>
      <c r="AP623" s="140">
        <v>8</v>
      </c>
      <c r="AQ623" s="140">
        <v>4</v>
      </c>
      <c r="AR623" s="140">
        <v>2</v>
      </c>
      <c r="AS623" s="140">
        <v>0</v>
      </c>
      <c r="AT623" s="140">
        <v>0</v>
      </c>
      <c r="AU623" s="140">
        <v>0</v>
      </c>
      <c r="AV623" s="140">
        <v>8</v>
      </c>
      <c r="AW623" s="140">
        <v>8</v>
      </c>
      <c r="AX623" s="140">
        <v>4</v>
      </c>
      <c r="AY623" s="140">
        <v>2</v>
      </c>
      <c r="AZ623" s="140">
        <v>0</v>
      </c>
      <c r="BA623" s="140">
        <v>0</v>
      </c>
      <c r="BB623" s="140">
        <v>0</v>
      </c>
      <c r="BC623" s="140">
        <v>0</v>
      </c>
      <c r="BD623" s="140">
        <v>0</v>
      </c>
      <c r="BE623" s="140">
        <v>0</v>
      </c>
      <c r="BF623" s="140">
        <v>0</v>
      </c>
      <c r="BG623" s="140">
        <v>0</v>
      </c>
      <c r="BH623" s="140">
        <v>0</v>
      </c>
      <c r="BI623" s="140">
        <v>0</v>
      </c>
      <c r="BJ623" s="140">
        <v>0</v>
      </c>
      <c r="BK623" s="140">
        <v>0</v>
      </c>
      <c r="BL623" s="140">
        <v>0</v>
      </c>
      <c r="BM623" s="140">
        <v>0</v>
      </c>
      <c r="BN623" s="140">
        <v>0</v>
      </c>
      <c r="BO623" s="140">
        <v>0</v>
      </c>
      <c r="BQ623" s="43" t="s">
        <v>329</v>
      </c>
      <c r="BX623" s="43">
        <v>21</v>
      </c>
      <c r="CE623" s="90">
        <f>M623</f>
        <v>22</v>
      </c>
      <c r="CT623" s="90">
        <f t="shared" si="64"/>
        <v>0</v>
      </c>
      <c r="CU623" s="90">
        <f t="shared" si="65"/>
        <v>22</v>
      </c>
    </row>
    <row r="624" spans="1:99" ht="12" customHeight="1">
      <c r="A624" s="43">
        <v>3943</v>
      </c>
      <c r="B624" s="89" t="s">
        <v>1515</v>
      </c>
      <c r="C624" s="89" t="s">
        <v>1783</v>
      </c>
      <c r="D624" s="89" t="s">
        <v>995</v>
      </c>
      <c r="E624" s="89" t="s">
        <v>1784</v>
      </c>
      <c r="F624" s="43">
        <v>529575</v>
      </c>
      <c r="G624" s="43">
        <v>177401</v>
      </c>
      <c r="H624" s="89" t="s">
        <v>148</v>
      </c>
      <c r="I624" s="125">
        <v>41456</v>
      </c>
      <c r="K624" s="140">
        <v>0</v>
      </c>
      <c r="L624" s="140">
        <v>16</v>
      </c>
      <c r="M624" s="140">
        <v>16</v>
      </c>
      <c r="N624" s="140">
        <v>1950</v>
      </c>
      <c r="O624" s="140">
        <v>1950</v>
      </c>
      <c r="P624" s="43" t="s">
        <v>329</v>
      </c>
      <c r="Q624" s="89" t="s">
        <v>1785</v>
      </c>
      <c r="R624" s="43" t="s">
        <v>360</v>
      </c>
      <c r="S624" s="125">
        <v>43080</v>
      </c>
      <c r="T624" s="117">
        <v>43552</v>
      </c>
      <c r="V624" s="43" t="s">
        <v>317</v>
      </c>
      <c r="X624" s="43" t="s">
        <v>318</v>
      </c>
      <c r="Y624" s="43" t="s">
        <v>361</v>
      </c>
      <c r="Z624" s="43" t="s">
        <v>361</v>
      </c>
      <c r="AA624" s="43" t="s">
        <v>320</v>
      </c>
      <c r="AB624" s="144">
        <v>1.60000007599592E-2</v>
      </c>
      <c r="AF624" s="43" t="s">
        <v>54</v>
      </c>
      <c r="AG624" s="43" t="s">
        <v>399</v>
      </c>
      <c r="AH624" s="43" t="s">
        <v>999</v>
      </c>
      <c r="AJ624" s="140">
        <v>0</v>
      </c>
      <c r="AK624" s="140">
        <v>14</v>
      </c>
      <c r="AL624" s="140">
        <v>0</v>
      </c>
      <c r="AM624" s="140">
        <v>2</v>
      </c>
      <c r="AN624" s="140">
        <v>0</v>
      </c>
      <c r="AO624" s="140">
        <v>7</v>
      </c>
      <c r="AP624" s="140">
        <v>5</v>
      </c>
      <c r="AQ624" s="140">
        <v>3</v>
      </c>
      <c r="AR624" s="140">
        <v>1</v>
      </c>
      <c r="AS624" s="140">
        <v>0</v>
      </c>
      <c r="AT624" s="140">
        <v>0</v>
      </c>
      <c r="AU624" s="140">
        <v>0</v>
      </c>
      <c r="AV624" s="140">
        <v>7</v>
      </c>
      <c r="AW624" s="140">
        <v>5</v>
      </c>
      <c r="AX624" s="140">
        <v>3</v>
      </c>
      <c r="AY624" s="140">
        <v>1</v>
      </c>
      <c r="AZ624" s="140">
        <v>0</v>
      </c>
      <c r="BA624" s="140">
        <v>0</v>
      </c>
      <c r="BB624" s="140">
        <v>0</v>
      </c>
      <c r="BC624" s="140">
        <v>0</v>
      </c>
      <c r="BD624" s="140">
        <v>0</v>
      </c>
      <c r="BE624" s="140">
        <v>0</v>
      </c>
      <c r="BF624" s="140">
        <v>0</v>
      </c>
      <c r="BG624" s="140">
        <v>0</v>
      </c>
      <c r="BH624" s="140">
        <v>0</v>
      </c>
      <c r="BI624" s="140">
        <v>0</v>
      </c>
      <c r="BJ624" s="140">
        <v>0</v>
      </c>
      <c r="BK624" s="140">
        <v>0</v>
      </c>
      <c r="BL624" s="140">
        <v>0</v>
      </c>
      <c r="BM624" s="140">
        <v>0</v>
      </c>
      <c r="BN624" s="140">
        <v>0</v>
      </c>
      <c r="BO624" s="140">
        <v>0</v>
      </c>
      <c r="BQ624" s="43" t="s">
        <v>329</v>
      </c>
      <c r="BX624" s="43">
        <v>21</v>
      </c>
      <c r="CE624" s="90">
        <f>M624</f>
        <v>16</v>
      </c>
      <c r="CT624" s="90">
        <f t="shared" si="64"/>
        <v>0</v>
      </c>
      <c r="CU624" s="90">
        <f t="shared" si="65"/>
        <v>16</v>
      </c>
    </row>
    <row r="625" spans="1:99" ht="12" customHeight="1">
      <c r="A625" s="43">
        <v>3943</v>
      </c>
      <c r="B625" s="89" t="s">
        <v>1515</v>
      </c>
      <c r="C625" s="89" t="s">
        <v>1783</v>
      </c>
      <c r="D625" s="89" t="s">
        <v>995</v>
      </c>
      <c r="E625" s="89" t="s">
        <v>1786</v>
      </c>
      <c r="F625" s="43">
        <v>529575</v>
      </c>
      <c r="G625" s="43">
        <v>177401</v>
      </c>
      <c r="H625" s="89" t="s">
        <v>148</v>
      </c>
      <c r="I625" s="125">
        <v>41456</v>
      </c>
      <c r="K625" s="140">
        <v>0</v>
      </c>
      <c r="L625" s="140">
        <v>195</v>
      </c>
      <c r="M625" s="140">
        <v>195</v>
      </c>
      <c r="N625" s="140">
        <v>1950</v>
      </c>
      <c r="O625" s="140">
        <v>1950</v>
      </c>
      <c r="P625" s="43" t="s">
        <v>329</v>
      </c>
      <c r="Q625" s="89" t="s">
        <v>1785</v>
      </c>
      <c r="R625" s="43" t="s">
        <v>360</v>
      </c>
      <c r="S625" s="125">
        <v>43080</v>
      </c>
      <c r="T625" s="117">
        <v>43552</v>
      </c>
      <c r="V625" s="43" t="s">
        <v>317</v>
      </c>
      <c r="X625" s="43" t="s">
        <v>318</v>
      </c>
      <c r="Y625" s="43" t="s">
        <v>361</v>
      </c>
      <c r="Z625" s="43" t="s">
        <v>461</v>
      </c>
      <c r="AA625" s="43" t="s">
        <v>320</v>
      </c>
      <c r="AB625" s="144">
        <v>0.18999999761581399</v>
      </c>
      <c r="AF625" s="43" t="s">
        <v>75</v>
      </c>
      <c r="AG625" s="43" t="s">
        <v>322</v>
      </c>
      <c r="AH625" s="43" t="s">
        <v>999</v>
      </c>
      <c r="AJ625" s="140">
        <v>0</v>
      </c>
      <c r="AK625" s="140">
        <v>176</v>
      </c>
      <c r="AL625" s="140">
        <v>0</v>
      </c>
      <c r="AM625" s="140">
        <v>19</v>
      </c>
      <c r="AN625" s="140">
        <v>11</v>
      </c>
      <c r="AO625" s="140">
        <v>53</v>
      </c>
      <c r="AP625" s="140">
        <v>88</v>
      </c>
      <c r="AQ625" s="140">
        <v>36</v>
      </c>
      <c r="AR625" s="140">
        <v>7</v>
      </c>
      <c r="AS625" s="140">
        <v>0</v>
      </c>
      <c r="AT625" s="140">
        <v>0</v>
      </c>
      <c r="AU625" s="140">
        <v>11</v>
      </c>
      <c r="AV625" s="140">
        <v>53</v>
      </c>
      <c r="AW625" s="140">
        <v>88</v>
      </c>
      <c r="AX625" s="140">
        <v>36</v>
      </c>
      <c r="AY625" s="140">
        <v>7</v>
      </c>
      <c r="AZ625" s="140">
        <v>0</v>
      </c>
      <c r="BA625" s="140">
        <v>0</v>
      </c>
      <c r="BB625" s="140">
        <v>0</v>
      </c>
      <c r="BC625" s="140">
        <v>0</v>
      </c>
      <c r="BD625" s="140">
        <v>0</v>
      </c>
      <c r="BE625" s="140">
        <v>0</v>
      </c>
      <c r="BF625" s="140">
        <v>0</v>
      </c>
      <c r="BG625" s="140">
        <v>0</v>
      </c>
      <c r="BH625" s="140">
        <v>0</v>
      </c>
      <c r="BI625" s="140">
        <v>0</v>
      </c>
      <c r="BJ625" s="140">
        <v>0</v>
      </c>
      <c r="BK625" s="140">
        <v>0</v>
      </c>
      <c r="BL625" s="140">
        <v>0</v>
      </c>
      <c r="BM625" s="140">
        <v>0</v>
      </c>
      <c r="BN625" s="140">
        <v>0</v>
      </c>
      <c r="BO625" s="140">
        <v>0</v>
      </c>
      <c r="BQ625" s="43" t="s">
        <v>329</v>
      </c>
      <c r="BX625" s="43">
        <v>21</v>
      </c>
      <c r="CF625" s="90">
        <f>M625</f>
        <v>195</v>
      </c>
      <c r="CT625" s="90">
        <f t="shared" si="64"/>
        <v>0</v>
      </c>
      <c r="CU625" s="90">
        <f t="shared" si="65"/>
        <v>195</v>
      </c>
    </row>
    <row r="626" spans="1:99" ht="12" customHeight="1">
      <c r="A626" s="43">
        <v>3943</v>
      </c>
      <c r="B626" s="89" t="s">
        <v>1515</v>
      </c>
      <c r="C626" s="89" t="s">
        <v>1783</v>
      </c>
      <c r="D626" s="89" t="s">
        <v>995</v>
      </c>
      <c r="E626" s="89" t="s">
        <v>1786</v>
      </c>
      <c r="F626" s="43">
        <v>529575</v>
      </c>
      <c r="G626" s="43">
        <v>177401</v>
      </c>
      <c r="H626" s="89" t="s">
        <v>148</v>
      </c>
      <c r="I626" s="125">
        <v>41456</v>
      </c>
      <c r="K626" s="140">
        <v>0</v>
      </c>
      <c r="L626" s="140">
        <v>21</v>
      </c>
      <c r="M626" s="140">
        <v>21</v>
      </c>
      <c r="N626" s="140">
        <v>1950</v>
      </c>
      <c r="O626" s="140">
        <v>1950</v>
      </c>
      <c r="P626" s="43" t="s">
        <v>329</v>
      </c>
      <c r="Q626" s="89" t="s">
        <v>1785</v>
      </c>
      <c r="R626" s="43" t="s">
        <v>360</v>
      </c>
      <c r="S626" s="125">
        <v>43080</v>
      </c>
      <c r="T626" s="117">
        <v>43552</v>
      </c>
      <c r="V626" s="43" t="s">
        <v>317</v>
      </c>
      <c r="X626" s="43" t="s">
        <v>318</v>
      </c>
      <c r="Y626" s="43" t="s">
        <v>361</v>
      </c>
      <c r="Z626" s="43" t="s">
        <v>361</v>
      </c>
      <c r="AA626" s="43" t="s">
        <v>320</v>
      </c>
      <c r="AB626" s="144">
        <v>2.0999999716877899E-2</v>
      </c>
      <c r="AF626" s="43" t="s">
        <v>55</v>
      </c>
      <c r="AG626" s="43" t="s">
        <v>457</v>
      </c>
      <c r="AH626" s="43" t="s">
        <v>999</v>
      </c>
      <c r="AJ626" s="140">
        <v>0</v>
      </c>
      <c r="AK626" s="140">
        <v>19</v>
      </c>
      <c r="AL626" s="140">
        <v>0</v>
      </c>
      <c r="AM626" s="140">
        <v>2</v>
      </c>
      <c r="AN626" s="140">
        <v>0</v>
      </c>
      <c r="AO626" s="140">
        <v>8</v>
      </c>
      <c r="AP626" s="140">
        <v>7</v>
      </c>
      <c r="AQ626" s="140">
        <v>4</v>
      </c>
      <c r="AR626" s="140">
        <v>2</v>
      </c>
      <c r="AS626" s="140">
        <v>0</v>
      </c>
      <c r="AT626" s="140">
        <v>0</v>
      </c>
      <c r="AU626" s="140">
        <v>0</v>
      </c>
      <c r="AV626" s="140">
        <v>8</v>
      </c>
      <c r="AW626" s="140">
        <v>7</v>
      </c>
      <c r="AX626" s="140">
        <v>4</v>
      </c>
      <c r="AY626" s="140">
        <v>2</v>
      </c>
      <c r="AZ626" s="140">
        <v>0</v>
      </c>
      <c r="BA626" s="140">
        <v>0</v>
      </c>
      <c r="BB626" s="140">
        <v>0</v>
      </c>
      <c r="BC626" s="140">
        <v>0</v>
      </c>
      <c r="BD626" s="140">
        <v>0</v>
      </c>
      <c r="BE626" s="140">
        <v>0</v>
      </c>
      <c r="BF626" s="140">
        <v>0</v>
      </c>
      <c r="BG626" s="140">
        <v>0</v>
      </c>
      <c r="BH626" s="140">
        <v>0</v>
      </c>
      <c r="BI626" s="140">
        <v>0</v>
      </c>
      <c r="BJ626" s="140">
        <v>0</v>
      </c>
      <c r="BK626" s="140">
        <v>0</v>
      </c>
      <c r="BL626" s="140">
        <v>0</v>
      </c>
      <c r="BM626" s="140">
        <v>0</v>
      </c>
      <c r="BN626" s="140">
        <v>0</v>
      </c>
      <c r="BO626" s="140">
        <v>0</v>
      </c>
      <c r="BQ626" s="43" t="s">
        <v>329</v>
      </c>
      <c r="BX626" s="43">
        <v>21</v>
      </c>
      <c r="CF626" s="90">
        <f>M626</f>
        <v>21</v>
      </c>
      <c r="CT626" s="90">
        <f t="shared" si="64"/>
        <v>0</v>
      </c>
      <c r="CU626" s="90">
        <f t="shared" si="65"/>
        <v>21</v>
      </c>
    </row>
    <row r="627" spans="1:99" ht="12" customHeight="1">
      <c r="A627" s="43">
        <v>3943</v>
      </c>
      <c r="B627" s="89" t="s">
        <v>1515</v>
      </c>
      <c r="C627" s="89" t="s">
        <v>1783</v>
      </c>
      <c r="D627" s="89" t="s">
        <v>995</v>
      </c>
      <c r="E627" s="89" t="s">
        <v>1786</v>
      </c>
      <c r="F627" s="43">
        <v>529575</v>
      </c>
      <c r="G627" s="43">
        <v>177401</v>
      </c>
      <c r="H627" s="89" t="s">
        <v>148</v>
      </c>
      <c r="I627" s="125">
        <v>41456</v>
      </c>
      <c r="K627" s="140">
        <v>0</v>
      </c>
      <c r="L627" s="140">
        <v>14</v>
      </c>
      <c r="M627" s="140">
        <v>14</v>
      </c>
      <c r="N627" s="140">
        <v>1950</v>
      </c>
      <c r="O627" s="140">
        <v>1950</v>
      </c>
      <c r="P627" s="43" t="s">
        <v>329</v>
      </c>
      <c r="Q627" s="89" t="s">
        <v>1785</v>
      </c>
      <c r="R627" s="43" t="s">
        <v>360</v>
      </c>
      <c r="S627" s="125">
        <v>43080</v>
      </c>
      <c r="T627" s="117">
        <v>43552</v>
      </c>
      <c r="V627" s="43" t="s">
        <v>317</v>
      </c>
      <c r="X627" s="43" t="s">
        <v>318</v>
      </c>
      <c r="Y627" s="43" t="s">
        <v>361</v>
      </c>
      <c r="Z627" s="43" t="s">
        <v>361</v>
      </c>
      <c r="AA627" s="43" t="s">
        <v>320</v>
      </c>
      <c r="AB627" s="144">
        <v>1.4000000432133701E-2</v>
      </c>
      <c r="AF627" s="43" t="s">
        <v>54</v>
      </c>
      <c r="AG627" s="43" t="s">
        <v>399</v>
      </c>
      <c r="AH627" s="43" t="s">
        <v>999</v>
      </c>
      <c r="AJ627" s="140">
        <v>0</v>
      </c>
      <c r="AK627" s="140">
        <v>13</v>
      </c>
      <c r="AL627" s="140">
        <v>0</v>
      </c>
      <c r="AM627" s="140">
        <v>1</v>
      </c>
      <c r="AN627" s="140">
        <v>0</v>
      </c>
      <c r="AO627" s="140">
        <v>5</v>
      </c>
      <c r="AP627" s="140">
        <v>5</v>
      </c>
      <c r="AQ627" s="140">
        <v>3</v>
      </c>
      <c r="AR627" s="140">
        <v>1</v>
      </c>
      <c r="AS627" s="140">
        <v>0</v>
      </c>
      <c r="AT627" s="140">
        <v>0</v>
      </c>
      <c r="AU627" s="140">
        <v>0</v>
      </c>
      <c r="AV627" s="140">
        <v>5</v>
      </c>
      <c r="AW627" s="140">
        <v>5</v>
      </c>
      <c r="AX627" s="140">
        <v>3</v>
      </c>
      <c r="AY627" s="140">
        <v>1</v>
      </c>
      <c r="AZ627" s="140">
        <v>0</v>
      </c>
      <c r="BA627" s="140">
        <v>0</v>
      </c>
      <c r="BB627" s="140">
        <v>0</v>
      </c>
      <c r="BC627" s="140">
        <v>0</v>
      </c>
      <c r="BD627" s="140">
        <v>0</v>
      </c>
      <c r="BE627" s="140">
        <v>0</v>
      </c>
      <c r="BF627" s="140">
        <v>0</v>
      </c>
      <c r="BG627" s="140">
        <v>0</v>
      </c>
      <c r="BH627" s="140">
        <v>0</v>
      </c>
      <c r="BI627" s="140">
        <v>0</v>
      </c>
      <c r="BJ627" s="140">
        <v>0</v>
      </c>
      <c r="BK627" s="140">
        <v>0</v>
      </c>
      <c r="BL627" s="140">
        <v>0</v>
      </c>
      <c r="BM627" s="140">
        <v>0</v>
      </c>
      <c r="BN627" s="140">
        <v>0</v>
      </c>
      <c r="BO627" s="140">
        <v>0</v>
      </c>
      <c r="BQ627" s="43" t="s">
        <v>329</v>
      </c>
      <c r="BX627" s="43">
        <v>21</v>
      </c>
      <c r="CF627" s="90">
        <f>M627</f>
        <v>14</v>
      </c>
      <c r="CT627" s="90">
        <f t="shared" si="64"/>
        <v>0</v>
      </c>
      <c r="CU627" s="90">
        <f t="shared" si="65"/>
        <v>14</v>
      </c>
    </row>
    <row r="628" spans="1:99" ht="12" customHeight="1">
      <c r="A628" s="43">
        <v>3943</v>
      </c>
      <c r="B628" s="89" t="s">
        <v>1515</v>
      </c>
      <c r="C628" s="89" t="s">
        <v>1783</v>
      </c>
      <c r="D628" s="89" t="s">
        <v>995</v>
      </c>
      <c r="E628" s="89" t="s">
        <v>1787</v>
      </c>
      <c r="F628" s="43">
        <v>529575</v>
      </c>
      <c r="G628" s="43">
        <v>177401</v>
      </c>
      <c r="H628" s="89" t="s">
        <v>148</v>
      </c>
      <c r="I628" s="125">
        <v>41456</v>
      </c>
      <c r="K628" s="140">
        <v>0</v>
      </c>
      <c r="L628" s="140">
        <v>173</v>
      </c>
      <c r="M628" s="140">
        <v>173</v>
      </c>
      <c r="N628" s="140">
        <v>1950</v>
      </c>
      <c r="O628" s="140">
        <v>1950</v>
      </c>
      <c r="P628" s="43" t="s">
        <v>329</v>
      </c>
      <c r="Q628" s="89" t="s">
        <v>1785</v>
      </c>
      <c r="R628" s="43" t="s">
        <v>360</v>
      </c>
      <c r="S628" s="125">
        <v>43080</v>
      </c>
      <c r="T628" s="117">
        <v>43552</v>
      </c>
      <c r="V628" s="43" t="s">
        <v>317</v>
      </c>
      <c r="X628" s="43" t="s">
        <v>318</v>
      </c>
      <c r="Y628" s="43" t="s">
        <v>361</v>
      </c>
      <c r="Z628" s="43" t="s">
        <v>361</v>
      </c>
      <c r="AA628" s="43" t="s">
        <v>320</v>
      </c>
      <c r="AB628" s="144">
        <v>0.168999999761581</v>
      </c>
      <c r="AF628" s="43" t="s">
        <v>75</v>
      </c>
      <c r="AG628" s="43" t="s">
        <v>322</v>
      </c>
      <c r="AH628" s="43" t="s">
        <v>999</v>
      </c>
      <c r="AJ628" s="140">
        <v>0</v>
      </c>
      <c r="AK628" s="140">
        <v>156</v>
      </c>
      <c r="AL628" s="140">
        <v>0</v>
      </c>
      <c r="AM628" s="140">
        <v>17</v>
      </c>
      <c r="AN628" s="140">
        <v>10</v>
      </c>
      <c r="AO628" s="140">
        <v>47</v>
      </c>
      <c r="AP628" s="140">
        <v>78</v>
      </c>
      <c r="AQ628" s="140">
        <v>32</v>
      </c>
      <c r="AR628" s="140">
        <v>6</v>
      </c>
      <c r="AS628" s="140">
        <v>0</v>
      </c>
      <c r="AT628" s="140">
        <v>0</v>
      </c>
      <c r="AU628" s="140">
        <v>10</v>
      </c>
      <c r="AV628" s="140">
        <v>47</v>
      </c>
      <c r="AW628" s="140">
        <v>78</v>
      </c>
      <c r="AX628" s="140">
        <v>32</v>
      </c>
      <c r="AY628" s="140">
        <v>6</v>
      </c>
      <c r="AZ628" s="140">
        <v>0</v>
      </c>
      <c r="BA628" s="140">
        <v>0</v>
      </c>
      <c r="BB628" s="140">
        <v>0</v>
      </c>
      <c r="BC628" s="140">
        <v>0</v>
      </c>
      <c r="BD628" s="140">
        <v>0</v>
      </c>
      <c r="BE628" s="140">
        <v>0</v>
      </c>
      <c r="BF628" s="140">
        <v>0</v>
      </c>
      <c r="BG628" s="140">
        <v>0</v>
      </c>
      <c r="BH628" s="140">
        <v>0</v>
      </c>
      <c r="BI628" s="140">
        <v>0</v>
      </c>
      <c r="BJ628" s="140">
        <v>0</v>
      </c>
      <c r="BK628" s="140">
        <v>0</v>
      </c>
      <c r="BL628" s="140">
        <v>0</v>
      </c>
      <c r="BM628" s="140">
        <v>0</v>
      </c>
      <c r="BN628" s="140">
        <v>0</v>
      </c>
      <c r="BO628" s="140">
        <v>0</v>
      </c>
      <c r="BQ628" s="43" t="s">
        <v>329</v>
      </c>
      <c r="BX628" s="43">
        <v>21</v>
      </c>
      <c r="CG628" s="90">
        <f>M628</f>
        <v>173</v>
      </c>
      <c r="CT628" s="90">
        <f t="shared" si="64"/>
        <v>0</v>
      </c>
      <c r="CU628" s="90">
        <f t="shared" si="65"/>
        <v>173</v>
      </c>
    </row>
    <row r="629" spans="1:99" ht="12" customHeight="1">
      <c r="A629" s="43">
        <v>3943</v>
      </c>
      <c r="B629" s="89" t="s">
        <v>1515</v>
      </c>
      <c r="C629" s="89" t="s">
        <v>1783</v>
      </c>
      <c r="D629" s="89" t="s">
        <v>995</v>
      </c>
      <c r="E629" s="89" t="s">
        <v>1787</v>
      </c>
      <c r="F629" s="43">
        <v>529575</v>
      </c>
      <c r="G629" s="43">
        <v>177401</v>
      </c>
      <c r="H629" s="89" t="s">
        <v>148</v>
      </c>
      <c r="I629" s="125">
        <v>41456</v>
      </c>
      <c r="K629" s="140">
        <v>0</v>
      </c>
      <c r="L629" s="140">
        <v>18</v>
      </c>
      <c r="M629" s="140">
        <v>18</v>
      </c>
      <c r="N629" s="140">
        <v>1950</v>
      </c>
      <c r="O629" s="140">
        <v>1950</v>
      </c>
      <c r="P629" s="43" t="s">
        <v>329</v>
      </c>
      <c r="Q629" s="89" t="s">
        <v>1785</v>
      </c>
      <c r="R629" s="43" t="s">
        <v>360</v>
      </c>
      <c r="S629" s="125">
        <v>43080</v>
      </c>
      <c r="T629" s="117">
        <v>43552</v>
      </c>
      <c r="V629" s="43" t="s">
        <v>317</v>
      </c>
      <c r="X629" s="43" t="s">
        <v>318</v>
      </c>
      <c r="Y629" s="43" t="s">
        <v>361</v>
      </c>
      <c r="Z629" s="43" t="s">
        <v>361</v>
      </c>
      <c r="AA629" s="43" t="s">
        <v>320</v>
      </c>
      <c r="AB629" s="144">
        <v>1.7999999225139601E-2</v>
      </c>
      <c r="AF629" s="43" t="s">
        <v>55</v>
      </c>
      <c r="AG629" s="43" t="s">
        <v>457</v>
      </c>
      <c r="AH629" s="43" t="s">
        <v>999</v>
      </c>
      <c r="AJ629" s="140">
        <v>0</v>
      </c>
      <c r="AK629" s="140">
        <v>16</v>
      </c>
      <c r="AL629" s="140">
        <v>0</v>
      </c>
      <c r="AM629" s="140">
        <v>2</v>
      </c>
      <c r="AN629" s="140">
        <v>0</v>
      </c>
      <c r="AO629" s="140">
        <v>7</v>
      </c>
      <c r="AP629" s="140">
        <v>6</v>
      </c>
      <c r="AQ629" s="140">
        <v>4</v>
      </c>
      <c r="AR629" s="140">
        <v>1</v>
      </c>
      <c r="AS629" s="140">
        <v>0</v>
      </c>
      <c r="AT629" s="140">
        <v>0</v>
      </c>
      <c r="AU629" s="140">
        <v>0</v>
      </c>
      <c r="AV629" s="140">
        <v>7</v>
      </c>
      <c r="AW629" s="140">
        <v>6</v>
      </c>
      <c r="AX629" s="140">
        <v>4</v>
      </c>
      <c r="AY629" s="140">
        <v>1</v>
      </c>
      <c r="AZ629" s="140">
        <v>0</v>
      </c>
      <c r="BA629" s="140">
        <v>0</v>
      </c>
      <c r="BB629" s="140">
        <v>0</v>
      </c>
      <c r="BC629" s="140">
        <v>0</v>
      </c>
      <c r="BD629" s="140">
        <v>0</v>
      </c>
      <c r="BE629" s="140">
        <v>0</v>
      </c>
      <c r="BF629" s="140">
        <v>0</v>
      </c>
      <c r="BG629" s="140">
        <v>0</v>
      </c>
      <c r="BH629" s="140">
        <v>0</v>
      </c>
      <c r="BI629" s="140">
        <v>0</v>
      </c>
      <c r="BJ629" s="140">
        <v>0</v>
      </c>
      <c r="BK629" s="140">
        <v>0</v>
      </c>
      <c r="BL629" s="140">
        <v>0</v>
      </c>
      <c r="BM629" s="140">
        <v>0</v>
      </c>
      <c r="BN629" s="140">
        <v>0</v>
      </c>
      <c r="BO629" s="140">
        <v>0</v>
      </c>
      <c r="BQ629" s="43" t="s">
        <v>329</v>
      </c>
      <c r="BX629" s="43">
        <v>21</v>
      </c>
      <c r="CG629" s="90">
        <f>M629</f>
        <v>18</v>
      </c>
      <c r="CT629" s="90">
        <f t="shared" si="64"/>
        <v>0</v>
      </c>
      <c r="CU629" s="90">
        <f t="shared" si="65"/>
        <v>18</v>
      </c>
    </row>
    <row r="630" spans="1:99" ht="12" customHeight="1">
      <c r="A630" s="43">
        <v>3943</v>
      </c>
      <c r="B630" s="89" t="s">
        <v>1515</v>
      </c>
      <c r="C630" s="89" t="s">
        <v>1783</v>
      </c>
      <c r="D630" s="89" t="s">
        <v>995</v>
      </c>
      <c r="E630" s="89" t="s">
        <v>1787</v>
      </c>
      <c r="F630" s="43">
        <v>529575</v>
      </c>
      <c r="G630" s="43">
        <v>177401</v>
      </c>
      <c r="H630" s="89" t="s">
        <v>148</v>
      </c>
      <c r="I630" s="125">
        <v>41456</v>
      </c>
      <c r="K630" s="140">
        <v>0</v>
      </c>
      <c r="L630" s="140">
        <v>11</v>
      </c>
      <c r="M630" s="140">
        <v>11</v>
      </c>
      <c r="N630" s="140">
        <v>1950</v>
      </c>
      <c r="O630" s="140">
        <v>1950</v>
      </c>
      <c r="P630" s="43" t="s">
        <v>329</v>
      </c>
      <c r="Q630" s="89" t="s">
        <v>1785</v>
      </c>
      <c r="R630" s="43" t="s">
        <v>360</v>
      </c>
      <c r="S630" s="125">
        <v>43080</v>
      </c>
      <c r="T630" s="117">
        <v>43552</v>
      </c>
      <c r="V630" s="43" t="s">
        <v>317</v>
      </c>
      <c r="X630" s="43" t="s">
        <v>318</v>
      </c>
      <c r="Y630" s="43" t="s">
        <v>361</v>
      </c>
      <c r="Z630" s="43" t="s">
        <v>361</v>
      </c>
      <c r="AA630" s="43" t="s">
        <v>320</v>
      </c>
      <c r="AB630" s="144">
        <v>1.09999999403954E-2</v>
      </c>
      <c r="AF630" s="43" t="s">
        <v>54</v>
      </c>
      <c r="AG630" s="43" t="s">
        <v>399</v>
      </c>
      <c r="AH630" s="43" t="s">
        <v>999</v>
      </c>
      <c r="AJ630" s="140">
        <v>0</v>
      </c>
      <c r="AK630" s="140">
        <v>10</v>
      </c>
      <c r="AL630" s="140">
        <v>0</v>
      </c>
      <c r="AM630" s="140">
        <v>1</v>
      </c>
      <c r="AN630" s="140">
        <v>0</v>
      </c>
      <c r="AO630" s="140">
        <v>4</v>
      </c>
      <c r="AP630" s="140">
        <v>4</v>
      </c>
      <c r="AQ630" s="140">
        <v>2</v>
      </c>
      <c r="AR630" s="140">
        <v>1</v>
      </c>
      <c r="AS630" s="140">
        <v>0</v>
      </c>
      <c r="AT630" s="140">
        <v>0</v>
      </c>
      <c r="AU630" s="140">
        <v>0</v>
      </c>
      <c r="AV630" s="140">
        <v>4</v>
      </c>
      <c r="AW630" s="140">
        <v>4</v>
      </c>
      <c r="AX630" s="140">
        <v>2</v>
      </c>
      <c r="AY630" s="140">
        <v>1</v>
      </c>
      <c r="AZ630" s="140">
        <v>0</v>
      </c>
      <c r="BA630" s="140">
        <v>0</v>
      </c>
      <c r="BB630" s="140">
        <v>0</v>
      </c>
      <c r="BC630" s="140">
        <v>0</v>
      </c>
      <c r="BD630" s="140">
        <v>0</v>
      </c>
      <c r="BE630" s="140">
        <v>0</v>
      </c>
      <c r="BF630" s="140">
        <v>0</v>
      </c>
      <c r="BG630" s="140">
        <v>0</v>
      </c>
      <c r="BH630" s="140">
        <v>0</v>
      </c>
      <c r="BI630" s="140">
        <v>0</v>
      </c>
      <c r="BJ630" s="140">
        <v>0</v>
      </c>
      <c r="BK630" s="140">
        <v>0</v>
      </c>
      <c r="BL630" s="140">
        <v>0</v>
      </c>
      <c r="BM630" s="140">
        <v>0</v>
      </c>
      <c r="BN630" s="140">
        <v>0</v>
      </c>
      <c r="BO630" s="140">
        <v>0</v>
      </c>
      <c r="BQ630" s="43" t="s">
        <v>329</v>
      </c>
      <c r="BX630" s="43">
        <v>21</v>
      </c>
      <c r="CG630" s="90">
        <f>M630</f>
        <v>11</v>
      </c>
      <c r="CT630" s="90">
        <f t="shared" si="64"/>
        <v>0</v>
      </c>
      <c r="CU630" s="90">
        <f t="shared" si="65"/>
        <v>11</v>
      </c>
    </row>
    <row r="631" spans="1:99" ht="12" customHeight="1">
      <c r="A631" s="43">
        <v>3980</v>
      </c>
      <c r="B631" s="89" t="s">
        <v>1515</v>
      </c>
      <c r="C631" s="89" t="s">
        <v>1788</v>
      </c>
      <c r="D631" s="89" t="s">
        <v>1789</v>
      </c>
      <c r="E631" s="89" t="s">
        <v>1790</v>
      </c>
      <c r="F631" s="43">
        <v>526592</v>
      </c>
      <c r="G631" s="43">
        <v>175883</v>
      </c>
      <c r="H631" s="89" t="s">
        <v>177</v>
      </c>
      <c r="K631" s="140">
        <v>0</v>
      </c>
      <c r="L631" s="140">
        <v>83</v>
      </c>
      <c r="M631" s="140">
        <v>83</v>
      </c>
      <c r="N631" s="140">
        <v>136</v>
      </c>
      <c r="O631" s="140">
        <v>136</v>
      </c>
      <c r="P631" s="43" t="s">
        <v>329</v>
      </c>
      <c r="Q631" s="89" t="s">
        <v>1791</v>
      </c>
      <c r="R631" s="43" t="s">
        <v>392</v>
      </c>
      <c r="S631" s="125">
        <v>42788</v>
      </c>
      <c r="T631" s="117">
        <v>43804</v>
      </c>
      <c r="U631" s="43" t="s">
        <v>329</v>
      </c>
      <c r="V631" s="43" t="s">
        <v>317</v>
      </c>
      <c r="X631" s="43" t="s">
        <v>318</v>
      </c>
      <c r="Y631" s="43" t="s">
        <v>361</v>
      </c>
      <c r="Z631" s="43" t="s">
        <v>361</v>
      </c>
      <c r="AA631" s="43" t="s">
        <v>320</v>
      </c>
      <c r="AB631" s="144">
        <v>0.172999992966652</v>
      </c>
      <c r="AF631" s="43" t="s">
        <v>75</v>
      </c>
      <c r="AG631" s="43" t="s">
        <v>322</v>
      </c>
      <c r="AH631" s="43" t="s">
        <v>1792</v>
      </c>
      <c r="AJ631" s="140">
        <v>108</v>
      </c>
      <c r="AK631" s="140">
        <v>55</v>
      </c>
      <c r="AL631" s="140">
        <v>8</v>
      </c>
      <c r="AM631" s="140">
        <v>28</v>
      </c>
      <c r="AN631" s="140">
        <v>0</v>
      </c>
      <c r="AO631" s="140">
        <v>14</v>
      </c>
      <c r="AP631" s="140">
        <v>49</v>
      </c>
      <c r="AQ631" s="140">
        <v>20</v>
      </c>
      <c r="AR631" s="140">
        <v>0</v>
      </c>
      <c r="AS631" s="140">
        <v>0</v>
      </c>
      <c r="AT631" s="140">
        <v>0</v>
      </c>
      <c r="AU631" s="140">
        <v>0</v>
      </c>
      <c r="AV631" s="140">
        <v>14</v>
      </c>
      <c r="AW631" s="140">
        <v>49</v>
      </c>
      <c r="AX631" s="140">
        <v>20</v>
      </c>
      <c r="AY631" s="140">
        <v>0</v>
      </c>
      <c r="AZ631" s="140">
        <v>0</v>
      </c>
      <c r="BA631" s="140">
        <v>0</v>
      </c>
      <c r="BB631" s="140">
        <v>0</v>
      </c>
      <c r="BC631" s="140">
        <v>0</v>
      </c>
      <c r="BD631" s="140">
        <v>0</v>
      </c>
      <c r="BE631" s="140">
        <v>0</v>
      </c>
      <c r="BF631" s="140">
        <v>0</v>
      </c>
      <c r="BG631" s="140">
        <v>0</v>
      </c>
      <c r="BH631" s="140">
        <v>0</v>
      </c>
      <c r="BI631" s="140">
        <v>0</v>
      </c>
      <c r="BJ631" s="140">
        <v>0</v>
      </c>
      <c r="BK631" s="140">
        <v>0</v>
      </c>
      <c r="BL631" s="140">
        <v>0</v>
      </c>
      <c r="BM631" s="140">
        <v>0</v>
      </c>
      <c r="BN631" s="140">
        <v>0</v>
      </c>
      <c r="BO631" s="140">
        <v>0</v>
      </c>
      <c r="BV631" s="43" t="s">
        <v>329</v>
      </c>
      <c r="BX631" s="43">
        <v>7</v>
      </c>
      <c r="CT631" s="90">
        <f t="shared" si="64"/>
        <v>0</v>
      </c>
      <c r="CU631" s="90">
        <f t="shared" si="65"/>
        <v>0</v>
      </c>
    </row>
    <row r="632" spans="1:99" ht="12" customHeight="1">
      <c r="A632" s="43">
        <v>3980</v>
      </c>
      <c r="B632" s="89" t="s">
        <v>1515</v>
      </c>
      <c r="C632" s="89" t="s">
        <v>1788</v>
      </c>
      <c r="D632" s="89" t="s">
        <v>1789</v>
      </c>
      <c r="E632" s="89" t="s">
        <v>1790</v>
      </c>
      <c r="F632" s="43">
        <v>526592</v>
      </c>
      <c r="G632" s="43">
        <v>175883</v>
      </c>
      <c r="H632" s="89" t="s">
        <v>177</v>
      </c>
      <c r="K632" s="140">
        <v>0</v>
      </c>
      <c r="L632" s="140">
        <v>53</v>
      </c>
      <c r="M632" s="140">
        <v>53</v>
      </c>
      <c r="N632" s="140">
        <v>136</v>
      </c>
      <c r="O632" s="140">
        <v>136</v>
      </c>
      <c r="P632" s="43" t="s">
        <v>329</v>
      </c>
      <c r="Q632" s="89" t="s">
        <v>1791</v>
      </c>
      <c r="R632" s="43" t="s">
        <v>392</v>
      </c>
      <c r="S632" s="125">
        <v>42788</v>
      </c>
      <c r="T632" s="117">
        <v>43804</v>
      </c>
      <c r="U632" s="43" t="s">
        <v>329</v>
      </c>
      <c r="V632" s="43" t="s">
        <v>317</v>
      </c>
      <c r="X632" s="43" t="s">
        <v>318</v>
      </c>
      <c r="Y632" s="43" t="s">
        <v>361</v>
      </c>
      <c r="Z632" s="43" t="s">
        <v>361</v>
      </c>
      <c r="AA632" s="43" t="s">
        <v>320</v>
      </c>
      <c r="AB632" s="144">
        <v>8.5000000894069699E-2</v>
      </c>
      <c r="AF632" s="43" t="s">
        <v>54</v>
      </c>
      <c r="AG632" s="43" t="s">
        <v>399</v>
      </c>
      <c r="AH632" s="43" t="s">
        <v>1792</v>
      </c>
      <c r="AJ632" s="140">
        <v>28</v>
      </c>
      <c r="AK632" s="140">
        <v>28</v>
      </c>
      <c r="AL632" s="140">
        <v>6</v>
      </c>
      <c r="AM632" s="140">
        <v>8</v>
      </c>
      <c r="AN632" s="140">
        <v>0</v>
      </c>
      <c r="AO632" s="140">
        <v>22</v>
      </c>
      <c r="AP632" s="140">
        <v>31</v>
      </c>
      <c r="AQ632" s="140">
        <v>0</v>
      </c>
      <c r="AR632" s="140">
        <v>0</v>
      </c>
      <c r="AS632" s="140">
        <v>0</v>
      </c>
      <c r="AT632" s="140">
        <v>0</v>
      </c>
      <c r="AU632" s="140">
        <v>0</v>
      </c>
      <c r="AV632" s="140">
        <v>22</v>
      </c>
      <c r="AW632" s="140">
        <v>31</v>
      </c>
      <c r="AX632" s="140">
        <v>0</v>
      </c>
      <c r="AY632" s="140">
        <v>0</v>
      </c>
      <c r="AZ632" s="140">
        <v>0</v>
      </c>
      <c r="BA632" s="140">
        <v>0</v>
      </c>
      <c r="BB632" s="140">
        <v>0</v>
      </c>
      <c r="BC632" s="140">
        <v>0</v>
      </c>
      <c r="BD632" s="140">
        <v>0</v>
      </c>
      <c r="BE632" s="140">
        <v>0</v>
      </c>
      <c r="BF632" s="140">
        <v>0</v>
      </c>
      <c r="BG632" s="140">
        <v>0</v>
      </c>
      <c r="BH632" s="140">
        <v>0</v>
      </c>
      <c r="BI632" s="140">
        <v>0</v>
      </c>
      <c r="BJ632" s="140">
        <v>0</v>
      </c>
      <c r="BK632" s="140">
        <v>0</v>
      </c>
      <c r="BL632" s="140">
        <v>0</v>
      </c>
      <c r="BM632" s="140">
        <v>0</v>
      </c>
      <c r="BN632" s="140">
        <v>0</v>
      </c>
      <c r="BO632" s="140">
        <v>0</v>
      </c>
      <c r="BV632" s="43" t="s">
        <v>329</v>
      </c>
      <c r="BX632" s="43">
        <v>7</v>
      </c>
      <c r="CT632" s="90">
        <f t="shared" si="64"/>
        <v>0</v>
      </c>
      <c r="CU632" s="90">
        <f t="shared" si="65"/>
        <v>0</v>
      </c>
    </row>
    <row r="633" spans="1:99" ht="12" customHeight="1">
      <c r="A633" s="43">
        <v>4041</v>
      </c>
      <c r="B633" s="89" t="s">
        <v>1515</v>
      </c>
      <c r="C633" s="89" t="s">
        <v>1793</v>
      </c>
      <c r="D633" s="89" t="s">
        <v>1794</v>
      </c>
      <c r="F633" s="43">
        <v>527736</v>
      </c>
      <c r="G633" s="43">
        <v>171203</v>
      </c>
      <c r="H633" s="89" t="s">
        <v>172</v>
      </c>
      <c r="K633" s="140">
        <v>1</v>
      </c>
      <c r="L633" s="140">
        <v>2</v>
      </c>
      <c r="M633" s="140">
        <v>1</v>
      </c>
      <c r="N633" s="140">
        <v>2</v>
      </c>
      <c r="O633" s="140">
        <v>1</v>
      </c>
      <c r="Q633" s="89" t="s">
        <v>1795</v>
      </c>
      <c r="R633" s="43" t="s">
        <v>316</v>
      </c>
      <c r="S633" s="125">
        <v>43535</v>
      </c>
      <c r="T633" s="117">
        <v>43581</v>
      </c>
      <c r="U633" s="43" t="s">
        <v>329</v>
      </c>
      <c r="V633" s="43" t="s">
        <v>317</v>
      </c>
      <c r="X633" s="43" t="s">
        <v>318</v>
      </c>
      <c r="Y633" s="43" t="s">
        <v>319</v>
      </c>
      <c r="Z633" s="43" t="s">
        <v>320</v>
      </c>
      <c r="AA633" s="43" t="s">
        <v>321</v>
      </c>
      <c r="AB633" s="144">
        <v>4.9999998882412902E-3</v>
      </c>
      <c r="AF633" s="43" t="s">
        <v>75</v>
      </c>
      <c r="AG633" s="43" t="s">
        <v>322</v>
      </c>
      <c r="AJ633" s="140">
        <v>0</v>
      </c>
      <c r="AK633" s="140">
        <v>0</v>
      </c>
      <c r="AL633" s="140">
        <v>0</v>
      </c>
      <c r="AM633" s="140">
        <v>0</v>
      </c>
      <c r="AN633" s="140">
        <v>0</v>
      </c>
      <c r="AO633" s="140">
        <v>2</v>
      </c>
      <c r="AP633" s="140">
        <v>0</v>
      </c>
      <c r="AQ633" s="140">
        <v>-1</v>
      </c>
      <c r="AR633" s="140">
        <v>0</v>
      </c>
      <c r="AS633" s="140">
        <v>0</v>
      </c>
      <c r="AT633" s="140">
        <v>0</v>
      </c>
      <c r="AU633" s="140">
        <v>0</v>
      </c>
      <c r="AV633" s="140">
        <v>2</v>
      </c>
      <c r="AW633" s="140">
        <v>0</v>
      </c>
      <c r="AX633" s="140">
        <v>-1</v>
      </c>
      <c r="AY633" s="140">
        <v>0</v>
      </c>
      <c r="AZ633" s="140">
        <v>0</v>
      </c>
      <c r="BA633" s="140">
        <v>0</v>
      </c>
      <c r="BB633" s="140">
        <v>0</v>
      </c>
      <c r="BC633" s="140">
        <v>0</v>
      </c>
      <c r="BD633" s="140">
        <v>0</v>
      </c>
      <c r="BE633" s="140">
        <v>0</v>
      </c>
      <c r="BF633" s="140">
        <v>0</v>
      </c>
      <c r="BG633" s="140">
        <v>0</v>
      </c>
      <c r="BH633" s="140">
        <v>0</v>
      </c>
      <c r="BI633" s="140">
        <v>0</v>
      </c>
      <c r="BJ633" s="140">
        <v>0</v>
      </c>
      <c r="BK633" s="140">
        <v>0</v>
      </c>
      <c r="BL633" s="140">
        <v>0</v>
      </c>
      <c r="BM633" s="140">
        <v>0</v>
      </c>
      <c r="BN633" s="140">
        <v>0</v>
      </c>
      <c r="BO633" s="140">
        <v>0</v>
      </c>
      <c r="BP633" s="43" t="s">
        <v>141</v>
      </c>
      <c r="BX633" s="43">
        <v>15</v>
      </c>
      <c r="BZ633" s="90">
        <f t="shared" ref="BZ633:CB642" si="68">$M633/3</f>
        <v>0.33333333333333331</v>
      </c>
      <c r="CA633" s="90">
        <f t="shared" si="68"/>
        <v>0.33333333333333331</v>
      </c>
      <c r="CB633" s="90">
        <f t="shared" si="68"/>
        <v>0.33333333333333331</v>
      </c>
      <c r="CT633" s="90">
        <f t="shared" si="64"/>
        <v>1</v>
      </c>
      <c r="CU633" s="90">
        <f t="shared" si="65"/>
        <v>1</v>
      </c>
    </row>
    <row r="634" spans="1:99" ht="12" customHeight="1">
      <c r="A634" s="43">
        <v>4041</v>
      </c>
      <c r="B634" s="89" t="s">
        <v>1515</v>
      </c>
      <c r="C634" s="89" t="s">
        <v>1796</v>
      </c>
      <c r="D634" s="89" t="s">
        <v>1794</v>
      </c>
      <c r="F634" s="43">
        <v>527736</v>
      </c>
      <c r="G634" s="43">
        <v>171203</v>
      </c>
      <c r="H634" s="89" t="s">
        <v>172</v>
      </c>
      <c r="K634" s="140">
        <v>0</v>
      </c>
      <c r="L634" s="140">
        <v>1</v>
      </c>
      <c r="M634" s="140">
        <v>1</v>
      </c>
      <c r="N634" s="140">
        <v>2</v>
      </c>
      <c r="O634" s="140">
        <v>1</v>
      </c>
      <c r="Q634" s="89" t="s">
        <v>1797</v>
      </c>
      <c r="R634" s="43" t="s">
        <v>316</v>
      </c>
      <c r="S634" s="125">
        <v>43691</v>
      </c>
      <c r="T634" s="117">
        <v>43791</v>
      </c>
      <c r="U634" s="43" t="s">
        <v>329</v>
      </c>
      <c r="V634" s="43" t="s">
        <v>317</v>
      </c>
      <c r="X634" s="43" t="s">
        <v>318</v>
      </c>
      <c r="Y634" s="43" t="s">
        <v>319</v>
      </c>
      <c r="Z634" s="43" t="s">
        <v>320</v>
      </c>
      <c r="AA634" s="43" t="s">
        <v>36</v>
      </c>
      <c r="AB634" s="144">
        <v>2.0000000949949E-3</v>
      </c>
      <c r="AF634" s="43" t="s">
        <v>75</v>
      </c>
      <c r="AG634" s="43" t="s">
        <v>322</v>
      </c>
      <c r="AJ634" s="140">
        <v>0</v>
      </c>
      <c r="AK634" s="140">
        <v>0</v>
      </c>
      <c r="AL634" s="140">
        <v>0</v>
      </c>
      <c r="AM634" s="140">
        <v>0</v>
      </c>
      <c r="AN634" s="140">
        <v>0</v>
      </c>
      <c r="AO634" s="140">
        <v>0</v>
      </c>
      <c r="AP634" s="140">
        <v>1</v>
      </c>
      <c r="AQ634" s="140">
        <v>0</v>
      </c>
      <c r="AR634" s="140">
        <v>0</v>
      </c>
      <c r="AS634" s="140">
        <v>0</v>
      </c>
      <c r="AT634" s="140">
        <v>0</v>
      </c>
      <c r="AU634" s="140">
        <v>0</v>
      </c>
      <c r="AV634" s="140">
        <v>0</v>
      </c>
      <c r="AW634" s="140">
        <v>1</v>
      </c>
      <c r="AX634" s="140">
        <v>0</v>
      </c>
      <c r="AY634" s="140">
        <v>0</v>
      </c>
      <c r="AZ634" s="140">
        <v>0</v>
      </c>
      <c r="BA634" s="140">
        <v>0</v>
      </c>
      <c r="BB634" s="140">
        <v>0</v>
      </c>
      <c r="BC634" s="140">
        <v>0</v>
      </c>
      <c r="BD634" s="140">
        <v>0</v>
      </c>
      <c r="BE634" s="140">
        <v>0</v>
      </c>
      <c r="BF634" s="140">
        <v>0</v>
      </c>
      <c r="BG634" s="140">
        <v>0</v>
      </c>
      <c r="BH634" s="140">
        <v>0</v>
      </c>
      <c r="BI634" s="140">
        <v>0</v>
      </c>
      <c r="BJ634" s="140">
        <v>0</v>
      </c>
      <c r="BK634" s="140">
        <v>0</v>
      </c>
      <c r="BL634" s="140">
        <v>0</v>
      </c>
      <c r="BM634" s="140">
        <v>0</v>
      </c>
      <c r="BN634" s="140">
        <v>0</v>
      </c>
      <c r="BO634" s="140">
        <v>0</v>
      </c>
      <c r="BP634" s="43" t="s">
        <v>141</v>
      </c>
      <c r="BX634" s="43">
        <v>15</v>
      </c>
      <c r="BZ634" s="90">
        <f t="shared" si="68"/>
        <v>0.33333333333333331</v>
      </c>
      <c r="CA634" s="90">
        <f t="shared" si="68"/>
        <v>0.33333333333333331</v>
      </c>
      <c r="CB634" s="90">
        <f t="shared" si="68"/>
        <v>0.33333333333333331</v>
      </c>
      <c r="CT634" s="90">
        <f t="shared" si="64"/>
        <v>1</v>
      </c>
      <c r="CU634" s="90">
        <f t="shared" si="65"/>
        <v>1</v>
      </c>
    </row>
    <row r="635" spans="1:99" ht="12" customHeight="1">
      <c r="A635" s="43">
        <v>4041</v>
      </c>
      <c r="B635" s="89" t="s">
        <v>1515</v>
      </c>
      <c r="C635" s="89" t="s">
        <v>1796</v>
      </c>
      <c r="D635" s="89" t="s">
        <v>1794</v>
      </c>
      <c r="F635" s="43">
        <v>527736</v>
      </c>
      <c r="G635" s="43">
        <v>171203</v>
      </c>
      <c r="H635" s="89" t="s">
        <v>172</v>
      </c>
      <c r="K635" s="140">
        <v>1</v>
      </c>
      <c r="L635" s="140">
        <v>1</v>
      </c>
      <c r="M635" s="140">
        <v>0</v>
      </c>
      <c r="N635" s="140">
        <v>2</v>
      </c>
      <c r="O635" s="140">
        <v>1</v>
      </c>
      <c r="Q635" s="89" t="s">
        <v>1797</v>
      </c>
      <c r="R635" s="43" t="s">
        <v>316</v>
      </c>
      <c r="S635" s="125">
        <v>43691</v>
      </c>
      <c r="T635" s="117">
        <v>43791</v>
      </c>
      <c r="U635" s="43" t="s">
        <v>329</v>
      </c>
      <c r="V635" s="43" t="s">
        <v>317</v>
      </c>
      <c r="X635" s="43" t="s">
        <v>318</v>
      </c>
      <c r="Y635" s="43" t="s">
        <v>319</v>
      </c>
      <c r="Z635" s="43" t="s">
        <v>320</v>
      </c>
      <c r="AA635" s="43" t="s">
        <v>340</v>
      </c>
      <c r="AB635" s="144">
        <v>3.0000000260770299E-3</v>
      </c>
      <c r="AF635" s="43" t="s">
        <v>75</v>
      </c>
      <c r="AG635" s="43" t="s">
        <v>322</v>
      </c>
      <c r="AJ635" s="140">
        <v>0</v>
      </c>
      <c r="AK635" s="140">
        <v>0</v>
      </c>
      <c r="AL635" s="140">
        <v>0</v>
      </c>
      <c r="AM635" s="140">
        <v>0</v>
      </c>
      <c r="AN635" s="140">
        <v>0</v>
      </c>
      <c r="AO635" s="140">
        <v>0</v>
      </c>
      <c r="AP635" s="140">
        <v>0</v>
      </c>
      <c r="AQ635" s="140">
        <v>1</v>
      </c>
      <c r="AR635" s="140">
        <v>-1</v>
      </c>
      <c r="AS635" s="140">
        <v>0</v>
      </c>
      <c r="AT635" s="140">
        <v>0</v>
      </c>
      <c r="AU635" s="140">
        <v>0</v>
      </c>
      <c r="AV635" s="140">
        <v>0</v>
      </c>
      <c r="AW635" s="140">
        <v>0</v>
      </c>
      <c r="AX635" s="140">
        <v>1</v>
      </c>
      <c r="AY635" s="140">
        <v>-1</v>
      </c>
      <c r="AZ635" s="140">
        <v>0</v>
      </c>
      <c r="BA635" s="140">
        <v>0</v>
      </c>
      <c r="BB635" s="140">
        <v>0</v>
      </c>
      <c r="BC635" s="140">
        <v>0</v>
      </c>
      <c r="BD635" s="140">
        <v>0</v>
      </c>
      <c r="BE635" s="140">
        <v>0</v>
      </c>
      <c r="BF635" s="140">
        <v>0</v>
      </c>
      <c r="BG635" s="140">
        <v>0</v>
      </c>
      <c r="BH635" s="140">
        <v>0</v>
      </c>
      <c r="BI635" s="140">
        <v>0</v>
      </c>
      <c r="BJ635" s="140">
        <v>0</v>
      </c>
      <c r="BK635" s="140">
        <v>0</v>
      </c>
      <c r="BL635" s="140">
        <v>0</v>
      </c>
      <c r="BM635" s="140">
        <v>0</v>
      </c>
      <c r="BN635" s="140">
        <v>0</v>
      </c>
      <c r="BO635" s="140">
        <v>0</v>
      </c>
      <c r="BP635" s="43" t="s">
        <v>141</v>
      </c>
      <c r="BX635" s="43">
        <v>15</v>
      </c>
      <c r="BZ635" s="90">
        <f t="shared" si="68"/>
        <v>0</v>
      </c>
      <c r="CA635" s="90">
        <f t="shared" si="68"/>
        <v>0</v>
      </c>
      <c r="CB635" s="90">
        <f t="shared" si="68"/>
        <v>0</v>
      </c>
      <c r="CT635" s="90">
        <f t="shared" si="64"/>
        <v>0</v>
      </c>
      <c r="CU635" s="90">
        <f t="shared" si="65"/>
        <v>0</v>
      </c>
    </row>
    <row r="636" spans="1:99" ht="12" customHeight="1">
      <c r="A636" s="43">
        <v>4056</v>
      </c>
      <c r="B636" s="89" t="s">
        <v>1515</v>
      </c>
      <c r="C636" s="89" t="s">
        <v>1798</v>
      </c>
      <c r="D636" s="89" t="s">
        <v>1799</v>
      </c>
      <c r="F636" s="43">
        <v>527655</v>
      </c>
      <c r="G636" s="43">
        <v>174876</v>
      </c>
      <c r="H636" s="89" t="s">
        <v>174</v>
      </c>
      <c r="K636" s="140">
        <v>0</v>
      </c>
      <c r="L636" s="140">
        <v>1</v>
      </c>
      <c r="M636" s="140">
        <v>1</v>
      </c>
      <c r="N636" s="140">
        <v>1</v>
      </c>
      <c r="O636" s="140">
        <v>1</v>
      </c>
      <c r="Q636" s="89" t="s">
        <v>1800</v>
      </c>
      <c r="R636" s="43" t="s">
        <v>620</v>
      </c>
      <c r="S636" s="125">
        <v>42748</v>
      </c>
      <c r="T636" s="117">
        <v>42804</v>
      </c>
      <c r="V636" s="43" t="s">
        <v>317</v>
      </c>
      <c r="X636" s="43" t="s">
        <v>318</v>
      </c>
      <c r="Y636" s="43" t="s">
        <v>336</v>
      </c>
      <c r="Z636" s="43" t="s">
        <v>320</v>
      </c>
      <c r="AA636" s="43" t="s">
        <v>33</v>
      </c>
      <c r="AB636" s="144">
        <v>2.0000000949949E-3</v>
      </c>
      <c r="AF636" s="43" t="s">
        <v>75</v>
      </c>
      <c r="AG636" s="43" t="s">
        <v>322</v>
      </c>
      <c r="AJ636" s="140">
        <v>0</v>
      </c>
      <c r="AK636" s="140">
        <v>0</v>
      </c>
      <c r="AL636" s="140">
        <v>0</v>
      </c>
      <c r="AM636" s="140">
        <v>0</v>
      </c>
      <c r="AN636" s="140">
        <v>1</v>
      </c>
      <c r="AO636" s="140">
        <v>0</v>
      </c>
      <c r="AP636" s="140">
        <v>0</v>
      </c>
      <c r="AQ636" s="140">
        <v>0</v>
      </c>
      <c r="AR636" s="140">
        <v>0</v>
      </c>
      <c r="AS636" s="140">
        <v>0</v>
      </c>
      <c r="AT636" s="140">
        <v>0</v>
      </c>
      <c r="AU636" s="140">
        <v>1</v>
      </c>
      <c r="AV636" s="140">
        <v>0</v>
      </c>
      <c r="AW636" s="140">
        <v>0</v>
      </c>
      <c r="AX636" s="140">
        <v>0</v>
      </c>
      <c r="AY636" s="140">
        <v>0</v>
      </c>
      <c r="AZ636" s="140">
        <v>0</v>
      </c>
      <c r="BA636" s="140">
        <v>0</v>
      </c>
      <c r="BB636" s="140">
        <v>0</v>
      </c>
      <c r="BC636" s="140">
        <v>0</v>
      </c>
      <c r="BD636" s="140">
        <v>0</v>
      </c>
      <c r="BE636" s="140">
        <v>0</v>
      </c>
      <c r="BF636" s="140">
        <v>0</v>
      </c>
      <c r="BG636" s="140">
        <v>0</v>
      </c>
      <c r="BH636" s="140">
        <v>0</v>
      </c>
      <c r="BI636" s="140">
        <v>0</v>
      </c>
      <c r="BJ636" s="140">
        <v>0</v>
      </c>
      <c r="BK636" s="140">
        <v>0</v>
      </c>
      <c r="BL636" s="140">
        <v>0</v>
      </c>
      <c r="BM636" s="140">
        <v>0</v>
      </c>
      <c r="BN636" s="140">
        <v>0</v>
      </c>
      <c r="BO636" s="140">
        <v>0</v>
      </c>
      <c r="BX636" s="43">
        <v>15</v>
      </c>
      <c r="BZ636" s="90">
        <f t="shared" si="68"/>
        <v>0.33333333333333331</v>
      </c>
      <c r="CA636" s="90">
        <f t="shared" si="68"/>
        <v>0.33333333333333331</v>
      </c>
      <c r="CB636" s="90">
        <f t="shared" si="68"/>
        <v>0.33333333333333331</v>
      </c>
      <c r="CT636" s="90">
        <f t="shared" si="64"/>
        <v>1</v>
      </c>
      <c r="CU636" s="90">
        <f t="shared" si="65"/>
        <v>1</v>
      </c>
    </row>
    <row r="637" spans="1:99" ht="12" customHeight="1">
      <c r="A637" s="43">
        <v>4076</v>
      </c>
      <c r="B637" s="89" t="s">
        <v>1515</v>
      </c>
      <c r="C637" s="89" t="s">
        <v>1801</v>
      </c>
      <c r="D637" s="89" t="s">
        <v>1802</v>
      </c>
      <c r="F637" s="43">
        <v>522446</v>
      </c>
      <c r="G637" s="43">
        <v>175417</v>
      </c>
      <c r="H637" s="89" t="s">
        <v>181</v>
      </c>
      <c r="K637" s="140">
        <v>1</v>
      </c>
      <c r="L637" s="140">
        <v>1</v>
      </c>
      <c r="M637" s="140">
        <v>0</v>
      </c>
      <c r="N637" s="140">
        <v>2</v>
      </c>
      <c r="O637" s="140">
        <v>1</v>
      </c>
      <c r="Q637" s="89" t="s">
        <v>1803</v>
      </c>
      <c r="R637" s="43" t="s">
        <v>316</v>
      </c>
      <c r="S637" s="125">
        <v>43839</v>
      </c>
      <c r="T637" s="117">
        <v>43878</v>
      </c>
      <c r="U637" s="43" t="s">
        <v>329</v>
      </c>
      <c r="V637" s="43" t="s">
        <v>317</v>
      </c>
      <c r="X637" s="43" t="s">
        <v>318</v>
      </c>
      <c r="Y637" s="43" t="s">
        <v>319</v>
      </c>
      <c r="Z637" s="43" t="s">
        <v>320</v>
      </c>
      <c r="AA637" s="43" t="s">
        <v>321</v>
      </c>
      <c r="AB637" s="144">
        <v>6.0000000521540598E-3</v>
      </c>
      <c r="AF637" s="43" t="s">
        <v>75</v>
      </c>
      <c r="AG637" s="43" t="s">
        <v>322</v>
      </c>
      <c r="AJ637" s="140">
        <v>0</v>
      </c>
      <c r="AK637" s="140">
        <v>0</v>
      </c>
      <c r="AL637" s="140">
        <v>0</v>
      </c>
      <c r="AM637" s="140">
        <v>0</v>
      </c>
      <c r="AN637" s="140">
        <v>0</v>
      </c>
      <c r="AO637" s="140">
        <v>0</v>
      </c>
      <c r="AP637" s="140">
        <v>-1</v>
      </c>
      <c r="AQ637" s="140">
        <v>1</v>
      </c>
      <c r="AR637" s="140">
        <v>0</v>
      </c>
      <c r="AS637" s="140">
        <v>0</v>
      </c>
      <c r="AT637" s="140">
        <v>0</v>
      </c>
      <c r="AU637" s="140">
        <v>0</v>
      </c>
      <c r="AV637" s="140">
        <v>0</v>
      </c>
      <c r="AW637" s="140">
        <v>-1</v>
      </c>
      <c r="AX637" s="140">
        <v>1</v>
      </c>
      <c r="AY637" s="140">
        <v>0</v>
      </c>
      <c r="AZ637" s="140">
        <v>0</v>
      </c>
      <c r="BA637" s="140">
        <v>0</v>
      </c>
      <c r="BB637" s="140">
        <v>0</v>
      </c>
      <c r="BC637" s="140">
        <v>0</v>
      </c>
      <c r="BD637" s="140">
        <v>0</v>
      </c>
      <c r="BE637" s="140">
        <v>0</v>
      </c>
      <c r="BF637" s="140">
        <v>0</v>
      </c>
      <c r="BG637" s="140">
        <v>0</v>
      </c>
      <c r="BH637" s="140">
        <v>0</v>
      </c>
      <c r="BI637" s="140">
        <v>0</v>
      </c>
      <c r="BJ637" s="140">
        <v>0</v>
      </c>
      <c r="BK637" s="140">
        <v>0</v>
      </c>
      <c r="BL637" s="140">
        <v>0</v>
      </c>
      <c r="BM637" s="140">
        <v>0</v>
      </c>
      <c r="BN637" s="140">
        <v>0</v>
      </c>
      <c r="BO637" s="140">
        <v>0</v>
      </c>
      <c r="BX637" s="43">
        <v>15</v>
      </c>
      <c r="BZ637" s="90">
        <f t="shared" si="68"/>
        <v>0</v>
      </c>
      <c r="CA637" s="90">
        <f t="shared" si="68"/>
        <v>0</v>
      </c>
      <c r="CB637" s="90">
        <f t="shared" si="68"/>
        <v>0</v>
      </c>
      <c r="CT637" s="90">
        <f t="shared" si="64"/>
        <v>0</v>
      </c>
      <c r="CU637" s="90">
        <f t="shared" si="65"/>
        <v>0</v>
      </c>
    </row>
    <row r="638" spans="1:99" ht="12" customHeight="1">
      <c r="A638" s="43">
        <v>4076</v>
      </c>
      <c r="B638" s="89" t="s">
        <v>1515</v>
      </c>
      <c r="C638" s="89" t="s">
        <v>1801</v>
      </c>
      <c r="D638" s="89" t="s">
        <v>1802</v>
      </c>
      <c r="F638" s="43">
        <v>522446</v>
      </c>
      <c r="G638" s="43">
        <v>175417</v>
      </c>
      <c r="H638" s="89" t="s">
        <v>181</v>
      </c>
      <c r="K638" s="140">
        <v>0</v>
      </c>
      <c r="L638" s="140">
        <v>1</v>
      </c>
      <c r="M638" s="140">
        <v>1</v>
      </c>
      <c r="N638" s="140">
        <v>2</v>
      </c>
      <c r="O638" s="140">
        <v>1</v>
      </c>
      <c r="Q638" s="89" t="s">
        <v>1803</v>
      </c>
      <c r="R638" s="43" t="s">
        <v>316</v>
      </c>
      <c r="S638" s="125">
        <v>43839</v>
      </c>
      <c r="T638" s="117">
        <v>43878</v>
      </c>
      <c r="U638" s="43" t="s">
        <v>329</v>
      </c>
      <c r="V638" s="43" t="s">
        <v>317</v>
      </c>
      <c r="X638" s="43" t="s">
        <v>318</v>
      </c>
      <c r="Y638" s="43" t="s">
        <v>319</v>
      </c>
      <c r="Z638" s="43" t="s">
        <v>320</v>
      </c>
      <c r="AA638" s="43" t="s">
        <v>33</v>
      </c>
      <c r="AB638" s="144">
        <v>4.9999998882412902E-3</v>
      </c>
      <c r="AF638" s="43" t="s">
        <v>75</v>
      </c>
      <c r="AG638" s="43" t="s">
        <v>322</v>
      </c>
      <c r="AJ638" s="140">
        <v>0</v>
      </c>
      <c r="AK638" s="140">
        <v>0</v>
      </c>
      <c r="AL638" s="140">
        <v>0</v>
      </c>
      <c r="AM638" s="140">
        <v>0</v>
      </c>
      <c r="AN638" s="140">
        <v>0</v>
      </c>
      <c r="AO638" s="140">
        <v>0</v>
      </c>
      <c r="AP638" s="140">
        <v>1</v>
      </c>
      <c r="AQ638" s="140">
        <v>0</v>
      </c>
      <c r="AR638" s="140">
        <v>0</v>
      </c>
      <c r="AS638" s="140">
        <v>0</v>
      </c>
      <c r="AT638" s="140">
        <v>0</v>
      </c>
      <c r="AU638" s="140">
        <v>0</v>
      </c>
      <c r="AV638" s="140">
        <v>0</v>
      </c>
      <c r="AW638" s="140">
        <v>0</v>
      </c>
      <c r="AX638" s="140">
        <v>0</v>
      </c>
      <c r="AY638" s="140">
        <v>0</v>
      </c>
      <c r="AZ638" s="140">
        <v>0</v>
      </c>
      <c r="BA638" s="140">
        <v>0</v>
      </c>
      <c r="BB638" s="140">
        <v>0</v>
      </c>
      <c r="BC638" s="140">
        <v>0</v>
      </c>
      <c r="BD638" s="140">
        <v>1</v>
      </c>
      <c r="BE638" s="140">
        <v>0</v>
      </c>
      <c r="BF638" s="140">
        <v>0</v>
      </c>
      <c r="BG638" s="140">
        <v>0</v>
      </c>
      <c r="BH638" s="140">
        <v>0</v>
      </c>
      <c r="BI638" s="140">
        <v>0</v>
      </c>
      <c r="BJ638" s="140">
        <v>0</v>
      </c>
      <c r="BK638" s="140">
        <v>0</v>
      </c>
      <c r="BL638" s="140">
        <v>0</v>
      </c>
      <c r="BM638" s="140">
        <v>0</v>
      </c>
      <c r="BN638" s="140">
        <v>0</v>
      </c>
      <c r="BO638" s="140">
        <v>0</v>
      </c>
      <c r="BX638" s="43">
        <v>15</v>
      </c>
      <c r="BZ638" s="90">
        <f t="shared" si="68"/>
        <v>0.33333333333333331</v>
      </c>
      <c r="CA638" s="90">
        <f t="shared" si="68"/>
        <v>0.33333333333333331</v>
      </c>
      <c r="CB638" s="90">
        <f t="shared" si="68"/>
        <v>0.33333333333333331</v>
      </c>
      <c r="CT638" s="90">
        <f t="shared" si="64"/>
        <v>1</v>
      </c>
      <c r="CU638" s="90">
        <f t="shared" si="65"/>
        <v>1</v>
      </c>
    </row>
    <row r="639" spans="1:99" ht="12" customHeight="1">
      <c r="A639" s="43">
        <v>4084</v>
      </c>
      <c r="B639" s="89" t="s">
        <v>1515</v>
      </c>
      <c r="C639" s="89" t="s">
        <v>1804</v>
      </c>
      <c r="D639" s="89" t="s">
        <v>1805</v>
      </c>
      <c r="F639" s="43">
        <v>527971</v>
      </c>
      <c r="G639" s="43">
        <v>172408</v>
      </c>
      <c r="H639" s="89" t="s">
        <v>173</v>
      </c>
      <c r="I639" s="125">
        <v>43210</v>
      </c>
      <c r="K639" s="140">
        <v>0</v>
      </c>
      <c r="L639" s="140">
        <v>1</v>
      </c>
      <c r="M639" s="140">
        <v>1</v>
      </c>
      <c r="N639" s="140">
        <v>3</v>
      </c>
      <c r="O639" s="140">
        <v>2</v>
      </c>
      <c r="Q639" s="89" t="s">
        <v>1806</v>
      </c>
      <c r="R639" s="43" t="s">
        <v>316</v>
      </c>
      <c r="S639" s="125">
        <v>43115</v>
      </c>
      <c r="T639" s="117">
        <v>43210</v>
      </c>
      <c r="V639" s="43" t="s">
        <v>317</v>
      </c>
      <c r="X639" s="43" t="s">
        <v>318</v>
      </c>
      <c r="Y639" s="43" t="s">
        <v>319</v>
      </c>
      <c r="Z639" s="43" t="s">
        <v>320</v>
      </c>
      <c r="AA639" s="43" t="s">
        <v>353</v>
      </c>
      <c r="AB639" s="144">
        <v>3.0000000260770299E-3</v>
      </c>
      <c r="AF639" s="43" t="s">
        <v>75</v>
      </c>
      <c r="AG639" s="43" t="s">
        <v>322</v>
      </c>
      <c r="AJ639" s="140">
        <v>0</v>
      </c>
      <c r="AK639" s="140">
        <v>0</v>
      </c>
      <c r="AL639" s="140">
        <v>0</v>
      </c>
      <c r="AM639" s="140">
        <v>0</v>
      </c>
      <c r="AN639" s="140">
        <v>1</v>
      </c>
      <c r="AO639" s="140">
        <v>0</v>
      </c>
      <c r="AP639" s="140">
        <v>0</v>
      </c>
      <c r="AQ639" s="140">
        <v>0</v>
      </c>
      <c r="AR639" s="140">
        <v>0</v>
      </c>
      <c r="AS639" s="140">
        <v>0</v>
      </c>
      <c r="AT639" s="140">
        <v>0</v>
      </c>
      <c r="AU639" s="140">
        <v>1</v>
      </c>
      <c r="AV639" s="140">
        <v>0</v>
      </c>
      <c r="AW639" s="140">
        <v>0</v>
      </c>
      <c r="AX639" s="140">
        <v>0</v>
      </c>
      <c r="AY639" s="140">
        <v>0</v>
      </c>
      <c r="AZ639" s="140">
        <v>0</v>
      </c>
      <c r="BA639" s="140">
        <v>0</v>
      </c>
      <c r="BB639" s="140">
        <v>0</v>
      </c>
      <c r="BC639" s="140">
        <v>0</v>
      </c>
      <c r="BD639" s="140">
        <v>0</v>
      </c>
      <c r="BE639" s="140">
        <v>0</v>
      </c>
      <c r="BF639" s="140">
        <v>0</v>
      </c>
      <c r="BG639" s="140">
        <v>0</v>
      </c>
      <c r="BH639" s="140">
        <v>0</v>
      </c>
      <c r="BI639" s="140">
        <v>0</v>
      </c>
      <c r="BJ639" s="140">
        <v>0</v>
      </c>
      <c r="BK639" s="140">
        <v>0</v>
      </c>
      <c r="BL639" s="140">
        <v>0</v>
      </c>
      <c r="BM639" s="140">
        <v>0</v>
      </c>
      <c r="BN639" s="140">
        <v>0</v>
      </c>
      <c r="BO639" s="140">
        <v>0</v>
      </c>
      <c r="BX639" s="43">
        <v>15</v>
      </c>
      <c r="BZ639" s="90">
        <f t="shared" si="68"/>
        <v>0.33333333333333331</v>
      </c>
      <c r="CA639" s="90">
        <f t="shared" si="68"/>
        <v>0.33333333333333331</v>
      </c>
      <c r="CB639" s="90">
        <f t="shared" si="68"/>
        <v>0.33333333333333331</v>
      </c>
      <c r="CT639" s="90">
        <f t="shared" si="64"/>
        <v>1</v>
      </c>
      <c r="CU639" s="90">
        <f t="shared" si="65"/>
        <v>1</v>
      </c>
    </row>
    <row r="640" spans="1:99" ht="12" customHeight="1">
      <c r="A640" s="43">
        <v>4084</v>
      </c>
      <c r="B640" s="89" t="s">
        <v>1515</v>
      </c>
      <c r="C640" s="89" t="s">
        <v>1804</v>
      </c>
      <c r="D640" s="89" t="s">
        <v>1805</v>
      </c>
      <c r="F640" s="43">
        <v>527971</v>
      </c>
      <c r="G640" s="43">
        <v>172408</v>
      </c>
      <c r="H640" s="89" t="s">
        <v>173</v>
      </c>
      <c r="I640" s="125">
        <v>43210</v>
      </c>
      <c r="K640" s="140">
        <v>1</v>
      </c>
      <c r="L640" s="140">
        <v>1</v>
      </c>
      <c r="M640" s="140">
        <v>0</v>
      </c>
      <c r="N640" s="140">
        <v>3</v>
      </c>
      <c r="O640" s="140">
        <v>2</v>
      </c>
      <c r="Q640" s="89" t="s">
        <v>1806</v>
      </c>
      <c r="R640" s="43" t="s">
        <v>316</v>
      </c>
      <c r="S640" s="125">
        <v>43115</v>
      </c>
      <c r="T640" s="117">
        <v>43210</v>
      </c>
      <c r="V640" s="43" t="s">
        <v>317</v>
      </c>
      <c r="X640" s="43" t="s">
        <v>318</v>
      </c>
      <c r="Y640" s="43" t="s">
        <v>319</v>
      </c>
      <c r="Z640" s="43" t="s">
        <v>320</v>
      </c>
      <c r="AA640" s="43" t="s">
        <v>321</v>
      </c>
      <c r="AB640" s="144">
        <v>3.0000000260770299E-3</v>
      </c>
      <c r="AF640" s="43" t="s">
        <v>75</v>
      </c>
      <c r="AG640" s="43" t="s">
        <v>322</v>
      </c>
      <c r="AJ640" s="140">
        <v>0</v>
      </c>
      <c r="AK640" s="140">
        <v>0</v>
      </c>
      <c r="AL640" s="140">
        <v>0</v>
      </c>
      <c r="AM640" s="140">
        <v>0</v>
      </c>
      <c r="AN640" s="140">
        <v>-1</v>
      </c>
      <c r="AO640" s="140">
        <v>1</v>
      </c>
      <c r="AP640" s="140">
        <v>0</v>
      </c>
      <c r="AQ640" s="140">
        <v>0</v>
      </c>
      <c r="AR640" s="140">
        <v>0</v>
      </c>
      <c r="AS640" s="140">
        <v>0</v>
      </c>
      <c r="AT640" s="140">
        <v>0</v>
      </c>
      <c r="AU640" s="140">
        <v>-1</v>
      </c>
      <c r="AV640" s="140">
        <v>1</v>
      </c>
      <c r="AW640" s="140">
        <v>0</v>
      </c>
      <c r="AX640" s="140">
        <v>0</v>
      </c>
      <c r="AY640" s="140">
        <v>0</v>
      </c>
      <c r="AZ640" s="140">
        <v>0</v>
      </c>
      <c r="BA640" s="140">
        <v>0</v>
      </c>
      <c r="BB640" s="140">
        <v>0</v>
      </c>
      <c r="BC640" s="140">
        <v>0</v>
      </c>
      <c r="BD640" s="140">
        <v>0</v>
      </c>
      <c r="BE640" s="140">
        <v>0</v>
      </c>
      <c r="BF640" s="140">
        <v>0</v>
      </c>
      <c r="BG640" s="140">
        <v>0</v>
      </c>
      <c r="BH640" s="140">
        <v>0</v>
      </c>
      <c r="BI640" s="140">
        <v>0</v>
      </c>
      <c r="BJ640" s="140">
        <v>0</v>
      </c>
      <c r="BK640" s="140">
        <v>0</v>
      </c>
      <c r="BL640" s="140">
        <v>0</v>
      </c>
      <c r="BM640" s="140">
        <v>0</v>
      </c>
      <c r="BN640" s="140">
        <v>0</v>
      </c>
      <c r="BO640" s="140">
        <v>0</v>
      </c>
      <c r="BX640" s="43">
        <v>15</v>
      </c>
      <c r="BZ640" s="90">
        <f t="shared" si="68"/>
        <v>0</v>
      </c>
      <c r="CA640" s="90">
        <f t="shared" si="68"/>
        <v>0</v>
      </c>
      <c r="CB640" s="90">
        <f t="shared" si="68"/>
        <v>0</v>
      </c>
      <c r="CT640" s="90">
        <f t="shared" si="64"/>
        <v>0</v>
      </c>
      <c r="CU640" s="90">
        <f t="shared" si="65"/>
        <v>0</v>
      </c>
    </row>
    <row r="641" spans="1:99" ht="12" customHeight="1">
      <c r="A641" s="43">
        <v>4084</v>
      </c>
      <c r="B641" s="89" t="s">
        <v>1515</v>
      </c>
      <c r="C641" s="89" t="s">
        <v>1804</v>
      </c>
      <c r="D641" s="89" t="s">
        <v>1805</v>
      </c>
      <c r="F641" s="43">
        <v>527971</v>
      </c>
      <c r="G641" s="43">
        <v>172408</v>
      </c>
      <c r="H641" s="89" t="s">
        <v>173</v>
      </c>
      <c r="I641" s="125">
        <v>43210</v>
      </c>
      <c r="K641" s="140">
        <v>0</v>
      </c>
      <c r="L641" s="140">
        <v>1</v>
      </c>
      <c r="M641" s="140">
        <v>1</v>
      </c>
      <c r="N641" s="140">
        <v>3</v>
      </c>
      <c r="O641" s="140">
        <v>2</v>
      </c>
      <c r="Q641" s="89" t="s">
        <v>1806</v>
      </c>
      <c r="R641" s="43" t="s">
        <v>316</v>
      </c>
      <c r="S641" s="125">
        <v>43115</v>
      </c>
      <c r="T641" s="117">
        <v>43210</v>
      </c>
      <c r="V641" s="43" t="s">
        <v>317</v>
      </c>
      <c r="X641" s="43" t="s">
        <v>318</v>
      </c>
      <c r="Y641" s="43" t="s">
        <v>319</v>
      </c>
      <c r="Z641" s="43" t="s">
        <v>320</v>
      </c>
      <c r="AA641" s="43" t="s">
        <v>30</v>
      </c>
      <c r="AB641" s="144">
        <v>3.0000000260770299E-3</v>
      </c>
      <c r="AF641" s="43" t="s">
        <v>75</v>
      </c>
      <c r="AG641" s="43" t="s">
        <v>322</v>
      </c>
      <c r="AJ641" s="140">
        <v>0</v>
      </c>
      <c r="AK641" s="140">
        <v>0</v>
      </c>
      <c r="AL641" s="140">
        <v>0</v>
      </c>
      <c r="AM641" s="140">
        <v>1</v>
      </c>
      <c r="AN641" s="140">
        <v>0</v>
      </c>
      <c r="AO641" s="140">
        <v>1</v>
      </c>
      <c r="AP641" s="140">
        <v>0</v>
      </c>
      <c r="AQ641" s="140">
        <v>0</v>
      </c>
      <c r="AR641" s="140">
        <v>0</v>
      </c>
      <c r="AS641" s="140">
        <v>0</v>
      </c>
      <c r="AT641" s="140">
        <v>0</v>
      </c>
      <c r="AU641" s="140">
        <v>0</v>
      </c>
      <c r="AV641" s="140">
        <v>1</v>
      </c>
      <c r="AW641" s="140">
        <v>0</v>
      </c>
      <c r="AX641" s="140">
        <v>0</v>
      </c>
      <c r="AY641" s="140">
        <v>0</v>
      </c>
      <c r="AZ641" s="140">
        <v>0</v>
      </c>
      <c r="BA641" s="140">
        <v>0</v>
      </c>
      <c r="BB641" s="140">
        <v>0</v>
      </c>
      <c r="BC641" s="140">
        <v>0</v>
      </c>
      <c r="BD641" s="140">
        <v>0</v>
      </c>
      <c r="BE641" s="140">
        <v>0</v>
      </c>
      <c r="BF641" s="140">
        <v>0</v>
      </c>
      <c r="BG641" s="140">
        <v>0</v>
      </c>
      <c r="BH641" s="140">
        <v>0</v>
      </c>
      <c r="BI641" s="140">
        <v>0</v>
      </c>
      <c r="BJ641" s="140">
        <v>0</v>
      </c>
      <c r="BK641" s="140">
        <v>0</v>
      </c>
      <c r="BL641" s="140">
        <v>0</v>
      </c>
      <c r="BM641" s="140">
        <v>0</v>
      </c>
      <c r="BN641" s="140">
        <v>0</v>
      </c>
      <c r="BO641" s="140">
        <v>0</v>
      </c>
      <c r="BX641" s="43">
        <v>15</v>
      </c>
      <c r="BZ641" s="90">
        <f t="shared" si="68"/>
        <v>0.33333333333333331</v>
      </c>
      <c r="CA641" s="90">
        <f t="shared" si="68"/>
        <v>0.33333333333333331</v>
      </c>
      <c r="CB641" s="90">
        <f t="shared" si="68"/>
        <v>0.33333333333333331</v>
      </c>
      <c r="CT641" s="90">
        <f t="shared" si="64"/>
        <v>1</v>
      </c>
      <c r="CU641" s="90">
        <f t="shared" si="65"/>
        <v>1</v>
      </c>
    </row>
    <row r="642" spans="1:99" ht="12" customHeight="1">
      <c r="A642" s="43">
        <v>4089</v>
      </c>
      <c r="B642" s="89" t="s">
        <v>1515</v>
      </c>
      <c r="C642" s="89" t="s">
        <v>1807</v>
      </c>
      <c r="D642" s="89" t="s">
        <v>1808</v>
      </c>
      <c r="F642" s="43">
        <v>523671</v>
      </c>
      <c r="G642" s="43">
        <v>175184</v>
      </c>
      <c r="H642" s="89" t="s">
        <v>178</v>
      </c>
      <c r="K642" s="140">
        <v>0</v>
      </c>
      <c r="L642" s="140">
        <v>1</v>
      </c>
      <c r="M642" s="140">
        <v>1</v>
      </c>
      <c r="N642" s="140">
        <v>1</v>
      </c>
      <c r="O642" s="140">
        <v>1</v>
      </c>
      <c r="Q642" s="89" t="s">
        <v>1809</v>
      </c>
      <c r="R642" s="43" t="s">
        <v>316</v>
      </c>
      <c r="S642" s="125">
        <v>42941</v>
      </c>
      <c r="T642" s="117">
        <v>43019</v>
      </c>
      <c r="V642" s="43" t="s">
        <v>317</v>
      </c>
      <c r="X642" s="43" t="s">
        <v>318</v>
      </c>
      <c r="Y642" s="43" t="s">
        <v>319</v>
      </c>
      <c r="Z642" s="43" t="s">
        <v>320</v>
      </c>
      <c r="AA642" s="43" t="s">
        <v>36</v>
      </c>
      <c r="AB642" s="144">
        <v>4.9999998882412902E-3</v>
      </c>
      <c r="AF642" s="43" t="s">
        <v>75</v>
      </c>
      <c r="AG642" s="43" t="s">
        <v>322</v>
      </c>
      <c r="AJ642" s="140">
        <v>0</v>
      </c>
      <c r="AK642" s="140">
        <v>0</v>
      </c>
      <c r="AL642" s="140">
        <v>0</v>
      </c>
      <c r="AM642" s="140">
        <v>0</v>
      </c>
      <c r="AN642" s="140">
        <v>0</v>
      </c>
      <c r="AO642" s="140">
        <v>0</v>
      </c>
      <c r="AP642" s="140">
        <v>1</v>
      </c>
      <c r="AQ642" s="140">
        <v>0</v>
      </c>
      <c r="AR642" s="140">
        <v>0</v>
      </c>
      <c r="AS642" s="140">
        <v>0</v>
      </c>
      <c r="AT642" s="140">
        <v>0</v>
      </c>
      <c r="AU642" s="140">
        <v>0</v>
      </c>
      <c r="AV642" s="140">
        <v>0</v>
      </c>
      <c r="AW642" s="140">
        <v>1</v>
      </c>
      <c r="AX642" s="140">
        <v>0</v>
      </c>
      <c r="AY642" s="140">
        <v>0</v>
      </c>
      <c r="AZ642" s="140">
        <v>0</v>
      </c>
      <c r="BA642" s="140">
        <v>0</v>
      </c>
      <c r="BB642" s="140">
        <v>0</v>
      </c>
      <c r="BC642" s="140">
        <v>0</v>
      </c>
      <c r="BD642" s="140">
        <v>0</v>
      </c>
      <c r="BE642" s="140">
        <v>0</v>
      </c>
      <c r="BF642" s="140">
        <v>0</v>
      </c>
      <c r="BG642" s="140">
        <v>0</v>
      </c>
      <c r="BH642" s="140">
        <v>0</v>
      </c>
      <c r="BI642" s="140">
        <v>0</v>
      </c>
      <c r="BJ642" s="140">
        <v>0</v>
      </c>
      <c r="BK642" s="140">
        <v>0</v>
      </c>
      <c r="BL642" s="140">
        <v>0</v>
      </c>
      <c r="BM642" s="140">
        <v>0</v>
      </c>
      <c r="BN642" s="140">
        <v>0</v>
      </c>
      <c r="BO642" s="140">
        <v>0</v>
      </c>
      <c r="BP642" s="43" t="s">
        <v>140</v>
      </c>
      <c r="BX642" s="43">
        <v>15</v>
      </c>
      <c r="BZ642" s="90">
        <f t="shared" si="68"/>
        <v>0.33333333333333331</v>
      </c>
      <c r="CA642" s="90">
        <f t="shared" si="68"/>
        <v>0.33333333333333331</v>
      </c>
      <c r="CB642" s="90">
        <f t="shared" si="68"/>
        <v>0.33333333333333331</v>
      </c>
      <c r="CT642" s="90">
        <f t="shared" ref="CT642:CT705" si="69">SUM(BZ642:CD642)</f>
        <v>1</v>
      </c>
      <c r="CU642" s="90">
        <f t="shared" ref="CU642:CU705" si="70">SUM(BZ642:CI642)</f>
        <v>1</v>
      </c>
    </row>
    <row r="643" spans="1:99" ht="12" customHeight="1">
      <c r="A643" s="43">
        <v>4157</v>
      </c>
      <c r="B643" s="89" t="s">
        <v>1515</v>
      </c>
      <c r="C643" s="89" t="s">
        <v>1810</v>
      </c>
      <c r="D643" s="89" t="s">
        <v>1811</v>
      </c>
      <c r="F643" s="43">
        <v>527404</v>
      </c>
      <c r="G643" s="43">
        <v>175316</v>
      </c>
      <c r="H643" s="89" t="s">
        <v>174</v>
      </c>
      <c r="K643" s="140">
        <v>0</v>
      </c>
      <c r="L643" s="140">
        <v>6</v>
      </c>
      <c r="M643" s="140">
        <v>6</v>
      </c>
      <c r="N643" s="140">
        <v>6</v>
      </c>
      <c r="O643" s="140">
        <v>6</v>
      </c>
      <c r="Q643" s="89" t="s">
        <v>1812</v>
      </c>
      <c r="R643" s="43" t="s">
        <v>316</v>
      </c>
      <c r="S643" s="125">
        <v>43311</v>
      </c>
      <c r="T643" s="117">
        <v>43864</v>
      </c>
      <c r="U643" s="43" t="s">
        <v>329</v>
      </c>
      <c r="V643" s="43" t="s">
        <v>317</v>
      </c>
      <c r="X643" s="43" t="s">
        <v>318</v>
      </c>
      <c r="Y643" s="43" t="s">
        <v>361</v>
      </c>
      <c r="Z643" s="43" t="s">
        <v>320</v>
      </c>
      <c r="AA643" s="43" t="s">
        <v>353</v>
      </c>
      <c r="AB643" s="144">
        <v>1.30000002682209E-2</v>
      </c>
      <c r="AF643" s="43" t="s">
        <v>75</v>
      </c>
      <c r="AG643" s="43" t="s">
        <v>322</v>
      </c>
      <c r="AJ643" s="140">
        <v>0</v>
      </c>
      <c r="AK643" s="140">
        <v>0</v>
      </c>
      <c r="AL643" s="140">
        <v>0</v>
      </c>
      <c r="AM643" s="140">
        <v>0</v>
      </c>
      <c r="AN643" s="140">
        <v>0</v>
      </c>
      <c r="AO643" s="140">
        <v>1</v>
      </c>
      <c r="AP643" s="140">
        <v>3</v>
      </c>
      <c r="AQ643" s="140">
        <v>2</v>
      </c>
      <c r="AR643" s="140">
        <v>0</v>
      </c>
      <c r="AS643" s="140">
        <v>0</v>
      </c>
      <c r="AT643" s="140">
        <v>0</v>
      </c>
      <c r="AU643" s="140">
        <v>0</v>
      </c>
      <c r="AV643" s="140">
        <v>1</v>
      </c>
      <c r="AW643" s="140">
        <v>3</v>
      </c>
      <c r="AX643" s="140">
        <v>2</v>
      </c>
      <c r="AY643" s="140">
        <v>0</v>
      </c>
      <c r="AZ643" s="140">
        <v>0</v>
      </c>
      <c r="BA643" s="140">
        <v>0</v>
      </c>
      <c r="BB643" s="140">
        <v>0</v>
      </c>
      <c r="BC643" s="140">
        <v>0</v>
      </c>
      <c r="BD643" s="140">
        <v>0</v>
      </c>
      <c r="BE643" s="140">
        <v>0</v>
      </c>
      <c r="BF643" s="140">
        <v>0</v>
      </c>
      <c r="BG643" s="140">
        <v>0</v>
      </c>
      <c r="BH643" s="140">
        <v>0</v>
      </c>
      <c r="BI643" s="140">
        <v>0</v>
      </c>
      <c r="BJ643" s="140">
        <v>0</v>
      </c>
      <c r="BK643" s="140">
        <v>0</v>
      </c>
      <c r="BL643" s="140">
        <v>0</v>
      </c>
      <c r="BM643" s="140">
        <v>0</v>
      </c>
      <c r="BN643" s="140">
        <v>0</v>
      </c>
      <c r="BO643" s="140">
        <v>0</v>
      </c>
      <c r="BP643" s="43" t="s">
        <v>139</v>
      </c>
      <c r="BX643" s="43">
        <v>7</v>
      </c>
      <c r="CB643" s="90">
        <f>M643</f>
        <v>6</v>
      </c>
      <c r="CT643" s="90">
        <f t="shared" si="69"/>
        <v>6</v>
      </c>
      <c r="CU643" s="90">
        <f t="shared" si="70"/>
        <v>6</v>
      </c>
    </row>
    <row r="644" spans="1:99" ht="12" customHeight="1">
      <c r="A644" s="43">
        <v>4173</v>
      </c>
      <c r="B644" s="89" t="s">
        <v>1515</v>
      </c>
      <c r="C644" s="89" t="s">
        <v>1813</v>
      </c>
      <c r="D644" s="89" t="s">
        <v>1814</v>
      </c>
      <c r="F644" s="43">
        <v>525437</v>
      </c>
      <c r="G644" s="43">
        <v>174675</v>
      </c>
      <c r="H644" s="89" t="s">
        <v>176</v>
      </c>
      <c r="K644" s="140">
        <v>1</v>
      </c>
      <c r="L644" s="140">
        <v>4</v>
      </c>
      <c r="M644" s="140">
        <v>3</v>
      </c>
      <c r="N644" s="140">
        <v>4</v>
      </c>
      <c r="O644" s="140">
        <v>3</v>
      </c>
      <c r="Q644" s="89" t="s">
        <v>1815</v>
      </c>
      <c r="R644" s="43" t="s">
        <v>316</v>
      </c>
      <c r="S644" s="125">
        <v>42955</v>
      </c>
      <c r="T644" s="117">
        <v>43033</v>
      </c>
      <c r="V644" s="43" t="s">
        <v>317</v>
      </c>
      <c r="X644" s="43" t="s">
        <v>318</v>
      </c>
      <c r="Y644" s="43" t="s">
        <v>361</v>
      </c>
      <c r="Z644" s="43" t="s">
        <v>320</v>
      </c>
      <c r="AA644" s="43" t="s">
        <v>353</v>
      </c>
      <c r="AB644" s="144">
        <v>1.4000000432133701E-2</v>
      </c>
      <c r="AF644" s="43" t="s">
        <v>75</v>
      </c>
      <c r="AG644" s="43" t="s">
        <v>322</v>
      </c>
      <c r="AJ644" s="140">
        <v>0</v>
      </c>
      <c r="AK644" s="140">
        <v>0</v>
      </c>
      <c r="AL644" s="140">
        <v>0</v>
      </c>
      <c r="AM644" s="140">
        <v>0</v>
      </c>
      <c r="AN644" s="140">
        <v>0</v>
      </c>
      <c r="AO644" s="140">
        <v>2</v>
      </c>
      <c r="AP644" s="140">
        <v>2</v>
      </c>
      <c r="AQ644" s="140">
        <v>-1</v>
      </c>
      <c r="AR644" s="140">
        <v>0</v>
      </c>
      <c r="AS644" s="140">
        <v>0</v>
      </c>
      <c r="AT644" s="140">
        <v>0</v>
      </c>
      <c r="AU644" s="140">
        <v>0</v>
      </c>
      <c r="AV644" s="140">
        <v>2</v>
      </c>
      <c r="AW644" s="140">
        <v>2</v>
      </c>
      <c r="AX644" s="140">
        <v>-1</v>
      </c>
      <c r="AY644" s="140">
        <v>0</v>
      </c>
      <c r="AZ644" s="140">
        <v>0</v>
      </c>
      <c r="BA644" s="140">
        <v>0</v>
      </c>
      <c r="BB644" s="140">
        <v>0</v>
      </c>
      <c r="BC644" s="140">
        <v>0</v>
      </c>
      <c r="BD644" s="140">
        <v>0</v>
      </c>
      <c r="BE644" s="140">
        <v>0</v>
      </c>
      <c r="BF644" s="140">
        <v>0</v>
      </c>
      <c r="BG644" s="140">
        <v>0</v>
      </c>
      <c r="BH644" s="140">
        <v>0</v>
      </c>
      <c r="BI644" s="140">
        <v>0</v>
      </c>
      <c r="BJ644" s="140">
        <v>0</v>
      </c>
      <c r="BK644" s="140">
        <v>0</v>
      </c>
      <c r="BL644" s="140">
        <v>0</v>
      </c>
      <c r="BM644" s="140">
        <v>0</v>
      </c>
      <c r="BN644" s="140">
        <v>0</v>
      </c>
      <c r="BO644" s="140">
        <v>0</v>
      </c>
      <c r="BP644" s="43" t="s">
        <v>142</v>
      </c>
      <c r="BR644" s="43" t="s">
        <v>329</v>
      </c>
      <c r="BX644" s="43">
        <v>6</v>
      </c>
      <c r="CA644" s="90">
        <f>$M644/4</f>
        <v>0.75</v>
      </c>
      <c r="CB644" s="90">
        <f>$M644/4</f>
        <v>0.75</v>
      </c>
      <c r="CC644" s="90">
        <f>$M644/4</f>
        <v>0.75</v>
      </c>
      <c r="CD644" s="90">
        <f>$M644/4</f>
        <v>0.75</v>
      </c>
      <c r="CT644" s="90">
        <f t="shared" si="69"/>
        <v>3</v>
      </c>
      <c r="CU644" s="90">
        <f t="shared" si="70"/>
        <v>3</v>
      </c>
    </row>
    <row r="645" spans="1:99" ht="12" customHeight="1">
      <c r="A645" s="43">
        <v>4386</v>
      </c>
      <c r="B645" s="89" t="s">
        <v>1515</v>
      </c>
      <c r="C645" s="89" t="s">
        <v>1816</v>
      </c>
      <c r="D645" s="89" t="s">
        <v>1817</v>
      </c>
      <c r="F645" s="43">
        <v>528177</v>
      </c>
      <c r="G645" s="43">
        <v>176638</v>
      </c>
      <c r="H645" s="89" t="s">
        <v>148</v>
      </c>
      <c r="K645" s="140">
        <v>0</v>
      </c>
      <c r="L645" s="140">
        <v>1</v>
      </c>
      <c r="M645" s="140">
        <v>1</v>
      </c>
      <c r="N645" s="140">
        <v>1</v>
      </c>
      <c r="O645" s="140">
        <v>1</v>
      </c>
      <c r="Q645" s="89" t="s">
        <v>1818</v>
      </c>
      <c r="R645" s="43" t="s">
        <v>316</v>
      </c>
      <c r="S645" s="125">
        <v>43678</v>
      </c>
      <c r="T645" s="117">
        <v>43801</v>
      </c>
      <c r="U645" s="43" t="s">
        <v>329</v>
      </c>
      <c r="V645" s="43" t="s">
        <v>317</v>
      </c>
      <c r="X645" s="43" t="s">
        <v>318</v>
      </c>
      <c r="Y645" s="43" t="s">
        <v>379</v>
      </c>
      <c r="Z645" s="43" t="s">
        <v>320</v>
      </c>
      <c r="AA645" s="43" t="s">
        <v>340</v>
      </c>
      <c r="AB645" s="144">
        <v>2.0000000949949E-3</v>
      </c>
      <c r="AF645" s="43" t="s">
        <v>75</v>
      </c>
      <c r="AG645" s="43" t="s">
        <v>322</v>
      </c>
      <c r="AJ645" s="140">
        <v>0</v>
      </c>
      <c r="AK645" s="140">
        <v>0</v>
      </c>
      <c r="AL645" s="140">
        <v>0</v>
      </c>
      <c r="AM645" s="140">
        <v>0</v>
      </c>
      <c r="AN645" s="140">
        <v>0</v>
      </c>
      <c r="AO645" s="140">
        <v>1</v>
      </c>
      <c r="AP645" s="140">
        <v>0</v>
      </c>
      <c r="AQ645" s="140">
        <v>0</v>
      </c>
      <c r="AR645" s="140">
        <v>0</v>
      </c>
      <c r="AS645" s="140">
        <v>0</v>
      </c>
      <c r="AT645" s="140">
        <v>0</v>
      </c>
      <c r="AU645" s="140">
        <v>0</v>
      </c>
      <c r="AV645" s="140">
        <v>1</v>
      </c>
      <c r="AW645" s="140">
        <v>0</v>
      </c>
      <c r="AX645" s="140">
        <v>0</v>
      </c>
      <c r="AY645" s="140">
        <v>0</v>
      </c>
      <c r="AZ645" s="140">
        <v>0</v>
      </c>
      <c r="BA645" s="140">
        <v>0</v>
      </c>
      <c r="BB645" s="140">
        <v>0</v>
      </c>
      <c r="BC645" s="140">
        <v>0</v>
      </c>
      <c r="BD645" s="140">
        <v>0</v>
      </c>
      <c r="BE645" s="140">
        <v>0</v>
      </c>
      <c r="BF645" s="140">
        <v>0</v>
      </c>
      <c r="BG645" s="140">
        <v>0</v>
      </c>
      <c r="BH645" s="140">
        <v>0</v>
      </c>
      <c r="BI645" s="140">
        <v>0</v>
      </c>
      <c r="BJ645" s="140">
        <v>0</v>
      </c>
      <c r="BK645" s="140">
        <v>0</v>
      </c>
      <c r="BL645" s="140">
        <v>0</v>
      </c>
      <c r="BM645" s="140">
        <v>0</v>
      </c>
      <c r="BN645" s="140">
        <v>0</v>
      </c>
      <c r="BO645" s="140">
        <v>0</v>
      </c>
      <c r="BX645" s="43">
        <v>15</v>
      </c>
      <c r="BZ645" s="90">
        <f t="shared" ref="BZ645:CB651" si="71">$M645/3</f>
        <v>0.33333333333333331</v>
      </c>
      <c r="CA645" s="90">
        <f t="shared" si="71"/>
        <v>0.33333333333333331</v>
      </c>
      <c r="CB645" s="90">
        <f t="shared" si="71"/>
        <v>0.33333333333333331</v>
      </c>
      <c r="CT645" s="90">
        <f t="shared" si="69"/>
        <v>1</v>
      </c>
      <c r="CU645" s="90">
        <f t="shared" si="70"/>
        <v>1</v>
      </c>
    </row>
    <row r="646" spans="1:99" ht="12" customHeight="1">
      <c r="A646" s="43">
        <v>4438</v>
      </c>
      <c r="B646" s="89" t="s">
        <v>1515</v>
      </c>
      <c r="C646" s="89" t="s">
        <v>1819</v>
      </c>
      <c r="D646" s="89" t="s">
        <v>1820</v>
      </c>
      <c r="F646" s="43">
        <v>524309</v>
      </c>
      <c r="G646" s="43">
        <v>174961</v>
      </c>
      <c r="H646" s="89" t="s">
        <v>178</v>
      </c>
      <c r="K646" s="140">
        <v>1</v>
      </c>
      <c r="L646" s="140">
        <v>2</v>
      </c>
      <c r="M646" s="140">
        <v>1</v>
      </c>
      <c r="N646" s="140">
        <v>3</v>
      </c>
      <c r="O646" s="140">
        <v>2</v>
      </c>
      <c r="Q646" s="89" t="s">
        <v>1821</v>
      </c>
      <c r="R646" s="43" t="s">
        <v>316</v>
      </c>
      <c r="S646" s="125">
        <v>42804</v>
      </c>
      <c r="T646" s="117">
        <v>42912</v>
      </c>
      <c r="V646" s="43" t="s">
        <v>317</v>
      </c>
      <c r="X646" s="43" t="s">
        <v>318</v>
      </c>
      <c r="Y646" s="43" t="s">
        <v>379</v>
      </c>
      <c r="Z646" s="43" t="s">
        <v>320</v>
      </c>
      <c r="AA646" s="43" t="s">
        <v>321</v>
      </c>
      <c r="AB646" s="144">
        <v>4.9999998882412902E-3</v>
      </c>
      <c r="AF646" s="43" t="s">
        <v>75</v>
      </c>
      <c r="AG646" s="43" t="s">
        <v>322</v>
      </c>
      <c r="AJ646" s="140">
        <v>0</v>
      </c>
      <c r="AK646" s="140">
        <v>0</v>
      </c>
      <c r="AL646" s="140">
        <v>0</v>
      </c>
      <c r="AM646" s="140">
        <v>0</v>
      </c>
      <c r="AN646" s="140">
        <v>0</v>
      </c>
      <c r="AO646" s="140">
        <v>2</v>
      </c>
      <c r="AP646" s="140">
        <v>-1</v>
      </c>
      <c r="AQ646" s="140">
        <v>0</v>
      </c>
      <c r="AR646" s="140">
        <v>0</v>
      </c>
      <c r="AS646" s="140">
        <v>0</v>
      </c>
      <c r="AT646" s="140">
        <v>0</v>
      </c>
      <c r="AU646" s="140">
        <v>0</v>
      </c>
      <c r="AV646" s="140">
        <v>2</v>
      </c>
      <c r="AW646" s="140">
        <v>-1</v>
      </c>
      <c r="AX646" s="140">
        <v>0</v>
      </c>
      <c r="AY646" s="140">
        <v>0</v>
      </c>
      <c r="AZ646" s="140">
        <v>0</v>
      </c>
      <c r="BA646" s="140">
        <v>0</v>
      </c>
      <c r="BB646" s="140">
        <v>0</v>
      </c>
      <c r="BC646" s="140">
        <v>0</v>
      </c>
      <c r="BD646" s="140">
        <v>0</v>
      </c>
      <c r="BE646" s="140">
        <v>0</v>
      </c>
      <c r="BF646" s="140">
        <v>0</v>
      </c>
      <c r="BG646" s="140">
        <v>0</v>
      </c>
      <c r="BH646" s="140">
        <v>0</v>
      </c>
      <c r="BI646" s="140">
        <v>0</v>
      </c>
      <c r="BJ646" s="140">
        <v>0</v>
      </c>
      <c r="BK646" s="140">
        <v>0</v>
      </c>
      <c r="BL646" s="140">
        <v>0</v>
      </c>
      <c r="BM646" s="140">
        <v>0</v>
      </c>
      <c r="BN646" s="140">
        <v>0</v>
      </c>
      <c r="BO646" s="140">
        <v>0</v>
      </c>
      <c r="BP646" s="43" t="s">
        <v>140</v>
      </c>
      <c r="BT646" s="43" t="s">
        <v>329</v>
      </c>
      <c r="BX646" s="43">
        <v>15</v>
      </c>
      <c r="BZ646" s="90">
        <f t="shared" si="71"/>
        <v>0.33333333333333331</v>
      </c>
      <c r="CA646" s="90">
        <f t="shared" si="71"/>
        <v>0.33333333333333331</v>
      </c>
      <c r="CB646" s="90">
        <f t="shared" si="71"/>
        <v>0.33333333333333331</v>
      </c>
      <c r="CT646" s="90">
        <f t="shared" si="69"/>
        <v>1</v>
      </c>
      <c r="CU646" s="90">
        <f t="shared" si="70"/>
        <v>1</v>
      </c>
    </row>
    <row r="647" spans="1:99" ht="12" customHeight="1">
      <c r="A647" s="43">
        <v>4438</v>
      </c>
      <c r="B647" s="89" t="s">
        <v>1515</v>
      </c>
      <c r="C647" s="89" t="s">
        <v>1819</v>
      </c>
      <c r="D647" s="89" t="s">
        <v>1820</v>
      </c>
      <c r="F647" s="43">
        <v>524309</v>
      </c>
      <c r="G647" s="43">
        <v>174961</v>
      </c>
      <c r="H647" s="89" t="s">
        <v>178</v>
      </c>
      <c r="K647" s="140">
        <v>0</v>
      </c>
      <c r="L647" s="140">
        <v>1</v>
      </c>
      <c r="M647" s="140">
        <v>1</v>
      </c>
      <c r="N647" s="140">
        <v>3</v>
      </c>
      <c r="O647" s="140">
        <v>2</v>
      </c>
      <c r="Q647" s="89" t="s">
        <v>1821</v>
      </c>
      <c r="R647" s="43" t="s">
        <v>316</v>
      </c>
      <c r="S647" s="125">
        <v>42804</v>
      </c>
      <c r="T647" s="117">
        <v>42912</v>
      </c>
      <c r="V647" s="43" t="s">
        <v>317</v>
      </c>
      <c r="X647" s="43" t="s">
        <v>318</v>
      </c>
      <c r="Y647" s="43" t="s">
        <v>379</v>
      </c>
      <c r="Z647" s="43" t="s">
        <v>320</v>
      </c>
      <c r="AA647" s="43" t="s">
        <v>340</v>
      </c>
      <c r="AB647" s="144">
        <v>6.0000000521540598E-3</v>
      </c>
      <c r="AF647" s="43" t="s">
        <v>75</v>
      </c>
      <c r="AG647" s="43" t="s">
        <v>322</v>
      </c>
      <c r="AJ647" s="140">
        <v>0</v>
      </c>
      <c r="AK647" s="140">
        <v>0</v>
      </c>
      <c r="AL647" s="140">
        <v>0</v>
      </c>
      <c r="AM647" s="140">
        <v>0</v>
      </c>
      <c r="AN647" s="140">
        <v>0</v>
      </c>
      <c r="AO647" s="140">
        <v>0</v>
      </c>
      <c r="AP647" s="140">
        <v>1</v>
      </c>
      <c r="AQ647" s="140">
        <v>0</v>
      </c>
      <c r="AR647" s="140">
        <v>0</v>
      </c>
      <c r="AS647" s="140">
        <v>0</v>
      </c>
      <c r="AT647" s="140">
        <v>0</v>
      </c>
      <c r="AU647" s="140">
        <v>0</v>
      </c>
      <c r="AV647" s="140">
        <v>0</v>
      </c>
      <c r="AW647" s="140">
        <v>1</v>
      </c>
      <c r="AX647" s="140">
        <v>0</v>
      </c>
      <c r="AY647" s="140">
        <v>0</v>
      </c>
      <c r="AZ647" s="140">
        <v>0</v>
      </c>
      <c r="BA647" s="140">
        <v>0</v>
      </c>
      <c r="BB647" s="140">
        <v>0</v>
      </c>
      <c r="BC647" s="140">
        <v>0</v>
      </c>
      <c r="BD647" s="140">
        <v>0</v>
      </c>
      <c r="BE647" s="140">
        <v>0</v>
      </c>
      <c r="BF647" s="140">
        <v>0</v>
      </c>
      <c r="BG647" s="140">
        <v>0</v>
      </c>
      <c r="BH647" s="140">
        <v>0</v>
      </c>
      <c r="BI647" s="140">
        <v>0</v>
      </c>
      <c r="BJ647" s="140">
        <v>0</v>
      </c>
      <c r="BK647" s="140">
        <v>0</v>
      </c>
      <c r="BL647" s="140">
        <v>0</v>
      </c>
      <c r="BM647" s="140">
        <v>0</v>
      </c>
      <c r="BN647" s="140">
        <v>0</v>
      </c>
      <c r="BO647" s="140">
        <v>0</v>
      </c>
      <c r="BP647" s="43" t="s">
        <v>140</v>
      </c>
      <c r="BT647" s="43" t="s">
        <v>329</v>
      </c>
      <c r="BX647" s="43">
        <v>15</v>
      </c>
      <c r="BZ647" s="90">
        <f t="shared" si="71"/>
        <v>0.33333333333333331</v>
      </c>
      <c r="CA647" s="90">
        <f t="shared" si="71"/>
        <v>0.33333333333333331</v>
      </c>
      <c r="CB647" s="90">
        <f t="shared" si="71"/>
        <v>0.33333333333333331</v>
      </c>
      <c r="CT647" s="90">
        <f t="shared" si="69"/>
        <v>1</v>
      </c>
      <c r="CU647" s="90">
        <f t="shared" si="70"/>
        <v>1</v>
      </c>
    </row>
    <row r="648" spans="1:99" ht="12" customHeight="1">
      <c r="A648" s="43">
        <v>4643</v>
      </c>
      <c r="B648" s="89" t="s">
        <v>1515</v>
      </c>
      <c r="C648" s="89" t="s">
        <v>1822</v>
      </c>
      <c r="D648" s="89" t="s">
        <v>1823</v>
      </c>
      <c r="F648" s="43">
        <v>528560</v>
      </c>
      <c r="G648" s="43">
        <v>173342</v>
      </c>
      <c r="H648" s="89" t="s">
        <v>138</v>
      </c>
      <c r="K648" s="140">
        <v>1</v>
      </c>
      <c r="L648" s="140">
        <v>2</v>
      </c>
      <c r="M648" s="140">
        <v>1</v>
      </c>
      <c r="N648" s="140">
        <v>2</v>
      </c>
      <c r="O648" s="140">
        <v>1</v>
      </c>
      <c r="Q648" s="89" t="s">
        <v>1824</v>
      </c>
      <c r="R648" s="43" t="s">
        <v>316</v>
      </c>
      <c r="S648" s="125">
        <v>43124</v>
      </c>
      <c r="T648" s="117">
        <v>43381</v>
      </c>
      <c r="V648" s="43" t="s">
        <v>317</v>
      </c>
      <c r="X648" s="43" t="s">
        <v>318</v>
      </c>
      <c r="Y648" s="43" t="s">
        <v>348</v>
      </c>
      <c r="Z648" s="43" t="s">
        <v>320</v>
      </c>
      <c r="AA648" s="43" t="s">
        <v>321</v>
      </c>
      <c r="AB648" s="144">
        <v>3.0000000260770299E-3</v>
      </c>
      <c r="AF648" s="43" t="s">
        <v>75</v>
      </c>
      <c r="AG648" s="43" t="s">
        <v>322</v>
      </c>
      <c r="AJ648" s="140">
        <v>0</v>
      </c>
      <c r="AK648" s="140">
        <v>0</v>
      </c>
      <c r="AL648" s="140">
        <v>0</v>
      </c>
      <c r="AM648" s="140">
        <v>0</v>
      </c>
      <c r="AN648" s="140">
        <v>1</v>
      </c>
      <c r="AO648" s="140">
        <v>1</v>
      </c>
      <c r="AP648" s="140">
        <v>-1</v>
      </c>
      <c r="AQ648" s="140">
        <v>0</v>
      </c>
      <c r="AR648" s="140">
        <v>0</v>
      </c>
      <c r="AS648" s="140">
        <v>0</v>
      </c>
      <c r="AT648" s="140">
        <v>0</v>
      </c>
      <c r="AU648" s="140">
        <v>1</v>
      </c>
      <c r="AV648" s="140">
        <v>1</v>
      </c>
      <c r="AW648" s="140">
        <v>-1</v>
      </c>
      <c r="AX648" s="140">
        <v>0</v>
      </c>
      <c r="AY648" s="140">
        <v>0</v>
      </c>
      <c r="AZ648" s="140">
        <v>0</v>
      </c>
      <c r="BA648" s="140">
        <v>0</v>
      </c>
      <c r="BB648" s="140">
        <v>0</v>
      </c>
      <c r="BC648" s="140">
        <v>0</v>
      </c>
      <c r="BD648" s="140">
        <v>0</v>
      </c>
      <c r="BE648" s="140">
        <v>0</v>
      </c>
      <c r="BF648" s="140">
        <v>0</v>
      </c>
      <c r="BG648" s="140">
        <v>0</v>
      </c>
      <c r="BH648" s="140">
        <v>0</v>
      </c>
      <c r="BI648" s="140">
        <v>0</v>
      </c>
      <c r="BJ648" s="140">
        <v>0</v>
      </c>
      <c r="BK648" s="140">
        <v>0</v>
      </c>
      <c r="BL648" s="140">
        <v>0</v>
      </c>
      <c r="BM648" s="140">
        <v>0</v>
      </c>
      <c r="BN648" s="140">
        <v>0</v>
      </c>
      <c r="BO648" s="140">
        <v>0</v>
      </c>
      <c r="BP648" s="43" t="s">
        <v>138</v>
      </c>
      <c r="BX648" s="43">
        <v>15</v>
      </c>
      <c r="BZ648" s="90">
        <f t="shared" si="71"/>
        <v>0.33333333333333331</v>
      </c>
      <c r="CA648" s="90">
        <f t="shared" si="71"/>
        <v>0.33333333333333331</v>
      </c>
      <c r="CB648" s="90">
        <f t="shared" si="71"/>
        <v>0.33333333333333331</v>
      </c>
      <c r="CT648" s="90">
        <f t="shared" si="69"/>
        <v>1</v>
      </c>
      <c r="CU648" s="90">
        <f t="shared" si="70"/>
        <v>1</v>
      </c>
    </row>
    <row r="649" spans="1:99" ht="12" customHeight="1">
      <c r="A649" s="43">
        <v>4677</v>
      </c>
      <c r="B649" s="89" t="s">
        <v>1515</v>
      </c>
      <c r="C649" s="89" t="s">
        <v>1825</v>
      </c>
      <c r="D649" s="89" t="s">
        <v>1826</v>
      </c>
      <c r="F649" s="43">
        <v>527943</v>
      </c>
      <c r="G649" s="43">
        <v>170717</v>
      </c>
      <c r="H649" s="89" t="s">
        <v>172</v>
      </c>
      <c r="K649" s="140">
        <v>0</v>
      </c>
      <c r="L649" s="140">
        <v>1</v>
      </c>
      <c r="M649" s="140">
        <v>1</v>
      </c>
      <c r="N649" s="140">
        <v>1</v>
      </c>
      <c r="O649" s="140">
        <v>1</v>
      </c>
      <c r="Q649" s="89" t="s">
        <v>1827</v>
      </c>
      <c r="R649" s="43" t="s">
        <v>316</v>
      </c>
      <c r="S649" s="125">
        <v>43019</v>
      </c>
      <c r="T649" s="117">
        <v>43075</v>
      </c>
      <c r="V649" s="43" t="s">
        <v>317</v>
      </c>
      <c r="X649" s="43" t="s">
        <v>318</v>
      </c>
      <c r="Y649" s="43" t="s">
        <v>379</v>
      </c>
      <c r="Z649" s="43" t="s">
        <v>320</v>
      </c>
      <c r="AA649" s="43" t="s">
        <v>340</v>
      </c>
      <c r="AB649" s="144">
        <v>4.0000001899898104E-3</v>
      </c>
      <c r="AF649" s="43" t="s">
        <v>75</v>
      </c>
      <c r="AG649" s="43" t="s">
        <v>322</v>
      </c>
      <c r="AJ649" s="140">
        <v>0</v>
      </c>
      <c r="AK649" s="140">
        <v>0</v>
      </c>
      <c r="AL649" s="140">
        <v>0</v>
      </c>
      <c r="AM649" s="140">
        <v>0</v>
      </c>
      <c r="AN649" s="140">
        <v>1</v>
      </c>
      <c r="AO649" s="140">
        <v>0</v>
      </c>
      <c r="AP649" s="140">
        <v>0</v>
      </c>
      <c r="AQ649" s="140">
        <v>0</v>
      </c>
      <c r="AR649" s="140">
        <v>0</v>
      </c>
      <c r="AS649" s="140">
        <v>0</v>
      </c>
      <c r="AT649" s="140">
        <v>0</v>
      </c>
      <c r="AU649" s="140">
        <v>1</v>
      </c>
      <c r="AV649" s="140">
        <v>0</v>
      </c>
      <c r="AW649" s="140">
        <v>0</v>
      </c>
      <c r="AX649" s="140">
        <v>0</v>
      </c>
      <c r="AY649" s="140">
        <v>0</v>
      </c>
      <c r="AZ649" s="140">
        <v>0</v>
      </c>
      <c r="BA649" s="140">
        <v>0</v>
      </c>
      <c r="BB649" s="140">
        <v>0</v>
      </c>
      <c r="BC649" s="140">
        <v>0</v>
      </c>
      <c r="BD649" s="140">
        <v>0</v>
      </c>
      <c r="BE649" s="140">
        <v>0</v>
      </c>
      <c r="BF649" s="140">
        <v>0</v>
      </c>
      <c r="BG649" s="140">
        <v>0</v>
      </c>
      <c r="BH649" s="140">
        <v>0</v>
      </c>
      <c r="BI649" s="140">
        <v>0</v>
      </c>
      <c r="BJ649" s="140">
        <v>0</v>
      </c>
      <c r="BK649" s="140">
        <v>0</v>
      </c>
      <c r="BL649" s="140">
        <v>0</v>
      </c>
      <c r="BM649" s="140">
        <v>0</v>
      </c>
      <c r="BN649" s="140">
        <v>0</v>
      </c>
      <c r="BO649" s="140">
        <v>0</v>
      </c>
      <c r="BX649" s="43">
        <v>15</v>
      </c>
      <c r="BZ649" s="90">
        <f t="shared" si="71"/>
        <v>0.33333333333333331</v>
      </c>
      <c r="CA649" s="90">
        <f t="shared" si="71"/>
        <v>0.33333333333333331</v>
      </c>
      <c r="CB649" s="90">
        <f t="shared" si="71"/>
        <v>0.33333333333333331</v>
      </c>
      <c r="CT649" s="90">
        <f t="shared" si="69"/>
        <v>1</v>
      </c>
      <c r="CU649" s="90">
        <f t="shared" si="70"/>
        <v>1</v>
      </c>
    </row>
    <row r="650" spans="1:99" ht="12" customHeight="1">
      <c r="A650" s="43">
        <v>4689</v>
      </c>
      <c r="B650" s="89" t="s">
        <v>1515</v>
      </c>
      <c r="C650" s="89" t="s">
        <v>1828</v>
      </c>
      <c r="D650" s="89" t="s">
        <v>1829</v>
      </c>
      <c r="E650" s="89" t="s">
        <v>346</v>
      </c>
      <c r="F650" s="43">
        <v>527473</v>
      </c>
      <c r="G650" s="43">
        <v>175071</v>
      </c>
      <c r="H650" s="89" t="s">
        <v>174</v>
      </c>
      <c r="K650" s="140">
        <v>1</v>
      </c>
      <c r="L650" s="140">
        <v>1</v>
      </c>
      <c r="M650" s="140">
        <v>0</v>
      </c>
      <c r="N650" s="140">
        <v>2</v>
      </c>
      <c r="O650" s="140">
        <v>1</v>
      </c>
      <c r="Q650" s="89" t="s">
        <v>1830</v>
      </c>
      <c r="R650" s="43" t="s">
        <v>316</v>
      </c>
      <c r="S650" s="125">
        <v>43543</v>
      </c>
      <c r="T650" s="117">
        <v>43599</v>
      </c>
      <c r="U650" s="43" t="s">
        <v>329</v>
      </c>
      <c r="V650" s="43" t="s">
        <v>317</v>
      </c>
      <c r="X650" s="43" t="s">
        <v>318</v>
      </c>
      <c r="Y650" s="43" t="s">
        <v>319</v>
      </c>
      <c r="Z650" s="43" t="s">
        <v>320</v>
      </c>
      <c r="AA650" s="43" t="s">
        <v>321</v>
      </c>
      <c r="AB650" s="144">
        <v>3.0000000260770299E-3</v>
      </c>
      <c r="AF650" s="43" t="s">
        <v>75</v>
      </c>
      <c r="AG650" s="43" t="s">
        <v>322</v>
      </c>
      <c r="AJ650" s="140">
        <v>0</v>
      </c>
      <c r="AK650" s="140">
        <v>0</v>
      </c>
      <c r="AL650" s="140">
        <v>0</v>
      </c>
      <c r="AM650" s="140">
        <v>0</v>
      </c>
      <c r="AN650" s="140">
        <v>0</v>
      </c>
      <c r="AO650" s="140">
        <v>1</v>
      </c>
      <c r="AP650" s="140">
        <v>0</v>
      </c>
      <c r="AQ650" s="140">
        <v>-1</v>
      </c>
      <c r="AR650" s="140">
        <v>0</v>
      </c>
      <c r="AS650" s="140">
        <v>0</v>
      </c>
      <c r="AT650" s="140">
        <v>0</v>
      </c>
      <c r="AU650" s="140">
        <v>0</v>
      </c>
      <c r="AV650" s="140">
        <v>1</v>
      </c>
      <c r="AW650" s="140">
        <v>0</v>
      </c>
      <c r="AX650" s="140">
        <v>-1</v>
      </c>
      <c r="AY650" s="140">
        <v>0</v>
      </c>
      <c r="AZ650" s="140">
        <v>0</v>
      </c>
      <c r="BA650" s="140">
        <v>0</v>
      </c>
      <c r="BB650" s="140">
        <v>0</v>
      </c>
      <c r="BC650" s="140">
        <v>0</v>
      </c>
      <c r="BD650" s="140">
        <v>0</v>
      </c>
      <c r="BE650" s="140">
        <v>0</v>
      </c>
      <c r="BF650" s="140">
        <v>0</v>
      </c>
      <c r="BG650" s="140">
        <v>0</v>
      </c>
      <c r="BH650" s="140">
        <v>0</v>
      </c>
      <c r="BI650" s="140">
        <v>0</v>
      </c>
      <c r="BJ650" s="140">
        <v>0</v>
      </c>
      <c r="BK650" s="140">
        <v>0</v>
      </c>
      <c r="BL650" s="140">
        <v>0</v>
      </c>
      <c r="BM650" s="140">
        <v>0</v>
      </c>
      <c r="BN650" s="140">
        <v>0</v>
      </c>
      <c r="BO650" s="140">
        <v>0</v>
      </c>
      <c r="BP650" s="43" t="s">
        <v>139</v>
      </c>
      <c r="BX650" s="43">
        <v>15</v>
      </c>
      <c r="BZ650" s="90">
        <f t="shared" si="71"/>
        <v>0</v>
      </c>
      <c r="CA650" s="90">
        <f t="shared" si="71"/>
        <v>0</v>
      </c>
      <c r="CB650" s="90">
        <f t="shared" si="71"/>
        <v>0</v>
      </c>
      <c r="CT650" s="90">
        <f t="shared" si="69"/>
        <v>0</v>
      </c>
      <c r="CU650" s="90">
        <f t="shared" si="70"/>
        <v>0</v>
      </c>
    </row>
    <row r="651" spans="1:99" ht="12" customHeight="1">
      <c r="A651" s="43">
        <v>4689</v>
      </c>
      <c r="B651" s="89" t="s">
        <v>1515</v>
      </c>
      <c r="C651" s="89" t="s">
        <v>1828</v>
      </c>
      <c r="D651" s="89" t="s">
        <v>1829</v>
      </c>
      <c r="E651" s="89" t="s">
        <v>944</v>
      </c>
      <c r="F651" s="43">
        <v>527473</v>
      </c>
      <c r="G651" s="43">
        <v>175071</v>
      </c>
      <c r="H651" s="89" t="s">
        <v>174</v>
      </c>
      <c r="K651" s="140">
        <v>0</v>
      </c>
      <c r="L651" s="140">
        <v>1</v>
      </c>
      <c r="M651" s="140">
        <v>1</v>
      </c>
      <c r="N651" s="140">
        <v>2</v>
      </c>
      <c r="O651" s="140">
        <v>1</v>
      </c>
      <c r="Q651" s="89" t="s">
        <v>1830</v>
      </c>
      <c r="R651" s="43" t="s">
        <v>316</v>
      </c>
      <c r="S651" s="125">
        <v>43543</v>
      </c>
      <c r="T651" s="117">
        <v>43599</v>
      </c>
      <c r="U651" s="43" t="s">
        <v>329</v>
      </c>
      <c r="V651" s="43" t="s">
        <v>317</v>
      </c>
      <c r="X651" s="43" t="s">
        <v>318</v>
      </c>
      <c r="Y651" s="43" t="s">
        <v>319</v>
      </c>
      <c r="Z651" s="43" t="s">
        <v>320</v>
      </c>
      <c r="AA651" s="43" t="s">
        <v>340</v>
      </c>
      <c r="AB651" s="144">
        <v>4.0000001899898104E-3</v>
      </c>
      <c r="AF651" s="43" t="s">
        <v>75</v>
      </c>
      <c r="AG651" s="43" t="s">
        <v>322</v>
      </c>
      <c r="AJ651" s="140">
        <v>0</v>
      </c>
      <c r="AK651" s="140">
        <v>0</v>
      </c>
      <c r="AL651" s="140">
        <v>0</v>
      </c>
      <c r="AM651" s="140">
        <v>0</v>
      </c>
      <c r="AN651" s="140">
        <v>0</v>
      </c>
      <c r="AO651" s="140">
        <v>0</v>
      </c>
      <c r="AP651" s="140">
        <v>0</v>
      </c>
      <c r="AQ651" s="140">
        <v>1</v>
      </c>
      <c r="AR651" s="140">
        <v>0</v>
      </c>
      <c r="AS651" s="140">
        <v>0</v>
      </c>
      <c r="AT651" s="140">
        <v>0</v>
      </c>
      <c r="AU651" s="140">
        <v>0</v>
      </c>
      <c r="AV651" s="140">
        <v>0</v>
      </c>
      <c r="AW651" s="140">
        <v>0</v>
      </c>
      <c r="AX651" s="140">
        <v>1</v>
      </c>
      <c r="AY651" s="140">
        <v>0</v>
      </c>
      <c r="AZ651" s="140">
        <v>0</v>
      </c>
      <c r="BA651" s="140">
        <v>0</v>
      </c>
      <c r="BB651" s="140">
        <v>0</v>
      </c>
      <c r="BC651" s="140">
        <v>0</v>
      </c>
      <c r="BD651" s="140">
        <v>0</v>
      </c>
      <c r="BE651" s="140">
        <v>0</v>
      </c>
      <c r="BF651" s="140">
        <v>0</v>
      </c>
      <c r="BG651" s="140">
        <v>0</v>
      </c>
      <c r="BH651" s="140">
        <v>0</v>
      </c>
      <c r="BI651" s="140">
        <v>0</v>
      </c>
      <c r="BJ651" s="140">
        <v>0</v>
      </c>
      <c r="BK651" s="140">
        <v>0</v>
      </c>
      <c r="BL651" s="140">
        <v>0</v>
      </c>
      <c r="BM651" s="140">
        <v>0</v>
      </c>
      <c r="BN651" s="140">
        <v>0</v>
      </c>
      <c r="BO651" s="140">
        <v>0</v>
      </c>
      <c r="BP651" s="43" t="s">
        <v>139</v>
      </c>
      <c r="BX651" s="43">
        <v>15</v>
      </c>
      <c r="BZ651" s="90">
        <f t="shared" si="71"/>
        <v>0.33333333333333331</v>
      </c>
      <c r="CA651" s="90">
        <f t="shared" si="71"/>
        <v>0.33333333333333331</v>
      </c>
      <c r="CB651" s="90">
        <f t="shared" si="71"/>
        <v>0.33333333333333331</v>
      </c>
      <c r="CT651" s="90">
        <f t="shared" si="69"/>
        <v>1</v>
      </c>
      <c r="CU651" s="90">
        <f t="shared" si="70"/>
        <v>1</v>
      </c>
    </row>
    <row r="652" spans="1:99" ht="12" customHeight="1">
      <c r="A652" s="43">
        <v>4718</v>
      </c>
      <c r="B652" s="89" t="s">
        <v>1515</v>
      </c>
      <c r="C652" s="89" t="s">
        <v>1831</v>
      </c>
      <c r="D652" s="89" t="s">
        <v>463</v>
      </c>
      <c r="E652" s="89" t="s">
        <v>1832</v>
      </c>
      <c r="F652" s="43">
        <v>529643</v>
      </c>
      <c r="G652" s="43">
        <v>177593</v>
      </c>
      <c r="H652" s="89" t="s">
        <v>148</v>
      </c>
      <c r="K652" s="140">
        <v>0</v>
      </c>
      <c r="L652" s="140">
        <v>207</v>
      </c>
      <c r="M652" s="140">
        <v>207</v>
      </c>
      <c r="N652" s="140">
        <v>207</v>
      </c>
      <c r="O652" s="140">
        <v>207</v>
      </c>
      <c r="P652" s="43" t="s">
        <v>329</v>
      </c>
      <c r="Q652" s="89" t="s">
        <v>1833</v>
      </c>
      <c r="R652" s="43" t="s">
        <v>466</v>
      </c>
      <c r="S652" s="125">
        <v>42283</v>
      </c>
      <c r="T652" s="117">
        <v>42870</v>
      </c>
      <c r="V652" s="43" t="s">
        <v>317</v>
      </c>
      <c r="X652" s="43" t="s">
        <v>318</v>
      </c>
      <c r="Y652" s="43" t="s">
        <v>361</v>
      </c>
      <c r="Z652" s="43" t="s">
        <v>361</v>
      </c>
      <c r="AA652" s="43" t="s">
        <v>320</v>
      </c>
      <c r="AB652" s="144">
        <v>0.279000014066696</v>
      </c>
      <c r="AF652" s="43" t="s">
        <v>75</v>
      </c>
      <c r="AG652" s="43" t="s">
        <v>322</v>
      </c>
      <c r="AH652" s="43" t="s">
        <v>467</v>
      </c>
      <c r="AJ652" s="140">
        <v>0</v>
      </c>
      <c r="AK652" s="140">
        <v>0</v>
      </c>
      <c r="AL652" s="140">
        <v>0</v>
      </c>
      <c r="AM652" s="140">
        <v>0</v>
      </c>
      <c r="AN652" s="140">
        <v>18</v>
      </c>
      <c r="AO652" s="140">
        <v>49</v>
      </c>
      <c r="AP652" s="140">
        <v>124</v>
      </c>
      <c r="AQ652" s="140">
        <v>16</v>
      </c>
      <c r="AR652" s="140">
        <v>0</v>
      </c>
      <c r="AS652" s="140">
        <v>0</v>
      </c>
      <c r="AT652" s="140">
        <v>0</v>
      </c>
      <c r="AU652" s="140">
        <v>18</v>
      </c>
      <c r="AV652" s="140">
        <v>49</v>
      </c>
      <c r="AW652" s="140">
        <v>124</v>
      </c>
      <c r="AX652" s="140">
        <v>16</v>
      </c>
      <c r="AY652" s="140">
        <v>0</v>
      </c>
      <c r="AZ652" s="140">
        <v>0</v>
      </c>
      <c r="BA652" s="140">
        <v>0</v>
      </c>
      <c r="BB652" s="140">
        <v>0</v>
      </c>
      <c r="BC652" s="140">
        <v>0</v>
      </c>
      <c r="BD652" s="140">
        <v>0</v>
      </c>
      <c r="BE652" s="140">
        <v>0</v>
      </c>
      <c r="BF652" s="140">
        <v>0</v>
      </c>
      <c r="BG652" s="140">
        <v>0</v>
      </c>
      <c r="BH652" s="140">
        <v>0</v>
      </c>
      <c r="BI652" s="140">
        <v>0</v>
      </c>
      <c r="BJ652" s="140">
        <v>0</v>
      </c>
      <c r="BK652" s="140">
        <v>0</v>
      </c>
      <c r="BL652" s="140">
        <v>0</v>
      </c>
      <c r="BM652" s="140">
        <v>0</v>
      </c>
      <c r="BN652" s="140">
        <v>0</v>
      </c>
      <c r="BO652" s="140">
        <v>0</v>
      </c>
      <c r="BQ652" s="43" t="s">
        <v>329</v>
      </c>
      <c r="BX652" s="43">
        <v>21</v>
      </c>
      <c r="CD652" s="90">
        <f>M652</f>
        <v>207</v>
      </c>
      <c r="CT652" s="90">
        <f t="shared" si="69"/>
        <v>207</v>
      </c>
      <c r="CU652" s="90">
        <f t="shared" si="70"/>
        <v>207</v>
      </c>
    </row>
    <row r="653" spans="1:99" ht="12" customHeight="1">
      <c r="A653" s="43">
        <v>4750</v>
      </c>
      <c r="B653" s="89" t="s">
        <v>1515</v>
      </c>
      <c r="C653" s="89" t="s">
        <v>1834</v>
      </c>
      <c r="D653" s="89" t="s">
        <v>1835</v>
      </c>
      <c r="F653" s="43">
        <v>525522</v>
      </c>
      <c r="G653" s="43">
        <v>174660</v>
      </c>
      <c r="H653" s="89" t="s">
        <v>176</v>
      </c>
      <c r="K653" s="140">
        <v>0</v>
      </c>
      <c r="L653" s="140">
        <v>6</v>
      </c>
      <c r="M653" s="140">
        <v>6</v>
      </c>
      <c r="N653" s="140">
        <v>6</v>
      </c>
      <c r="O653" s="140">
        <v>6</v>
      </c>
      <c r="Q653" s="89" t="s">
        <v>1836</v>
      </c>
      <c r="R653" s="43" t="s">
        <v>316</v>
      </c>
      <c r="S653" s="125">
        <v>43180</v>
      </c>
      <c r="T653" s="117">
        <v>43278</v>
      </c>
      <c r="V653" s="43" t="s">
        <v>317</v>
      </c>
      <c r="X653" s="43" t="s">
        <v>318</v>
      </c>
      <c r="Y653" s="43" t="s">
        <v>319</v>
      </c>
      <c r="Z653" s="43" t="s">
        <v>320</v>
      </c>
      <c r="AA653" s="43" t="s">
        <v>353</v>
      </c>
      <c r="AB653" s="144">
        <v>1.8999999389052401E-2</v>
      </c>
      <c r="AF653" s="43" t="s">
        <v>75</v>
      </c>
      <c r="AG653" s="43" t="s">
        <v>322</v>
      </c>
      <c r="AJ653" s="140">
        <v>0</v>
      </c>
      <c r="AK653" s="140">
        <v>6</v>
      </c>
      <c r="AL653" s="140">
        <v>0</v>
      </c>
      <c r="AM653" s="140">
        <v>0</v>
      </c>
      <c r="AN653" s="140">
        <v>1</v>
      </c>
      <c r="AO653" s="140">
        <v>1</v>
      </c>
      <c r="AP653" s="140">
        <v>4</v>
      </c>
      <c r="AQ653" s="140">
        <v>0</v>
      </c>
      <c r="AR653" s="140">
        <v>0</v>
      </c>
      <c r="AS653" s="140">
        <v>0</v>
      </c>
      <c r="AT653" s="140">
        <v>0</v>
      </c>
      <c r="AU653" s="140">
        <v>1</v>
      </c>
      <c r="AV653" s="140">
        <v>1</v>
      </c>
      <c r="AW653" s="140">
        <v>4</v>
      </c>
      <c r="AX653" s="140">
        <v>0</v>
      </c>
      <c r="AY653" s="140">
        <v>0</v>
      </c>
      <c r="AZ653" s="140">
        <v>0</v>
      </c>
      <c r="BA653" s="140">
        <v>0</v>
      </c>
      <c r="BB653" s="140">
        <v>0</v>
      </c>
      <c r="BC653" s="140">
        <v>0</v>
      </c>
      <c r="BD653" s="140">
        <v>0</v>
      </c>
      <c r="BE653" s="140">
        <v>0</v>
      </c>
      <c r="BF653" s="140">
        <v>0</v>
      </c>
      <c r="BG653" s="140">
        <v>0</v>
      </c>
      <c r="BH653" s="140">
        <v>0</v>
      </c>
      <c r="BI653" s="140">
        <v>0</v>
      </c>
      <c r="BJ653" s="140">
        <v>0</v>
      </c>
      <c r="BK653" s="140">
        <v>0</v>
      </c>
      <c r="BL653" s="140">
        <v>0</v>
      </c>
      <c r="BM653" s="140">
        <v>0</v>
      </c>
      <c r="BN653" s="140">
        <v>0</v>
      </c>
      <c r="BO653" s="140">
        <v>0</v>
      </c>
      <c r="BP653" s="43" t="s">
        <v>142</v>
      </c>
      <c r="BR653" s="43" t="s">
        <v>329</v>
      </c>
      <c r="BX653" s="43">
        <v>18</v>
      </c>
      <c r="CA653" s="90">
        <f>$M653/4</f>
        <v>1.5</v>
      </c>
      <c r="CB653" s="90">
        <f>$M653/4</f>
        <v>1.5</v>
      </c>
      <c r="CC653" s="90">
        <f>$M653/4</f>
        <v>1.5</v>
      </c>
      <c r="CD653" s="90">
        <f>$M653/4</f>
        <v>1.5</v>
      </c>
      <c r="CT653" s="90">
        <f t="shared" si="69"/>
        <v>6</v>
      </c>
      <c r="CU653" s="90">
        <f t="shared" si="70"/>
        <v>6</v>
      </c>
    </row>
    <row r="654" spans="1:99" ht="12" customHeight="1">
      <c r="A654" s="43">
        <v>4775</v>
      </c>
      <c r="B654" s="89" t="s">
        <v>1515</v>
      </c>
      <c r="C654" s="89" t="s">
        <v>1837</v>
      </c>
      <c r="D654" s="89" t="s">
        <v>1039</v>
      </c>
      <c r="F654" s="43">
        <v>521333</v>
      </c>
      <c r="G654" s="43">
        <v>174425</v>
      </c>
      <c r="H654" s="89" t="s">
        <v>149</v>
      </c>
      <c r="K654" s="140">
        <v>0</v>
      </c>
      <c r="L654" s="140">
        <v>3</v>
      </c>
      <c r="M654" s="140">
        <v>3</v>
      </c>
      <c r="N654" s="140">
        <v>3</v>
      </c>
      <c r="O654" s="140">
        <v>3</v>
      </c>
      <c r="Q654" s="89" t="s">
        <v>1838</v>
      </c>
      <c r="R654" s="43" t="s">
        <v>316</v>
      </c>
      <c r="S654" s="125">
        <v>43643</v>
      </c>
      <c r="T654" s="117">
        <v>43677</v>
      </c>
      <c r="U654" s="43" t="s">
        <v>329</v>
      </c>
      <c r="V654" s="43" t="s">
        <v>317</v>
      </c>
      <c r="X654" s="43" t="s">
        <v>318</v>
      </c>
      <c r="Y654" s="43" t="s">
        <v>336</v>
      </c>
      <c r="Z654" s="43" t="s">
        <v>320</v>
      </c>
      <c r="AA654" s="43" t="s">
        <v>36</v>
      </c>
      <c r="AB654" s="144">
        <v>1.4999999664723899E-2</v>
      </c>
      <c r="AF654" s="43" t="s">
        <v>75</v>
      </c>
      <c r="AG654" s="43" t="s">
        <v>322</v>
      </c>
      <c r="AJ654" s="140">
        <v>0</v>
      </c>
      <c r="AK654" s="140">
        <v>0</v>
      </c>
      <c r="AL654" s="140">
        <v>0</v>
      </c>
      <c r="AM654" s="140">
        <v>0</v>
      </c>
      <c r="AN654" s="140">
        <v>0</v>
      </c>
      <c r="AO654" s="140">
        <v>3</v>
      </c>
      <c r="AP654" s="140">
        <v>0</v>
      </c>
      <c r="AQ654" s="140">
        <v>0</v>
      </c>
      <c r="AR654" s="140">
        <v>0</v>
      </c>
      <c r="AS654" s="140">
        <v>0</v>
      </c>
      <c r="AT654" s="140">
        <v>0</v>
      </c>
      <c r="AU654" s="140">
        <v>0</v>
      </c>
      <c r="AV654" s="140">
        <v>3</v>
      </c>
      <c r="AW654" s="140">
        <v>0</v>
      </c>
      <c r="AX654" s="140">
        <v>0</v>
      </c>
      <c r="AY654" s="140">
        <v>0</v>
      </c>
      <c r="AZ654" s="140">
        <v>0</v>
      </c>
      <c r="BA654" s="140">
        <v>0</v>
      </c>
      <c r="BB654" s="140">
        <v>0</v>
      </c>
      <c r="BC654" s="140">
        <v>0</v>
      </c>
      <c r="BD654" s="140">
        <v>0</v>
      </c>
      <c r="BE654" s="140">
        <v>0</v>
      </c>
      <c r="BF654" s="140">
        <v>0</v>
      </c>
      <c r="BG654" s="140">
        <v>0</v>
      </c>
      <c r="BH654" s="140">
        <v>0</v>
      </c>
      <c r="BI654" s="140">
        <v>0</v>
      </c>
      <c r="BJ654" s="140">
        <v>0</v>
      </c>
      <c r="BK654" s="140">
        <v>0</v>
      </c>
      <c r="BL654" s="140">
        <v>0</v>
      </c>
      <c r="BM654" s="140">
        <v>0</v>
      </c>
      <c r="BN654" s="140">
        <v>0</v>
      </c>
      <c r="BO654" s="140">
        <v>0</v>
      </c>
      <c r="BX654" s="43">
        <v>16</v>
      </c>
      <c r="CA654" s="90">
        <f>M654</f>
        <v>3</v>
      </c>
      <c r="CT654" s="90">
        <f t="shared" si="69"/>
        <v>3</v>
      </c>
      <c r="CU654" s="90">
        <f t="shared" si="70"/>
        <v>3</v>
      </c>
    </row>
    <row r="655" spans="1:99" ht="12" customHeight="1">
      <c r="A655" s="43">
        <v>4797</v>
      </c>
      <c r="B655" s="89" t="s">
        <v>1515</v>
      </c>
      <c r="C655" s="89" t="s">
        <v>1839</v>
      </c>
      <c r="D655" s="89" t="s">
        <v>1840</v>
      </c>
      <c r="E655" s="89" t="s">
        <v>1841</v>
      </c>
      <c r="F655" s="43">
        <v>527293</v>
      </c>
      <c r="G655" s="43">
        <v>177185</v>
      </c>
      <c r="H655" s="89" t="s">
        <v>177</v>
      </c>
      <c r="I655" s="125">
        <v>41870</v>
      </c>
      <c r="K655" s="140">
        <v>0</v>
      </c>
      <c r="L655" s="140">
        <v>1</v>
      </c>
      <c r="M655" s="140">
        <v>1</v>
      </c>
      <c r="N655" s="140">
        <v>2</v>
      </c>
      <c r="O655" s="140">
        <v>2</v>
      </c>
      <c r="Q655" s="89" t="s">
        <v>1842</v>
      </c>
      <c r="R655" s="43" t="s">
        <v>443</v>
      </c>
      <c r="S655" s="125">
        <v>41814</v>
      </c>
      <c r="T655" s="117">
        <v>41870</v>
      </c>
      <c r="V655" s="43" t="s">
        <v>317</v>
      </c>
      <c r="X655" s="43" t="s">
        <v>318</v>
      </c>
      <c r="Y655" s="43" t="s">
        <v>336</v>
      </c>
      <c r="Z655" s="43" t="s">
        <v>320</v>
      </c>
      <c r="AA655" s="43" t="s">
        <v>33</v>
      </c>
      <c r="AB655" s="144">
        <v>7.0000002160668399E-3</v>
      </c>
      <c r="AF655" s="43" t="s">
        <v>75</v>
      </c>
      <c r="AG655" s="43" t="s">
        <v>322</v>
      </c>
      <c r="AJ655" s="140">
        <v>0</v>
      </c>
      <c r="AK655" s="140">
        <v>0</v>
      </c>
      <c r="AL655" s="140">
        <v>0</v>
      </c>
      <c r="AM655" s="140">
        <v>0</v>
      </c>
      <c r="AN655" s="140">
        <v>0</v>
      </c>
      <c r="AO655" s="140">
        <v>0</v>
      </c>
      <c r="AP655" s="140">
        <v>0</v>
      </c>
      <c r="AQ655" s="140">
        <v>1</v>
      </c>
      <c r="AR655" s="140">
        <v>0</v>
      </c>
      <c r="AS655" s="140">
        <v>0</v>
      </c>
      <c r="AT655" s="140">
        <v>0</v>
      </c>
      <c r="AU655" s="140">
        <v>0</v>
      </c>
      <c r="AV655" s="140">
        <v>0</v>
      </c>
      <c r="AW655" s="140">
        <v>0</v>
      </c>
      <c r="AX655" s="140">
        <v>1</v>
      </c>
      <c r="AY655" s="140">
        <v>0</v>
      </c>
      <c r="AZ655" s="140">
        <v>0</v>
      </c>
      <c r="BA655" s="140">
        <v>0</v>
      </c>
      <c r="BB655" s="140">
        <v>0</v>
      </c>
      <c r="BC655" s="140">
        <v>0</v>
      </c>
      <c r="BD655" s="140">
        <v>0</v>
      </c>
      <c r="BE655" s="140">
        <v>0</v>
      </c>
      <c r="BF655" s="140">
        <v>0</v>
      </c>
      <c r="BG655" s="140">
        <v>0</v>
      </c>
      <c r="BH655" s="140">
        <v>0</v>
      </c>
      <c r="BI655" s="140">
        <v>0</v>
      </c>
      <c r="BJ655" s="140">
        <v>0</v>
      </c>
      <c r="BK655" s="140">
        <v>0</v>
      </c>
      <c r="BL655" s="140">
        <v>0</v>
      </c>
      <c r="BM655" s="140">
        <v>0</v>
      </c>
      <c r="BN655" s="140">
        <v>0</v>
      </c>
      <c r="BO655" s="140">
        <v>0</v>
      </c>
      <c r="BV655" s="43" t="s">
        <v>329</v>
      </c>
      <c r="BX655" s="43">
        <v>15</v>
      </c>
      <c r="BZ655" s="90">
        <f t="shared" ref="BZ655:CB661" si="72">$M655/3</f>
        <v>0.33333333333333331</v>
      </c>
      <c r="CA655" s="90">
        <f t="shared" si="72"/>
        <v>0.33333333333333331</v>
      </c>
      <c r="CB655" s="90">
        <f t="shared" si="72"/>
        <v>0.33333333333333331</v>
      </c>
      <c r="CT655" s="90">
        <f t="shared" si="69"/>
        <v>1</v>
      </c>
      <c r="CU655" s="90">
        <f t="shared" si="70"/>
        <v>1</v>
      </c>
    </row>
    <row r="656" spans="1:99" ht="12" customHeight="1">
      <c r="A656" s="43">
        <v>4936</v>
      </c>
      <c r="B656" s="89" t="s">
        <v>1515</v>
      </c>
      <c r="C656" s="89" t="s">
        <v>1843</v>
      </c>
      <c r="D656" s="89" t="s">
        <v>1844</v>
      </c>
      <c r="F656" s="43">
        <v>526431</v>
      </c>
      <c r="G656" s="43">
        <v>175730</v>
      </c>
      <c r="H656" s="89" t="s">
        <v>177</v>
      </c>
      <c r="K656" s="140">
        <v>0</v>
      </c>
      <c r="L656" s="140">
        <v>2</v>
      </c>
      <c r="M656" s="140">
        <v>2</v>
      </c>
      <c r="N656" s="140">
        <v>2</v>
      </c>
      <c r="O656" s="140">
        <v>2</v>
      </c>
      <c r="Q656" s="89" t="s">
        <v>1845</v>
      </c>
      <c r="R656" s="43" t="s">
        <v>443</v>
      </c>
      <c r="S656" s="125">
        <v>42493</v>
      </c>
      <c r="T656" s="117">
        <v>42549</v>
      </c>
      <c r="V656" s="43" t="s">
        <v>317</v>
      </c>
      <c r="X656" s="43" t="s">
        <v>318</v>
      </c>
      <c r="Y656" s="43" t="s">
        <v>336</v>
      </c>
      <c r="Z656" s="43" t="s">
        <v>320</v>
      </c>
      <c r="AA656" s="43" t="s">
        <v>33</v>
      </c>
      <c r="AB656" s="144">
        <v>4.0000001899898104E-3</v>
      </c>
      <c r="AF656" s="43" t="s">
        <v>75</v>
      </c>
      <c r="AG656" s="43" t="s">
        <v>322</v>
      </c>
      <c r="AH656" s="43" t="s">
        <v>838</v>
      </c>
      <c r="AJ656" s="140">
        <v>0</v>
      </c>
      <c r="AK656" s="140">
        <v>0</v>
      </c>
      <c r="AL656" s="140">
        <v>0</v>
      </c>
      <c r="AM656" s="140">
        <v>0</v>
      </c>
      <c r="AN656" s="140">
        <v>0</v>
      </c>
      <c r="AO656" s="140">
        <v>0</v>
      </c>
      <c r="AP656" s="140">
        <v>2</v>
      </c>
      <c r="AQ656" s="140">
        <v>0</v>
      </c>
      <c r="AR656" s="140">
        <v>0</v>
      </c>
      <c r="AS656" s="140">
        <v>0</v>
      </c>
      <c r="AT656" s="140">
        <v>0</v>
      </c>
      <c r="AU656" s="140">
        <v>0</v>
      </c>
      <c r="AV656" s="140">
        <v>0</v>
      </c>
      <c r="AW656" s="140">
        <v>2</v>
      </c>
      <c r="AX656" s="140">
        <v>0</v>
      </c>
      <c r="AY656" s="140">
        <v>0</v>
      </c>
      <c r="AZ656" s="140">
        <v>0</v>
      </c>
      <c r="BA656" s="140">
        <v>0</v>
      </c>
      <c r="BB656" s="140">
        <v>0</v>
      </c>
      <c r="BC656" s="140">
        <v>0</v>
      </c>
      <c r="BD656" s="140">
        <v>0</v>
      </c>
      <c r="BE656" s="140">
        <v>0</v>
      </c>
      <c r="BF656" s="140">
        <v>0</v>
      </c>
      <c r="BG656" s="140">
        <v>0</v>
      </c>
      <c r="BH656" s="140">
        <v>0</v>
      </c>
      <c r="BI656" s="140">
        <v>0</v>
      </c>
      <c r="BJ656" s="140">
        <v>0</v>
      </c>
      <c r="BK656" s="140">
        <v>0</v>
      </c>
      <c r="BL656" s="140">
        <v>0</v>
      </c>
      <c r="BM656" s="140">
        <v>0</v>
      </c>
      <c r="BN656" s="140">
        <v>0</v>
      </c>
      <c r="BO656" s="140">
        <v>0</v>
      </c>
      <c r="BV656" s="43" t="s">
        <v>329</v>
      </c>
      <c r="BX656" s="43">
        <v>15</v>
      </c>
      <c r="BZ656" s="90">
        <f t="shared" si="72"/>
        <v>0.66666666666666663</v>
      </c>
      <c r="CA656" s="90">
        <f t="shared" si="72"/>
        <v>0.66666666666666663</v>
      </c>
      <c r="CB656" s="90">
        <f t="shared" si="72"/>
        <v>0.66666666666666663</v>
      </c>
      <c r="CT656" s="90">
        <f t="shared" si="69"/>
        <v>2</v>
      </c>
      <c r="CU656" s="90">
        <f t="shared" si="70"/>
        <v>2</v>
      </c>
    </row>
    <row r="657" spans="1:99" ht="12" customHeight="1">
      <c r="A657" s="43">
        <v>4936</v>
      </c>
      <c r="B657" s="89" t="s">
        <v>1515</v>
      </c>
      <c r="C657" s="89" t="s">
        <v>1846</v>
      </c>
      <c r="D657" s="89" t="s">
        <v>1844</v>
      </c>
      <c r="F657" s="43">
        <v>526431</v>
      </c>
      <c r="G657" s="43">
        <v>175730</v>
      </c>
      <c r="H657" s="89" t="s">
        <v>177</v>
      </c>
      <c r="K657" s="140">
        <v>0</v>
      </c>
      <c r="L657" s="140">
        <v>4</v>
      </c>
      <c r="M657" s="140">
        <v>4</v>
      </c>
      <c r="N657" s="140">
        <v>4</v>
      </c>
      <c r="O657" s="140">
        <v>4</v>
      </c>
      <c r="Q657" s="89" t="s">
        <v>1847</v>
      </c>
      <c r="R657" s="43" t="s">
        <v>443</v>
      </c>
      <c r="S657" s="125">
        <v>42536</v>
      </c>
      <c r="T657" s="117">
        <v>42592</v>
      </c>
      <c r="V657" s="43" t="s">
        <v>317</v>
      </c>
      <c r="X657" s="43" t="s">
        <v>318</v>
      </c>
      <c r="Y657" s="43" t="s">
        <v>336</v>
      </c>
      <c r="Z657" s="43" t="s">
        <v>320</v>
      </c>
      <c r="AA657" s="43" t="s">
        <v>33</v>
      </c>
      <c r="AB657" s="144">
        <v>8.9999996125698107E-3</v>
      </c>
      <c r="AF657" s="43" t="s">
        <v>75</v>
      </c>
      <c r="AG657" s="43" t="s">
        <v>322</v>
      </c>
      <c r="AH657" s="43" t="s">
        <v>838</v>
      </c>
      <c r="AJ657" s="140">
        <v>0</v>
      </c>
      <c r="AK657" s="140">
        <v>0</v>
      </c>
      <c r="AL657" s="140">
        <v>0</v>
      </c>
      <c r="AM657" s="140">
        <v>0</v>
      </c>
      <c r="AN657" s="140">
        <v>0</v>
      </c>
      <c r="AO657" s="140">
        <v>0</v>
      </c>
      <c r="AP657" s="140">
        <v>4</v>
      </c>
      <c r="AQ657" s="140">
        <v>0</v>
      </c>
      <c r="AR657" s="140">
        <v>0</v>
      </c>
      <c r="AS657" s="140">
        <v>0</v>
      </c>
      <c r="AT657" s="140">
        <v>0</v>
      </c>
      <c r="AU657" s="140">
        <v>0</v>
      </c>
      <c r="AV657" s="140">
        <v>0</v>
      </c>
      <c r="AW657" s="140">
        <v>4</v>
      </c>
      <c r="AX657" s="140">
        <v>0</v>
      </c>
      <c r="AY657" s="140">
        <v>0</v>
      </c>
      <c r="AZ657" s="140">
        <v>0</v>
      </c>
      <c r="BA657" s="140">
        <v>0</v>
      </c>
      <c r="BB657" s="140">
        <v>0</v>
      </c>
      <c r="BC657" s="140">
        <v>0</v>
      </c>
      <c r="BD657" s="140">
        <v>0</v>
      </c>
      <c r="BE657" s="140">
        <v>0</v>
      </c>
      <c r="BF657" s="140">
        <v>0</v>
      </c>
      <c r="BG657" s="140">
        <v>0</v>
      </c>
      <c r="BH657" s="140">
        <v>0</v>
      </c>
      <c r="BI657" s="140">
        <v>0</v>
      </c>
      <c r="BJ657" s="140">
        <v>0</v>
      </c>
      <c r="BK657" s="140">
        <v>0</v>
      </c>
      <c r="BL657" s="140">
        <v>0</v>
      </c>
      <c r="BM657" s="140">
        <v>0</v>
      </c>
      <c r="BN657" s="140">
        <v>0</v>
      </c>
      <c r="BO657" s="140">
        <v>0</v>
      </c>
      <c r="BV657" s="43" t="s">
        <v>329</v>
      </c>
      <c r="BX657" s="43">
        <v>15</v>
      </c>
      <c r="BZ657" s="90">
        <f t="shared" si="72"/>
        <v>1.3333333333333333</v>
      </c>
      <c r="CA657" s="90">
        <f t="shared" si="72"/>
        <v>1.3333333333333333</v>
      </c>
      <c r="CB657" s="90">
        <f t="shared" si="72"/>
        <v>1.3333333333333333</v>
      </c>
      <c r="CT657" s="90">
        <f t="shared" si="69"/>
        <v>4</v>
      </c>
      <c r="CU657" s="90">
        <f t="shared" si="70"/>
        <v>4</v>
      </c>
    </row>
    <row r="658" spans="1:99" ht="12" customHeight="1">
      <c r="A658" s="43">
        <v>4936</v>
      </c>
      <c r="B658" s="89" t="s">
        <v>1515</v>
      </c>
      <c r="C658" s="89" t="s">
        <v>1848</v>
      </c>
      <c r="D658" s="89" t="s">
        <v>1844</v>
      </c>
      <c r="F658" s="43">
        <v>526431</v>
      </c>
      <c r="G658" s="43">
        <v>175730</v>
      </c>
      <c r="H658" s="89" t="s">
        <v>177</v>
      </c>
      <c r="K658" s="140">
        <v>0</v>
      </c>
      <c r="L658" s="140">
        <v>2</v>
      </c>
      <c r="M658" s="140">
        <v>2</v>
      </c>
      <c r="N658" s="140">
        <v>2</v>
      </c>
      <c r="O658" s="140">
        <v>2</v>
      </c>
      <c r="Q658" s="89" t="s">
        <v>1849</v>
      </c>
      <c r="R658" s="43" t="s">
        <v>443</v>
      </c>
      <c r="S658" s="125">
        <v>42551</v>
      </c>
      <c r="T658" s="117">
        <v>42607</v>
      </c>
      <c r="V658" s="43" t="s">
        <v>317</v>
      </c>
      <c r="X658" s="43" t="s">
        <v>318</v>
      </c>
      <c r="Y658" s="43" t="s">
        <v>336</v>
      </c>
      <c r="Z658" s="43" t="s">
        <v>320</v>
      </c>
      <c r="AA658" s="43" t="s">
        <v>33</v>
      </c>
      <c r="AB658" s="144">
        <v>6.0000000521540598E-3</v>
      </c>
      <c r="AF658" s="43" t="s">
        <v>75</v>
      </c>
      <c r="AG658" s="43" t="s">
        <v>322</v>
      </c>
      <c r="AH658" s="43" t="s">
        <v>838</v>
      </c>
      <c r="AJ658" s="140">
        <v>0</v>
      </c>
      <c r="AK658" s="140">
        <v>0</v>
      </c>
      <c r="AL658" s="140">
        <v>0</v>
      </c>
      <c r="AM658" s="140">
        <v>0</v>
      </c>
      <c r="AN658" s="140">
        <v>0</v>
      </c>
      <c r="AO658" s="140">
        <v>0</v>
      </c>
      <c r="AP658" s="140">
        <v>2</v>
      </c>
      <c r="AQ658" s="140">
        <v>0</v>
      </c>
      <c r="AR658" s="140">
        <v>0</v>
      </c>
      <c r="AS658" s="140">
        <v>0</v>
      </c>
      <c r="AT658" s="140">
        <v>0</v>
      </c>
      <c r="AU658" s="140">
        <v>0</v>
      </c>
      <c r="AV658" s="140">
        <v>0</v>
      </c>
      <c r="AW658" s="140">
        <v>2</v>
      </c>
      <c r="AX658" s="140">
        <v>0</v>
      </c>
      <c r="AY658" s="140">
        <v>0</v>
      </c>
      <c r="AZ658" s="140">
        <v>0</v>
      </c>
      <c r="BA658" s="140">
        <v>0</v>
      </c>
      <c r="BB658" s="140">
        <v>0</v>
      </c>
      <c r="BC658" s="140">
        <v>0</v>
      </c>
      <c r="BD658" s="140">
        <v>0</v>
      </c>
      <c r="BE658" s="140">
        <v>0</v>
      </c>
      <c r="BF658" s="140">
        <v>0</v>
      </c>
      <c r="BG658" s="140">
        <v>0</v>
      </c>
      <c r="BH658" s="140">
        <v>0</v>
      </c>
      <c r="BI658" s="140">
        <v>0</v>
      </c>
      <c r="BJ658" s="140">
        <v>0</v>
      </c>
      <c r="BK658" s="140">
        <v>0</v>
      </c>
      <c r="BL658" s="140">
        <v>0</v>
      </c>
      <c r="BM658" s="140">
        <v>0</v>
      </c>
      <c r="BN658" s="140">
        <v>0</v>
      </c>
      <c r="BO658" s="140">
        <v>0</v>
      </c>
      <c r="BV658" s="43" t="s">
        <v>329</v>
      </c>
      <c r="BX658" s="43">
        <v>15</v>
      </c>
      <c r="BZ658" s="90">
        <f t="shared" si="72"/>
        <v>0.66666666666666663</v>
      </c>
      <c r="CA658" s="90">
        <f t="shared" si="72"/>
        <v>0.66666666666666663</v>
      </c>
      <c r="CB658" s="90">
        <f t="shared" si="72"/>
        <v>0.66666666666666663</v>
      </c>
      <c r="CT658" s="90">
        <f t="shared" si="69"/>
        <v>2</v>
      </c>
      <c r="CU658" s="90">
        <f t="shared" si="70"/>
        <v>2</v>
      </c>
    </row>
    <row r="659" spans="1:99" ht="12" customHeight="1">
      <c r="A659" s="43">
        <v>4944</v>
      </c>
      <c r="B659" s="89" t="s">
        <v>1515</v>
      </c>
      <c r="C659" s="89" t="s">
        <v>1850</v>
      </c>
      <c r="D659" s="89" t="s">
        <v>1851</v>
      </c>
      <c r="F659" s="43">
        <v>528817</v>
      </c>
      <c r="G659" s="43">
        <v>173818</v>
      </c>
      <c r="H659" s="89" t="s">
        <v>138</v>
      </c>
      <c r="K659" s="140">
        <v>1</v>
      </c>
      <c r="L659" s="140">
        <v>1</v>
      </c>
      <c r="M659" s="140">
        <v>0</v>
      </c>
      <c r="N659" s="140">
        <v>1</v>
      </c>
      <c r="O659" s="140">
        <v>0</v>
      </c>
      <c r="Q659" s="89" t="s">
        <v>1852</v>
      </c>
      <c r="R659" s="43" t="s">
        <v>316</v>
      </c>
      <c r="S659" s="125">
        <v>43245</v>
      </c>
      <c r="T659" s="117">
        <v>43293</v>
      </c>
      <c r="V659" s="43" t="s">
        <v>317</v>
      </c>
      <c r="X659" s="43" t="s">
        <v>318</v>
      </c>
      <c r="Y659" s="43" t="s">
        <v>319</v>
      </c>
      <c r="Z659" s="43" t="s">
        <v>320</v>
      </c>
      <c r="AA659" s="43" t="s">
        <v>30</v>
      </c>
      <c r="AB659" s="144">
        <v>4.0000001899898104E-3</v>
      </c>
      <c r="AF659" s="43" t="s">
        <v>75</v>
      </c>
      <c r="AG659" s="43" t="s">
        <v>322</v>
      </c>
      <c r="AJ659" s="140">
        <v>0</v>
      </c>
      <c r="AK659" s="140">
        <v>0</v>
      </c>
      <c r="AL659" s="140">
        <v>0</v>
      </c>
      <c r="AM659" s="140">
        <v>0</v>
      </c>
      <c r="AN659" s="140">
        <v>0</v>
      </c>
      <c r="AO659" s="140">
        <v>-1</v>
      </c>
      <c r="AP659" s="140">
        <v>1</v>
      </c>
      <c r="AQ659" s="140">
        <v>0</v>
      </c>
      <c r="AR659" s="140">
        <v>0</v>
      </c>
      <c r="AS659" s="140">
        <v>0</v>
      </c>
      <c r="AT659" s="140">
        <v>0</v>
      </c>
      <c r="AU659" s="140">
        <v>0</v>
      </c>
      <c r="AV659" s="140">
        <v>-1</v>
      </c>
      <c r="AW659" s="140">
        <v>0</v>
      </c>
      <c r="AX659" s="140">
        <v>0</v>
      </c>
      <c r="AY659" s="140">
        <v>0</v>
      </c>
      <c r="AZ659" s="140">
        <v>0</v>
      </c>
      <c r="BA659" s="140">
        <v>0</v>
      </c>
      <c r="BB659" s="140">
        <v>0</v>
      </c>
      <c r="BC659" s="140">
        <v>0</v>
      </c>
      <c r="BD659" s="140">
        <v>1</v>
      </c>
      <c r="BE659" s="140">
        <v>0</v>
      </c>
      <c r="BF659" s="140">
        <v>0</v>
      </c>
      <c r="BG659" s="140">
        <v>0</v>
      </c>
      <c r="BH659" s="140">
        <v>0</v>
      </c>
      <c r="BI659" s="140">
        <v>0</v>
      </c>
      <c r="BJ659" s="140">
        <v>0</v>
      </c>
      <c r="BK659" s="140">
        <v>0</v>
      </c>
      <c r="BL659" s="140">
        <v>0</v>
      </c>
      <c r="BM659" s="140">
        <v>0</v>
      </c>
      <c r="BN659" s="140">
        <v>0</v>
      </c>
      <c r="BO659" s="140">
        <v>0</v>
      </c>
      <c r="BX659" s="43">
        <v>15</v>
      </c>
      <c r="BZ659" s="90">
        <f t="shared" si="72"/>
        <v>0</v>
      </c>
      <c r="CA659" s="90">
        <f t="shared" si="72"/>
        <v>0</v>
      </c>
      <c r="CB659" s="90">
        <f t="shared" si="72"/>
        <v>0</v>
      </c>
      <c r="CT659" s="90">
        <f t="shared" si="69"/>
        <v>0</v>
      </c>
      <c r="CU659" s="90">
        <f t="shared" si="70"/>
        <v>0</v>
      </c>
    </row>
    <row r="660" spans="1:99" ht="12" customHeight="1">
      <c r="A660" s="43">
        <v>4980</v>
      </c>
      <c r="B660" s="89" t="s">
        <v>1515</v>
      </c>
      <c r="C660" s="89" t="s">
        <v>1853</v>
      </c>
      <c r="D660" s="89" t="s">
        <v>1854</v>
      </c>
      <c r="F660" s="43">
        <v>527292</v>
      </c>
      <c r="G660" s="43">
        <v>177189</v>
      </c>
      <c r="H660" s="89" t="s">
        <v>177</v>
      </c>
      <c r="K660" s="140">
        <v>0</v>
      </c>
      <c r="L660" s="140">
        <v>1</v>
      </c>
      <c r="M660" s="140">
        <v>1</v>
      </c>
      <c r="N660" s="140">
        <v>1</v>
      </c>
      <c r="O660" s="140">
        <v>1</v>
      </c>
      <c r="Q660" s="89" t="s">
        <v>1855</v>
      </c>
      <c r="R660" s="43" t="s">
        <v>620</v>
      </c>
      <c r="S660" s="125">
        <v>43151</v>
      </c>
      <c r="T660" s="117">
        <v>43195</v>
      </c>
      <c r="V660" s="43" t="s">
        <v>317</v>
      </c>
      <c r="X660" s="43" t="s">
        <v>318</v>
      </c>
      <c r="Y660" s="43" t="s">
        <v>336</v>
      </c>
      <c r="Z660" s="43" t="s">
        <v>320</v>
      </c>
      <c r="AA660" s="43" t="s">
        <v>33</v>
      </c>
      <c r="AB660" s="144">
        <v>7.0000002160668399E-3</v>
      </c>
      <c r="AF660" s="43" t="s">
        <v>75</v>
      </c>
      <c r="AG660" s="43" t="s">
        <v>322</v>
      </c>
      <c r="AJ660" s="140">
        <v>0</v>
      </c>
      <c r="AK660" s="140">
        <v>0</v>
      </c>
      <c r="AL660" s="140">
        <v>0</v>
      </c>
      <c r="AM660" s="140">
        <v>0</v>
      </c>
      <c r="AN660" s="140">
        <v>0</v>
      </c>
      <c r="AO660" s="140">
        <v>1</v>
      </c>
      <c r="AP660" s="140">
        <v>0</v>
      </c>
      <c r="AQ660" s="140">
        <v>0</v>
      </c>
      <c r="AR660" s="140">
        <v>0</v>
      </c>
      <c r="AS660" s="140">
        <v>0</v>
      </c>
      <c r="AT660" s="140">
        <v>0</v>
      </c>
      <c r="AU660" s="140">
        <v>0</v>
      </c>
      <c r="AV660" s="140">
        <v>1</v>
      </c>
      <c r="AW660" s="140">
        <v>0</v>
      </c>
      <c r="AX660" s="140">
        <v>0</v>
      </c>
      <c r="AY660" s="140">
        <v>0</v>
      </c>
      <c r="AZ660" s="140">
        <v>0</v>
      </c>
      <c r="BA660" s="140">
        <v>0</v>
      </c>
      <c r="BB660" s="140">
        <v>0</v>
      </c>
      <c r="BC660" s="140">
        <v>0</v>
      </c>
      <c r="BD660" s="140">
        <v>0</v>
      </c>
      <c r="BE660" s="140">
        <v>0</v>
      </c>
      <c r="BF660" s="140">
        <v>0</v>
      </c>
      <c r="BG660" s="140">
        <v>0</v>
      </c>
      <c r="BH660" s="140">
        <v>0</v>
      </c>
      <c r="BI660" s="140">
        <v>0</v>
      </c>
      <c r="BJ660" s="140">
        <v>0</v>
      </c>
      <c r="BK660" s="140">
        <v>0</v>
      </c>
      <c r="BL660" s="140">
        <v>0</v>
      </c>
      <c r="BM660" s="140">
        <v>0</v>
      </c>
      <c r="BN660" s="140">
        <v>0</v>
      </c>
      <c r="BO660" s="140">
        <v>0</v>
      </c>
      <c r="BV660" s="43" t="s">
        <v>329</v>
      </c>
      <c r="BX660" s="43">
        <v>15</v>
      </c>
      <c r="BZ660" s="90">
        <f t="shared" si="72"/>
        <v>0.33333333333333331</v>
      </c>
      <c r="CA660" s="90">
        <f t="shared" si="72"/>
        <v>0.33333333333333331</v>
      </c>
      <c r="CB660" s="90">
        <f t="shared" si="72"/>
        <v>0.33333333333333331</v>
      </c>
      <c r="CT660" s="90">
        <f t="shared" si="69"/>
        <v>1</v>
      </c>
      <c r="CU660" s="90">
        <f t="shared" si="70"/>
        <v>1</v>
      </c>
    </row>
    <row r="661" spans="1:99" ht="12" customHeight="1">
      <c r="A661" s="43">
        <v>5029</v>
      </c>
      <c r="B661" s="89" t="s">
        <v>1515</v>
      </c>
      <c r="C661" s="89" t="s">
        <v>1856</v>
      </c>
      <c r="D661" s="89" t="s">
        <v>1857</v>
      </c>
      <c r="F661" s="43">
        <v>527404</v>
      </c>
      <c r="G661" s="43">
        <v>176366</v>
      </c>
      <c r="H661" s="89" t="s">
        <v>177</v>
      </c>
      <c r="K661" s="140">
        <v>0</v>
      </c>
      <c r="L661" s="140">
        <v>1</v>
      </c>
      <c r="M661" s="140">
        <v>1</v>
      </c>
      <c r="N661" s="140">
        <v>1</v>
      </c>
      <c r="O661" s="140">
        <v>1</v>
      </c>
      <c r="Q661" s="89" t="s">
        <v>1858</v>
      </c>
      <c r="R661" s="43" t="s">
        <v>316</v>
      </c>
      <c r="S661" s="125">
        <v>42843</v>
      </c>
      <c r="T661" s="117">
        <v>42914</v>
      </c>
      <c r="V661" s="43" t="s">
        <v>317</v>
      </c>
      <c r="X661" s="43" t="s">
        <v>318</v>
      </c>
      <c r="Y661" s="43" t="s">
        <v>379</v>
      </c>
      <c r="Z661" s="43" t="s">
        <v>320</v>
      </c>
      <c r="AA661" s="43" t="s">
        <v>340</v>
      </c>
      <c r="AB661" s="144">
        <v>7.0000002160668399E-3</v>
      </c>
      <c r="AF661" s="43" t="s">
        <v>75</v>
      </c>
      <c r="AG661" s="43" t="s">
        <v>322</v>
      </c>
      <c r="AJ661" s="140">
        <v>0</v>
      </c>
      <c r="AK661" s="140">
        <v>0</v>
      </c>
      <c r="AL661" s="140">
        <v>0</v>
      </c>
      <c r="AM661" s="140">
        <v>0</v>
      </c>
      <c r="AN661" s="140">
        <v>0</v>
      </c>
      <c r="AO661" s="140">
        <v>0</v>
      </c>
      <c r="AP661" s="140">
        <v>1</v>
      </c>
      <c r="AQ661" s="140">
        <v>0</v>
      </c>
      <c r="AR661" s="140">
        <v>0</v>
      </c>
      <c r="AS661" s="140">
        <v>0</v>
      </c>
      <c r="AT661" s="140">
        <v>0</v>
      </c>
      <c r="AU661" s="140">
        <v>0</v>
      </c>
      <c r="AV661" s="140">
        <v>0</v>
      </c>
      <c r="AW661" s="140">
        <v>1</v>
      </c>
      <c r="AX661" s="140">
        <v>0</v>
      </c>
      <c r="AY661" s="140">
        <v>0</v>
      </c>
      <c r="AZ661" s="140">
        <v>0</v>
      </c>
      <c r="BA661" s="140">
        <v>0</v>
      </c>
      <c r="BB661" s="140">
        <v>0</v>
      </c>
      <c r="BC661" s="140">
        <v>0</v>
      </c>
      <c r="BD661" s="140">
        <v>0</v>
      </c>
      <c r="BE661" s="140">
        <v>0</v>
      </c>
      <c r="BF661" s="140">
        <v>0</v>
      </c>
      <c r="BG661" s="140">
        <v>0</v>
      </c>
      <c r="BH661" s="140">
        <v>0</v>
      </c>
      <c r="BI661" s="140">
        <v>0</v>
      </c>
      <c r="BJ661" s="140">
        <v>0</v>
      </c>
      <c r="BK661" s="140">
        <v>0</v>
      </c>
      <c r="BL661" s="140">
        <v>0</v>
      </c>
      <c r="BM661" s="140">
        <v>0</v>
      </c>
      <c r="BN661" s="140">
        <v>0</v>
      </c>
      <c r="BO661" s="140">
        <v>0</v>
      </c>
      <c r="BX661" s="43">
        <v>15</v>
      </c>
      <c r="BZ661" s="90">
        <f t="shared" si="72"/>
        <v>0.33333333333333331</v>
      </c>
      <c r="CA661" s="90">
        <f t="shared" si="72"/>
        <v>0.33333333333333331</v>
      </c>
      <c r="CB661" s="90">
        <f t="shared" si="72"/>
        <v>0.33333333333333331</v>
      </c>
      <c r="CT661" s="90">
        <f t="shared" si="69"/>
        <v>1</v>
      </c>
      <c r="CU661" s="90">
        <f t="shared" si="70"/>
        <v>1</v>
      </c>
    </row>
    <row r="662" spans="1:99" ht="12" customHeight="1">
      <c r="A662" s="43">
        <v>5044</v>
      </c>
      <c r="B662" s="89" t="s">
        <v>1515</v>
      </c>
      <c r="C662" s="89" t="s">
        <v>1859</v>
      </c>
      <c r="D662" s="89" t="s">
        <v>1860</v>
      </c>
      <c r="E662" s="89" t="s">
        <v>1861</v>
      </c>
      <c r="F662" s="43">
        <v>524136</v>
      </c>
      <c r="G662" s="43">
        <v>175435</v>
      </c>
      <c r="H662" s="89" t="s">
        <v>178</v>
      </c>
      <c r="K662" s="140">
        <v>2</v>
      </c>
      <c r="L662" s="140">
        <v>82</v>
      </c>
      <c r="M662" s="140">
        <v>80</v>
      </c>
      <c r="N662" s="140">
        <v>123</v>
      </c>
      <c r="O662" s="140">
        <v>121</v>
      </c>
      <c r="P662" s="43" t="s">
        <v>329</v>
      </c>
      <c r="Q662" s="89" t="s">
        <v>1862</v>
      </c>
      <c r="R662" s="43" t="s">
        <v>383</v>
      </c>
      <c r="S662" s="125">
        <v>43115</v>
      </c>
      <c r="T662" s="117">
        <v>43151</v>
      </c>
      <c r="U662" s="43" t="s">
        <v>329</v>
      </c>
      <c r="V662" s="43" t="s">
        <v>384</v>
      </c>
      <c r="W662" s="117">
        <v>43675</v>
      </c>
      <c r="X662" s="43" t="s">
        <v>318</v>
      </c>
      <c r="Y662" s="43" t="s">
        <v>361</v>
      </c>
      <c r="Z662" s="43" t="s">
        <v>361</v>
      </c>
      <c r="AA662" s="43" t="s">
        <v>320</v>
      </c>
      <c r="AB662" s="144">
        <v>0.16200000047683699</v>
      </c>
      <c r="AF662" s="43" t="s">
        <v>75</v>
      </c>
      <c r="AG662" s="43" t="s">
        <v>322</v>
      </c>
      <c r="AH662" s="43" t="s">
        <v>1863</v>
      </c>
      <c r="AJ662" s="140">
        <v>0</v>
      </c>
      <c r="AK662" s="140">
        <v>0</v>
      </c>
      <c r="AL662" s="140">
        <v>0</v>
      </c>
      <c r="AM662" s="140">
        <v>8</v>
      </c>
      <c r="AN662" s="140">
        <v>0</v>
      </c>
      <c r="AO662" s="140">
        <v>23</v>
      </c>
      <c r="AP662" s="140">
        <v>29</v>
      </c>
      <c r="AQ662" s="140">
        <v>28</v>
      </c>
      <c r="AR662" s="140">
        <v>0</v>
      </c>
      <c r="AS662" s="140">
        <v>0</v>
      </c>
      <c r="AT662" s="140">
        <v>0</v>
      </c>
      <c r="AU662" s="140">
        <v>0</v>
      </c>
      <c r="AV662" s="140">
        <v>23</v>
      </c>
      <c r="AW662" s="140">
        <v>29</v>
      </c>
      <c r="AX662" s="140">
        <v>28</v>
      </c>
      <c r="AY662" s="140">
        <v>0</v>
      </c>
      <c r="AZ662" s="140">
        <v>0</v>
      </c>
      <c r="BA662" s="140">
        <v>0</v>
      </c>
      <c r="BB662" s="140">
        <v>0</v>
      </c>
      <c r="BC662" s="140">
        <v>0</v>
      </c>
      <c r="BD662" s="140">
        <v>0</v>
      </c>
      <c r="BE662" s="140">
        <v>0</v>
      </c>
      <c r="BF662" s="140">
        <v>0</v>
      </c>
      <c r="BG662" s="140">
        <v>0</v>
      </c>
      <c r="BH662" s="140">
        <v>0</v>
      </c>
      <c r="BI662" s="140">
        <v>0</v>
      </c>
      <c r="BJ662" s="140">
        <v>0</v>
      </c>
      <c r="BK662" s="140">
        <v>0</v>
      </c>
      <c r="BL662" s="140">
        <v>0</v>
      </c>
      <c r="BM662" s="140">
        <v>0</v>
      </c>
      <c r="BN662" s="140">
        <v>0</v>
      </c>
      <c r="BO662" s="140">
        <v>0</v>
      </c>
      <c r="BP662" s="43" t="s">
        <v>140</v>
      </c>
      <c r="BX662" s="43">
        <v>9</v>
      </c>
      <c r="CC662" s="90">
        <f t="shared" ref="CC662:CE665" si="73">$M662/3</f>
        <v>26.666666666666668</v>
      </c>
      <c r="CD662" s="90">
        <f t="shared" si="73"/>
        <v>26.666666666666668</v>
      </c>
      <c r="CE662" s="90">
        <f t="shared" si="73"/>
        <v>26.666666666666668</v>
      </c>
      <c r="CT662" s="90">
        <f t="shared" si="69"/>
        <v>53.333333333333336</v>
      </c>
      <c r="CU662" s="90">
        <f t="shared" si="70"/>
        <v>80</v>
      </c>
    </row>
    <row r="663" spans="1:99" ht="12" customHeight="1">
      <c r="A663" s="43">
        <v>5044</v>
      </c>
      <c r="B663" s="89" t="s">
        <v>1515</v>
      </c>
      <c r="C663" s="89" t="s">
        <v>1859</v>
      </c>
      <c r="D663" s="89" t="s">
        <v>1860</v>
      </c>
      <c r="E663" s="89" t="s">
        <v>1861</v>
      </c>
      <c r="F663" s="43">
        <v>524136</v>
      </c>
      <c r="G663" s="43">
        <v>175435</v>
      </c>
      <c r="H663" s="89" t="s">
        <v>178</v>
      </c>
      <c r="K663" s="140">
        <v>0</v>
      </c>
      <c r="L663" s="140">
        <v>33</v>
      </c>
      <c r="M663" s="140">
        <v>33</v>
      </c>
      <c r="N663" s="140">
        <v>123</v>
      </c>
      <c r="O663" s="140">
        <v>121</v>
      </c>
      <c r="P663" s="43" t="s">
        <v>329</v>
      </c>
      <c r="Q663" s="89" t="s">
        <v>1862</v>
      </c>
      <c r="R663" s="43" t="s">
        <v>383</v>
      </c>
      <c r="S663" s="125">
        <v>43115</v>
      </c>
      <c r="T663" s="117">
        <v>43151</v>
      </c>
      <c r="U663" s="43" t="s">
        <v>329</v>
      </c>
      <c r="V663" s="43" t="s">
        <v>384</v>
      </c>
      <c r="W663" s="117">
        <v>43675</v>
      </c>
      <c r="X663" s="43" t="s">
        <v>318</v>
      </c>
      <c r="Y663" s="43" t="s">
        <v>361</v>
      </c>
      <c r="Z663" s="43" t="s">
        <v>361</v>
      </c>
      <c r="AA663" s="43" t="s">
        <v>320</v>
      </c>
      <c r="AB663" s="144">
        <v>6.4999997615814195E-2</v>
      </c>
      <c r="AF663" s="43" t="s">
        <v>54</v>
      </c>
      <c r="AG663" s="43" t="s">
        <v>399</v>
      </c>
      <c r="AH663" s="43" t="s">
        <v>1863</v>
      </c>
      <c r="AJ663" s="140">
        <v>0</v>
      </c>
      <c r="AK663" s="140">
        <v>0</v>
      </c>
      <c r="AL663" s="140">
        <v>0</v>
      </c>
      <c r="AM663" s="140">
        <v>4</v>
      </c>
      <c r="AN663" s="140">
        <v>0</v>
      </c>
      <c r="AO663" s="140">
        <v>12</v>
      </c>
      <c r="AP663" s="140">
        <v>21</v>
      </c>
      <c r="AQ663" s="140">
        <v>0</v>
      </c>
      <c r="AR663" s="140">
        <v>0</v>
      </c>
      <c r="AS663" s="140">
        <v>0</v>
      </c>
      <c r="AT663" s="140">
        <v>0</v>
      </c>
      <c r="AU663" s="140">
        <v>0</v>
      </c>
      <c r="AV663" s="140">
        <v>12</v>
      </c>
      <c r="AW663" s="140">
        <v>21</v>
      </c>
      <c r="AX663" s="140">
        <v>0</v>
      </c>
      <c r="AY663" s="140">
        <v>0</v>
      </c>
      <c r="AZ663" s="140">
        <v>0</v>
      </c>
      <c r="BA663" s="140">
        <v>0</v>
      </c>
      <c r="BB663" s="140">
        <v>0</v>
      </c>
      <c r="BC663" s="140">
        <v>0</v>
      </c>
      <c r="BD663" s="140">
        <v>0</v>
      </c>
      <c r="BE663" s="140">
        <v>0</v>
      </c>
      <c r="BF663" s="140">
        <v>0</v>
      </c>
      <c r="BG663" s="140">
        <v>0</v>
      </c>
      <c r="BH663" s="140">
        <v>0</v>
      </c>
      <c r="BI663" s="140">
        <v>0</v>
      </c>
      <c r="BJ663" s="140">
        <v>0</v>
      </c>
      <c r="BK663" s="140">
        <v>0</v>
      </c>
      <c r="BL663" s="140">
        <v>0</v>
      </c>
      <c r="BM663" s="140">
        <v>0</v>
      </c>
      <c r="BN663" s="140">
        <v>0</v>
      </c>
      <c r="BO663" s="140">
        <v>0</v>
      </c>
      <c r="BP663" s="43" t="s">
        <v>140</v>
      </c>
      <c r="BX663" s="43">
        <v>9</v>
      </c>
      <c r="CC663" s="90">
        <f t="shared" si="73"/>
        <v>11</v>
      </c>
      <c r="CD663" s="90">
        <f t="shared" si="73"/>
        <v>11</v>
      </c>
      <c r="CE663" s="90">
        <f t="shared" si="73"/>
        <v>11</v>
      </c>
      <c r="CT663" s="90">
        <f t="shared" si="69"/>
        <v>22</v>
      </c>
      <c r="CU663" s="90">
        <f t="shared" si="70"/>
        <v>33</v>
      </c>
    </row>
    <row r="664" spans="1:99" ht="12" customHeight="1">
      <c r="A664" s="43">
        <v>5044</v>
      </c>
      <c r="B664" s="89" t="s">
        <v>1515</v>
      </c>
      <c r="C664" s="89" t="s">
        <v>1859</v>
      </c>
      <c r="D664" s="89" t="s">
        <v>1860</v>
      </c>
      <c r="E664" s="89" t="s">
        <v>1864</v>
      </c>
      <c r="F664" s="43">
        <v>524136</v>
      </c>
      <c r="G664" s="43">
        <v>175435</v>
      </c>
      <c r="H664" s="89" t="s">
        <v>178</v>
      </c>
      <c r="K664" s="140">
        <v>0</v>
      </c>
      <c r="L664" s="140">
        <v>8</v>
      </c>
      <c r="M664" s="140">
        <v>8</v>
      </c>
      <c r="N664" s="140">
        <v>123</v>
      </c>
      <c r="O664" s="140">
        <v>121</v>
      </c>
      <c r="P664" s="43" t="s">
        <v>329</v>
      </c>
      <c r="Q664" s="89" t="s">
        <v>1862</v>
      </c>
      <c r="R664" s="43" t="s">
        <v>383</v>
      </c>
      <c r="S664" s="125">
        <v>43115</v>
      </c>
      <c r="T664" s="117">
        <v>43151</v>
      </c>
      <c r="U664" s="43" t="s">
        <v>329</v>
      </c>
      <c r="V664" s="43" t="s">
        <v>384</v>
      </c>
      <c r="W664" s="117">
        <v>43675</v>
      </c>
      <c r="X664" s="43" t="s">
        <v>318</v>
      </c>
      <c r="Y664" s="43" t="s">
        <v>361</v>
      </c>
      <c r="Z664" s="43" t="s">
        <v>320</v>
      </c>
      <c r="AA664" s="43" t="s">
        <v>353</v>
      </c>
      <c r="AB664" s="144">
        <v>1.60000007599592E-2</v>
      </c>
      <c r="AF664" s="43" t="s">
        <v>75</v>
      </c>
      <c r="AG664" s="43" t="s">
        <v>322</v>
      </c>
      <c r="AH664" s="43" t="s">
        <v>1863</v>
      </c>
      <c r="AJ664" s="140">
        <v>0</v>
      </c>
      <c r="AK664" s="140">
        <v>0</v>
      </c>
      <c r="AL664" s="140">
        <v>0</v>
      </c>
      <c r="AM664" s="140">
        <v>0</v>
      </c>
      <c r="AN664" s="140">
        <v>0</v>
      </c>
      <c r="AO664" s="140">
        <v>0</v>
      </c>
      <c r="AP664" s="140">
        <v>8</v>
      </c>
      <c r="AQ664" s="140">
        <v>0</v>
      </c>
      <c r="AR664" s="140">
        <v>0</v>
      </c>
      <c r="AS664" s="140">
        <v>0</v>
      </c>
      <c r="AT664" s="140">
        <v>0</v>
      </c>
      <c r="AU664" s="140">
        <v>0</v>
      </c>
      <c r="AV664" s="140">
        <v>0</v>
      </c>
      <c r="AW664" s="140">
        <v>0</v>
      </c>
      <c r="AX664" s="140">
        <v>0</v>
      </c>
      <c r="AY664" s="140">
        <v>0</v>
      </c>
      <c r="AZ664" s="140">
        <v>0</v>
      </c>
      <c r="BA664" s="140">
        <v>0</v>
      </c>
      <c r="BB664" s="140">
        <v>0</v>
      </c>
      <c r="BC664" s="140">
        <v>0</v>
      </c>
      <c r="BD664" s="140">
        <v>8</v>
      </c>
      <c r="BE664" s="140">
        <v>0</v>
      </c>
      <c r="BF664" s="140">
        <v>0</v>
      </c>
      <c r="BG664" s="140">
        <v>0</v>
      </c>
      <c r="BH664" s="140">
        <v>0</v>
      </c>
      <c r="BI664" s="140">
        <v>0</v>
      </c>
      <c r="BJ664" s="140">
        <v>0</v>
      </c>
      <c r="BK664" s="140">
        <v>0</v>
      </c>
      <c r="BL664" s="140">
        <v>0</v>
      </c>
      <c r="BM664" s="140">
        <v>0</v>
      </c>
      <c r="BN664" s="140">
        <v>0</v>
      </c>
      <c r="BO664" s="140">
        <v>0</v>
      </c>
      <c r="BP664" s="43" t="s">
        <v>140</v>
      </c>
      <c r="BX664" s="43">
        <v>9</v>
      </c>
      <c r="CC664" s="90">
        <f t="shared" si="73"/>
        <v>2.6666666666666665</v>
      </c>
      <c r="CD664" s="90">
        <f t="shared" si="73"/>
        <v>2.6666666666666665</v>
      </c>
      <c r="CE664" s="90">
        <f t="shared" si="73"/>
        <v>2.6666666666666665</v>
      </c>
      <c r="CT664" s="90">
        <f t="shared" si="69"/>
        <v>5.333333333333333</v>
      </c>
      <c r="CU664" s="90">
        <f t="shared" si="70"/>
        <v>8</v>
      </c>
    </row>
    <row r="665" spans="1:99" ht="12" customHeight="1">
      <c r="A665" s="43">
        <v>5119</v>
      </c>
      <c r="B665" s="89" t="s">
        <v>1515</v>
      </c>
      <c r="C665" s="89" t="s">
        <v>1865</v>
      </c>
      <c r="D665" s="89" t="s">
        <v>1866</v>
      </c>
      <c r="F665" s="43">
        <v>527391</v>
      </c>
      <c r="G665" s="43">
        <v>171805</v>
      </c>
      <c r="H665" s="89" t="s">
        <v>141</v>
      </c>
      <c r="K665" s="140">
        <v>0</v>
      </c>
      <c r="L665" s="140">
        <v>6</v>
      </c>
      <c r="M665" s="140">
        <v>6</v>
      </c>
      <c r="N665" s="140">
        <v>6</v>
      </c>
      <c r="O665" s="140">
        <v>6</v>
      </c>
      <c r="Q665" s="89" t="s">
        <v>1867</v>
      </c>
      <c r="R665" s="43" t="s">
        <v>316</v>
      </c>
      <c r="S665" s="125">
        <v>42780</v>
      </c>
      <c r="T665" s="117">
        <v>43003</v>
      </c>
      <c r="V665" s="43" t="s">
        <v>317</v>
      </c>
      <c r="X665" s="43" t="s">
        <v>318</v>
      </c>
      <c r="Y665" s="43" t="s">
        <v>361</v>
      </c>
      <c r="Z665" s="43" t="s">
        <v>320</v>
      </c>
      <c r="AA665" s="43" t="s">
        <v>353</v>
      </c>
      <c r="AB665" s="144">
        <v>2.5000000372528999E-2</v>
      </c>
      <c r="AF665" s="43" t="s">
        <v>75</v>
      </c>
      <c r="AG665" s="43" t="s">
        <v>322</v>
      </c>
      <c r="AJ665" s="140">
        <v>0</v>
      </c>
      <c r="AK665" s="140">
        <v>0</v>
      </c>
      <c r="AL665" s="140">
        <v>0</v>
      </c>
      <c r="AM665" s="140">
        <v>0</v>
      </c>
      <c r="AN665" s="140">
        <v>0</v>
      </c>
      <c r="AO665" s="140">
        <v>3</v>
      </c>
      <c r="AP665" s="140">
        <v>2</v>
      </c>
      <c r="AQ665" s="140">
        <v>1</v>
      </c>
      <c r="AR665" s="140">
        <v>0</v>
      </c>
      <c r="AS665" s="140">
        <v>0</v>
      </c>
      <c r="AT665" s="140">
        <v>0</v>
      </c>
      <c r="AU665" s="140">
        <v>0</v>
      </c>
      <c r="AV665" s="140">
        <v>3</v>
      </c>
      <c r="AW665" s="140">
        <v>2</v>
      </c>
      <c r="AX665" s="140">
        <v>1</v>
      </c>
      <c r="AY665" s="140">
        <v>0</v>
      </c>
      <c r="AZ665" s="140">
        <v>0</v>
      </c>
      <c r="BA665" s="140">
        <v>0</v>
      </c>
      <c r="BB665" s="140">
        <v>0</v>
      </c>
      <c r="BC665" s="140">
        <v>0</v>
      </c>
      <c r="BD665" s="140">
        <v>0</v>
      </c>
      <c r="BE665" s="140">
        <v>0</v>
      </c>
      <c r="BF665" s="140">
        <v>0</v>
      </c>
      <c r="BG665" s="140">
        <v>0</v>
      </c>
      <c r="BH665" s="140">
        <v>0</v>
      </c>
      <c r="BI665" s="140">
        <v>0</v>
      </c>
      <c r="BJ665" s="140">
        <v>0</v>
      </c>
      <c r="BK665" s="140">
        <v>0</v>
      </c>
      <c r="BL665" s="140">
        <v>0</v>
      </c>
      <c r="BM665" s="140">
        <v>0</v>
      </c>
      <c r="BN665" s="140">
        <v>0</v>
      </c>
      <c r="BO665" s="140">
        <v>0</v>
      </c>
      <c r="BX665" s="43">
        <v>9</v>
      </c>
      <c r="CC665" s="90">
        <f t="shared" si="73"/>
        <v>2</v>
      </c>
      <c r="CD665" s="90">
        <f t="shared" si="73"/>
        <v>2</v>
      </c>
      <c r="CE665" s="90">
        <f t="shared" si="73"/>
        <v>2</v>
      </c>
      <c r="CT665" s="90">
        <f t="shared" si="69"/>
        <v>4</v>
      </c>
      <c r="CU665" s="90">
        <f t="shared" si="70"/>
        <v>6</v>
      </c>
    </row>
    <row r="666" spans="1:99" ht="12" customHeight="1">
      <c r="A666" s="43">
        <v>5123</v>
      </c>
      <c r="B666" s="89" t="s">
        <v>1515</v>
      </c>
      <c r="C666" s="89" t="s">
        <v>1868</v>
      </c>
      <c r="D666" s="89" t="s">
        <v>1869</v>
      </c>
      <c r="F666" s="43">
        <v>524195</v>
      </c>
      <c r="G666" s="43">
        <v>175062</v>
      </c>
      <c r="H666" s="89" t="s">
        <v>178</v>
      </c>
      <c r="K666" s="140">
        <v>12</v>
      </c>
      <c r="L666" s="140">
        <v>1</v>
      </c>
      <c r="M666" s="140">
        <v>-11</v>
      </c>
      <c r="N666" s="140">
        <v>1</v>
      </c>
      <c r="O666" s="140">
        <v>-11</v>
      </c>
      <c r="Q666" s="89" t="s">
        <v>1870</v>
      </c>
      <c r="R666" s="43" t="s">
        <v>316</v>
      </c>
      <c r="S666" s="125">
        <v>43865</v>
      </c>
      <c r="T666" s="117">
        <v>43916</v>
      </c>
      <c r="U666" s="43" t="s">
        <v>329</v>
      </c>
      <c r="V666" s="43" t="s">
        <v>317</v>
      </c>
      <c r="X666" s="43" t="s">
        <v>318</v>
      </c>
      <c r="Y666" s="43" t="s">
        <v>348</v>
      </c>
      <c r="Z666" s="43" t="s">
        <v>320</v>
      </c>
      <c r="AA666" s="43" t="s">
        <v>22</v>
      </c>
      <c r="AB666" s="144">
        <v>1.8999999389052401E-2</v>
      </c>
      <c r="AF666" s="43" t="s">
        <v>75</v>
      </c>
      <c r="AG666" s="43" t="s">
        <v>322</v>
      </c>
      <c r="AJ666" s="140">
        <v>0</v>
      </c>
      <c r="AK666" s="140">
        <v>0</v>
      </c>
      <c r="AL666" s="140">
        <v>0</v>
      </c>
      <c r="AM666" s="140">
        <v>0</v>
      </c>
      <c r="AN666" s="140">
        <v>0</v>
      </c>
      <c r="AO666" s="140">
        <v>-1</v>
      </c>
      <c r="AP666" s="140">
        <v>0</v>
      </c>
      <c r="AQ666" s="140">
        <v>-11</v>
      </c>
      <c r="AR666" s="140">
        <v>0</v>
      </c>
      <c r="AS666" s="140">
        <v>1</v>
      </c>
      <c r="AT666" s="140">
        <v>0</v>
      </c>
      <c r="AU666" s="140">
        <v>0</v>
      </c>
      <c r="AV666" s="140">
        <v>-1</v>
      </c>
      <c r="AW666" s="140">
        <v>0</v>
      </c>
      <c r="AX666" s="140">
        <v>-11</v>
      </c>
      <c r="AY666" s="140">
        <v>0</v>
      </c>
      <c r="AZ666" s="140">
        <v>0</v>
      </c>
      <c r="BA666" s="140">
        <v>0</v>
      </c>
      <c r="BB666" s="140">
        <v>0</v>
      </c>
      <c r="BC666" s="140">
        <v>0</v>
      </c>
      <c r="BD666" s="140">
        <v>0</v>
      </c>
      <c r="BE666" s="140">
        <v>0</v>
      </c>
      <c r="BF666" s="140">
        <v>0</v>
      </c>
      <c r="BG666" s="140">
        <v>1</v>
      </c>
      <c r="BH666" s="140">
        <v>0</v>
      </c>
      <c r="BI666" s="140">
        <v>0</v>
      </c>
      <c r="BJ666" s="140">
        <v>0</v>
      </c>
      <c r="BK666" s="140">
        <v>0</v>
      </c>
      <c r="BL666" s="140">
        <v>0</v>
      </c>
      <c r="BM666" s="140">
        <v>0</v>
      </c>
      <c r="BN666" s="140">
        <v>0</v>
      </c>
      <c r="BO666" s="140">
        <v>0</v>
      </c>
      <c r="BX666" s="43">
        <v>15</v>
      </c>
      <c r="BZ666" s="90">
        <f t="shared" ref="BZ666:CB672" si="74">$M666/3</f>
        <v>-3.6666666666666665</v>
      </c>
      <c r="CA666" s="90">
        <f t="shared" si="74"/>
        <v>-3.6666666666666665</v>
      </c>
      <c r="CB666" s="90">
        <f t="shared" si="74"/>
        <v>-3.6666666666666665</v>
      </c>
      <c r="CT666" s="90">
        <f t="shared" si="69"/>
        <v>-11</v>
      </c>
      <c r="CU666" s="90">
        <f t="shared" si="70"/>
        <v>-11</v>
      </c>
    </row>
    <row r="667" spans="1:99" ht="12" customHeight="1">
      <c r="A667" s="43">
        <v>5142</v>
      </c>
      <c r="B667" s="89" t="s">
        <v>1515</v>
      </c>
      <c r="C667" s="89" t="s">
        <v>1871</v>
      </c>
      <c r="D667" s="89" t="s">
        <v>1872</v>
      </c>
      <c r="F667" s="43">
        <v>528703</v>
      </c>
      <c r="G667" s="43">
        <v>173473</v>
      </c>
      <c r="H667" s="89" t="s">
        <v>138</v>
      </c>
      <c r="K667" s="140">
        <v>1</v>
      </c>
      <c r="L667" s="140">
        <v>5</v>
      </c>
      <c r="M667" s="140">
        <v>4</v>
      </c>
      <c r="N667" s="140">
        <v>5</v>
      </c>
      <c r="O667" s="140">
        <v>4</v>
      </c>
      <c r="Q667" s="89" t="s">
        <v>1873</v>
      </c>
      <c r="R667" s="43" t="s">
        <v>316</v>
      </c>
      <c r="S667" s="125">
        <v>43084</v>
      </c>
      <c r="T667" s="117">
        <v>43140</v>
      </c>
      <c r="V667" s="43" t="s">
        <v>317</v>
      </c>
      <c r="X667" s="43" t="s">
        <v>318</v>
      </c>
      <c r="Y667" s="43" t="s">
        <v>319</v>
      </c>
      <c r="Z667" s="43" t="s">
        <v>320</v>
      </c>
      <c r="AA667" s="43" t="s">
        <v>20</v>
      </c>
      <c r="AB667" s="144">
        <v>3.70000004768372E-2</v>
      </c>
      <c r="AF667" s="43" t="s">
        <v>75</v>
      </c>
      <c r="AG667" s="43" t="s">
        <v>322</v>
      </c>
      <c r="AJ667" s="140">
        <v>0</v>
      </c>
      <c r="AK667" s="140">
        <v>0</v>
      </c>
      <c r="AL667" s="140">
        <v>0</v>
      </c>
      <c r="AM667" s="140">
        <v>0</v>
      </c>
      <c r="AN667" s="140">
        <v>0</v>
      </c>
      <c r="AO667" s="140">
        <v>1</v>
      </c>
      <c r="AP667" s="140">
        <v>2</v>
      </c>
      <c r="AQ667" s="140">
        <v>2</v>
      </c>
      <c r="AR667" s="140">
        <v>0</v>
      </c>
      <c r="AS667" s="140">
        <v>-1</v>
      </c>
      <c r="AT667" s="140">
        <v>0</v>
      </c>
      <c r="AU667" s="140">
        <v>0</v>
      </c>
      <c r="AV667" s="140">
        <v>1</v>
      </c>
      <c r="AW667" s="140">
        <v>2</v>
      </c>
      <c r="AX667" s="140">
        <v>2</v>
      </c>
      <c r="AY667" s="140">
        <v>0</v>
      </c>
      <c r="AZ667" s="140">
        <v>0</v>
      </c>
      <c r="BA667" s="140">
        <v>0</v>
      </c>
      <c r="BB667" s="140">
        <v>0</v>
      </c>
      <c r="BC667" s="140">
        <v>0</v>
      </c>
      <c r="BD667" s="140">
        <v>0</v>
      </c>
      <c r="BE667" s="140">
        <v>0</v>
      </c>
      <c r="BF667" s="140">
        <v>0</v>
      </c>
      <c r="BG667" s="140">
        <v>-1</v>
      </c>
      <c r="BH667" s="140">
        <v>0</v>
      </c>
      <c r="BI667" s="140">
        <v>0</v>
      </c>
      <c r="BJ667" s="140">
        <v>0</v>
      </c>
      <c r="BK667" s="140">
        <v>0</v>
      </c>
      <c r="BL667" s="140">
        <v>0</v>
      </c>
      <c r="BM667" s="140">
        <v>0</v>
      </c>
      <c r="BN667" s="140">
        <v>0</v>
      </c>
      <c r="BO667" s="140">
        <v>0</v>
      </c>
      <c r="BX667" s="43">
        <v>15</v>
      </c>
      <c r="BZ667" s="90">
        <f t="shared" si="74"/>
        <v>1.3333333333333333</v>
      </c>
      <c r="CA667" s="90">
        <f t="shared" si="74"/>
        <v>1.3333333333333333</v>
      </c>
      <c r="CB667" s="90">
        <f t="shared" si="74"/>
        <v>1.3333333333333333</v>
      </c>
      <c r="CT667" s="90">
        <f t="shared" si="69"/>
        <v>4</v>
      </c>
      <c r="CU667" s="90">
        <f t="shared" si="70"/>
        <v>4</v>
      </c>
    </row>
    <row r="668" spans="1:99" ht="12" customHeight="1">
      <c r="A668" s="43">
        <v>5147</v>
      </c>
      <c r="B668" s="89" t="s">
        <v>1515</v>
      </c>
      <c r="C668" s="89" t="s">
        <v>1874</v>
      </c>
      <c r="D668" s="89" t="s">
        <v>1875</v>
      </c>
      <c r="F668" s="43">
        <v>525825</v>
      </c>
      <c r="G668" s="43">
        <v>174893</v>
      </c>
      <c r="H668" s="89" t="s">
        <v>170</v>
      </c>
      <c r="K668" s="140">
        <v>0</v>
      </c>
      <c r="L668" s="140">
        <v>1</v>
      </c>
      <c r="M668" s="140">
        <v>1</v>
      </c>
      <c r="N668" s="140">
        <v>1</v>
      </c>
      <c r="O668" s="140">
        <v>1</v>
      </c>
      <c r="Q668" s="89" t="s">
        <v>1876</v>
      </c>
      <c r="R668" s="43" t="s">
        <v>316</v>
      </c>
      <c r="S668" s="125">
        <v>43539</v>
      </c>
      <c r="T668" s="117">
        <v>43662</v>
      </c>
      <c r="U668" s="43" t="s">
        <v>329</v>
      </c>
      <c r="V668" s="43" t="s">
        <v>317</v>
      </c>
      <c r="X668" s="43" t="s">
        <v>318</v>
      </c>
      <c r="Y668" s="43" t="s">
        <v>336</v>
      </c>
      <c r="Z668" s="43" t="s">
        <v>320</v>
      </c>
      <c r="AA668" s="43" t="s">
        <v>36</v>
      </c>
      <c r="AB668" s="144">
        <v>6.0000000521540598E-3</v>
      </c>
      <c r="AF668" s="43" t="s">
        <v>75</v>
      </c>
      <c r="AG668" s="43" t="s">
        <v>322</v>
      </c>
      <c r="AJ668" s="140">
        <v>0</v>
      </c>
      <c r="AK668" s="140">
        <v>0</v>
      </c>
      <c r="AL668" s="140">
        <v>0</v>
      </c>
      <c r="AM668" s="140">
        <v>0</v>
      </c>
      <c r="AN668" s="140">
        <v>0</v>
      </c>
      <c r="AO668" s="140">
        <v>1</v>
      </c>
      <c r="AP668" s="140">
        <v>0</v>
      </c>
      <c r="AQ668" s="140">
        <v>0</v>
      </c>
      <c r="AR668" s="140">
        <v>0</v>
      </c>
      <c r="AS668" s="140">
        <v>0</v>
      </c>
      <c r="AT668" s="140">
        <v>0</v>
      </c>
      <c r="AU668" s="140">
        <v>0</v>
      </c>
      <c r="AV668" s="140">
        <v>1</v>
      </c>
      <c r="AW668" s="140">
        <v>0</v>
      </c>
      <c r="AX668" s="140">
        <v>0</v>
      </c>
      <c r="AY668" s="140">
        <v>0</v>
      </c>
      <c r="AZ668" s="140">
        <v>0</v>
      </c>
      <c r="BA668" s="140">
        <v>0</v>
      </c>
      <c r="BB668" s="140">
        <v>0</v>
      </c>
      <c r="BC668" s="140">
        <v>0</v>
      </c>
      <c r="BD668" s="140">
        <v>0</v>
      </c>
      <c r="BE668" s="140">
        <v>0</v>
      </c>
      <c r="BF668" s="140">
        <v>0</v>
      </c>
      <c r="BG668" s="140">
        <v>0</v>
      </c>
      <c r="BH668" s="140">
        <v>0</v>
      </c>
      <c r="BI668" s="140">
        <v>0</v>
      </c>
      <c r="BJ668" s="140">
        <v>0</v>
      </c>
      <c r="BK668" s="140">
        <v>0</v>
      </c>
      <c r="BL668" s="140">
        <v>0</v>
      </c>
      <c r="BM668" s="140">
        <v>0</v>
      </c>
      <c r="BN668" s="140">
        <v>0</v>
      </c>
      <c r="BO668" s="140">
        <v>0</v>
      </c>
      <c r="BX668" s="43">
        <v>15</v>
      </c>
      <c r="BZ668" s="90">
        <f t="shared" si="74"/>
        <v>0.33333333333333331</v>
      </c>
      <c r="CA668" s="90">
        <f t="shared" si="74"/>
        <v>0.33333333333333331</v>
      </c>
      <c r="CB668" s="90">
        <f t="shared" si="74"/>
        <v>0.33333333333333331</v>
      </c>
      <c r="CT668" s="90">
        <f t="shared" si="69"/>
        <v>1</v>
      </c>
      <c r="CU668" s="90">
        <f t="shared" si="70"/>
        <v>1</v>
      </c>
    </row>
    <row r="669" spans="1:99" ht="12" customHeight="1">
      <c r="A669" s="43">
        <v>5154</v>
      </c>
      <c r="B669" s="89" t="s">
        <v>1515</v>
      </c>
      <c r="C669" s="89" t="s">
        <v>1877</v>
      </c>
      <c r="D669" s="89" t="s">
        <v>1878</v>
      </c>
      <c r="F669" s="43">
        <v>527854</v>
      </c>
      <c r="G669" s="43">
        <v>172233</v>
      </c>
      <c r="H669" s="89" t="s">
        <v>141</v>
      </c>
      <c r="K669" s="140">
        <v>1</v>
      </c>
      <c r="L669" s="140">
        <v>2</v>
      </c>
      <c r="M669" s="140">
        <v>1</v>
      </c>
      <c r="N669" s="140">
        <v>2</v>
      </c>
      <c r="O669" s="140">
        <v>1</v>
      </c>
      <c r="Q669" s="89" t="s">
        <v>1879</v>
      </c>
      <c r="R669" s="43" t="s">
        <v>316</v>
      </c>
      <c r="S669" s="125">
        <v>43269</v>
      </c>
      <c r="T669" s="117">
        <v>43325</v>
      </c>
      <c r="V669" s="43" t="s">
        <v>317</v>
      </c>
      <c r="X669" s="43" t="s">
        <v>318</v>
      </c>
      <c r="Y669" s="43" t="s">
        <v>319</v>
      </c>
      <c r="Z669" s="43" t="s">
        <v>320</v>
      </c>
      <c r="AA669" s="43" t="s">
        <v>321</v>
      </c>
      <c r="AB669" s="144">
        <v>1.09999999403954E-2</v>
      </c>
      <c r="AF669" s="43" t="s">
        <v>75</v>
      </c>
      <c r="AG669" s="43" t="s">
        <v>322</v>
      </c>
      <c r="AJ669" s="140">
        <v>0</v>
      </c>
      <c r="AK669" s="140">
        <v>0</v>
      </c>
      <c r="AL669" s="140">
        <v>0</v>
      </c>
      <c r="AM669" s="140">
        <v>0</v>
      </c>
      <c r="AN669" s="140">
        <v>0</v>
      </c>
      <c r="AO669" s="140">
        <v>2</v>
      </c>
      <c r="AP669" s="140">
        <v>0</v>
      </c>
      <c r="AQ669" s="140">
        <v>-1</v>
      </c>
      <c r="AR669" s="140">
        <v>0</v>
      </c>
      <c r="AS669" s="140">
        <v>0</v>
      </c>
      <c r="AT669" s="140">
        <v>0</v>
      </c>
      <c r="AU669" s="140">
        <v>0</v>
      </c>
      <c r="AV669" s="140">
        <v>2</v>
      </c>
      <c r="AW669" s="140">
        <v>0</v>
      </c>
      <c r="AX669" s="140">
        <v>-1</v>
      </c>
      <c r="AY669" s="140">
        <v>0</v>
      </c>
      <c r="AZ669" s="140">
        <v>0</v>
      </c>
      <c r="BA669" s="140">
        <v>0</v>
      </c>
      <c r="BB669" s="140">
        <v>0</v>
      </c>
      <c r="BC669" s="140">
        <v>0</v>
      </c>
      <c r="BD669" s="140">
        <v>0</v>
      </c>
      <c r="BE669" s="140">
        <v>0</v>
      </c>
      <c r="BF669" s="140">
        <v>0</v>
      </c>
      <c r="BG669" s="140">
        <v>0</v>
      </c>
      <c r="BH669" s="140">
        <v>0</v>
      </c>
      <c r="BI669" s="140">
        <v>0</v>
      </c>
      <c r="BJ669" s="140">
        <v>0</v>
      </c>
      <c r="BK669" s="140">
        <v>0</v>
      </c>
      <c r="BL669" s="140">
        <v>0</v>
      </c>
      <c r="BM669" s="140">
        <v>0</v>
      </c>
      <c r="BN669" s="140">
        <v>0</v>
      </c>
      <c r="BO669" s="140">
        <v>0</v>
      </c>
      <c r="BX669" s="43">
        <v>15</v>
      </c>
      <c r="BZ669" s="90">
        <f t="shared" si="74"/>
        <v>0.33333333333333331</v>
      </c>
      <c r="CA669" s="90">
        <f t="shared" si="74"/>
        <v>0.33333333333333331</v>
      </c>
      <c r="CB669" s="90">
        <f t="shared" si="74"/>
        <v>0.33333333333333331</v>
      </c>
      <c r="CT669" s="90">
        <f t="shared" si="69"/>
        <v>1</v>
      </c>
      <c r="CU669" s="90">
        <f t="shared" si="70"/>
        <v>1</v>
      </c>
    </row>
    <row r="670" spans="1:99" ht="12" customHeight="1">
      <c r="A670" s="43">
        <v>5162</v>
      </c>
      <c r="B670" s="89" t="s">
        <v>1515</v>
      </c>
      <c r="C670" s="89" t="s">
        <v>1880</v>
      </c>
      <c r="D670" s="89" t="s">
        <v>1881</v>
      </c>
      <c r="F670" s="43">
        <v>527391</v>
      </c>
      <c r="G670" s="43">
        <v>171717</v>
      </c>
      <c r="H670" s="89" t="s">
        <v>141</v>
      </c>
      <c r="K670" s="140">
        <v>0</v>
      </c>
      <c r="L670" s="140">
        <v>1</v>
      </c>
      <c r="M670" s="140">
        <v>1</v>
      </c>
      <c r="N670" s="140">
        <v>1</v>
      </c>
      <c r="O670" s="140">
        <v>1</v>
      </c>
      <c r="Q670" s="89" t="s">
        <v>1882</v>
      </c>
      <c r="R670" s="43" t="s">
        <v>316</v>
      </c>
      <c r="S670" s="125">
        <v>42691</v>
      </c>
      <c r="T670" s="117">
        <v>42873</v>
      </c>
      <c r="V670" s="43" t="s">
        <v>317</v>
      </c>
      <c r="X670" s="43" t="s">
        <v>318</v>
      </c>
      <c r="Y670" s="43" t="s">
        <v>336</v>
      </c>
      <c r="Z670" s="43" t="s">
        <v>320</v>
      </c>
      <c r="AA670" s="43" t="s">
        <v>33</v>
      </c>
      <c r="AB670" s="144">
        <v>1.9999999552965199E-2</v>
      </c>
      <c r="AF670" s="43" t="s">
        <v>75</v>
      </c>
      <c r="AG670" s="43" t="s">
        <v>322</v>
      </c>
      <c r="AJ670" s="140">
        <v>0</v>
      </c>
      <c r="AK670" s="140">
        <v>0</v>
      </c>
      <c r="AL670" s="140">
        <v>0</v>
      </c>
      <c r="AM670" s="140">
        <v>0</v>
      </c>
      <c r="AN670" s="140">
        <v>0</v>
      </c>
      <c r="AO670" s="140">
        <v>0</v>
      </c>
      <c r="AP670" s="140">
        <v>1</v>
      </c>
      <c r="AQ670" s="140">
        <v>0</v>
      </c>
      <c r="AR670" s="140">
        <v>0</v>
      </c>
      <c r="AS670" s="140">
        <v>0</v>
      </c>
      <c r="AT670" s="140">
        <v>0</v>
      </c>
      <c r="AU670" s="140">
        <v>0</v>
      </c>
      <c r="AV670" s="140">
        <v>0</v>
      </c>
      <c r="AW670" s="140">
        <v>0</v>
      </c>
      <c r="AX670" s="140">
        <v>0</v>
      </c>
      <c r="AY670" s="140">
        <v>0</v>
      </c>
      <c r="AZ670" s="140">
        <v>0</v>
      </c>
      <c r="BA670" s="140">
        <v>0</v>
      </c>
      <c r="BB670" s="140">
        <v>0</v>
      </c>
      <c r="BC670" s="140">
        <v>0</v>
      </c>
      <c r="BD670" s="140">
        <v>1</v>
      </c>
      <c r="BE670" s="140">
        <v>0</v>
      </c>
      <c r="BF670" s="140">
        <v>0</v>
      </c>
      <c r="BG670" s="140">
        <v>0</v>
      </c>
      <c r="BH670" s="140">
        <v>0</v>
      </c>
      <c r="BI670" s="140">
        <v>0</v>
      </c>
      <c r="BJ670" s="140">
        <v>0</v>
      </c>
      <c r="BK670" s="140">
        <v>0</v>
      </c>
      <c r="BL670" s="140">
        <v>0</v>
      </c>
      <c r="BM670" s="140">
        <v>0</v>
      </c>
      <c r="BN670" s="140">
        <v>0</v>
      </c>
      <c r="BO670" s="140">
        <v>0</v>
      </c>
      <c r="BX670" s="43">
        <v>15</v>
      </c>
      <c r="BZ670" s="90">
        <f t="shared" si="74"/>
        <v>0.33333333333333331</v>
      </c>
      <c r="CA670" s="90">
        <f t="shared" si="74"/>
        <v>0.33333333333333331</v>
      </c>
      <c r="CB670" s="90">
        <f t="shared" si="74"/>
        <v>0.33333333333333331</v>
      </c>
      <c r="CT670" s="90">
        <f t="shared" si="69"/>
        <v>1</v>
      </c>
      <c r="CU670" s="90">
        <f t="shared" si="70"/>
        <v>1</v>
      </c>
    </row>
    <row r="671" spans="1:99" ht="12" customHeight="1">
      <c r="A671" s="43">
        <v>5171</v>
      </c>
      <c r="B671" s="89" t="s">
        <v>1515</v>
      </c>
      <c r="C671" s="89" t="s">
        <v>1883</v>
      </c>
      <c r="D671" s="89" t="s">
        <v>1884</v>
      </c>
      <c r="F671" s="43">
        <v>524335</v>
      </c>
      <c r="G671" s="43">
        <v>174296</v>
      </c>
      <c r="H671" s="89" t="s">
        <v>169</v>
      </c>
      <c r="K671" s="140">
        <v>1</v>
      </c>
      <c r="L671" s="140">
        <v>1</v>
      </c>
      <c r="M671" s="140">
        <v>0</v>
      </c>
      <c r="N671" s="140">
        <v>1</v>
      </c>
      <c r="O671" s="140">
        <v>0</v>
      </c>
      <c r="Q671" s="89" t="s">
        <v>1885</v>
      </c>
      <c r="R671" s="43" t="s">
        <v>316</v>
      </c>
      <c r="S671" s="125">
        <v>43432</v>
      </c>
      <c r="T671" s="117">
        <v>43495</v>
      </c>
      <c r="V671" s="43" t="s">
        <v>317</v>
      </c>
      <c r="X671" s="43" t="s">
        <v>318</v>
      </c>
      <c r="Y671" s="43" t="s">
        <v>348</v>
      </c>
      <c r="Z671" s="43" t="s">
        <v>320</v>
      </c>
      <c r="AA671" s="43" t="s">
        <v>321</v>
      </c>
      <c r="AB671" s="144">
        <v>1.4000000432133701E-2</v>
      </c>
      <c r="AF671" s="43" t="s">
        <v>75</v>
      </c>
      <c r="AG671" s="43" t="s">
        <v>322</v>
      </c>
      <c r="AJ671" s="140">
        <v>0</v>
      </c>
      <c r="AK671" s="140">
        <v>0</v>
      </c>
      <c r="AL671" s="140">
        <v>0</v>
      </c>
      <c r="AM671" s="140">
        <v>0</v>
      </c>
      <c r="AN671" s="140">
        <v>-1</v>
      </c>
      <c r="AO671" s="140">
        <v>1</v>
      </c>
      <c r="AP671" s="140">
        <v>0</v>
      </c>
      <c r="AQ671" s="140">
        <v>0</v>
      </c>
      <c r="AR671" s="140">
        <v>0</v>
      </c>
      <c r="AS671" s="140">
        <v>0</v>
      </c>
      <c r="AT671" s="140">
        <v>0</v>
      </c>
      <c r="AU671" s="140">
        <v>-1</v>
      </c>
      <c r="AV671" s="140">
        <v>1</v>
      </c>
      <c r="AW671" s="140">
        <v>0</v>
      </c>
      <c r="AX671" s="140">
        <v>0</v>
      </c>
      <c r="AY671" s="140">
        <v>0</v>
      </c>
      <c r="AZ671" s="140">
        <v>0</v>
      </c>
      <c r="BA671" s="140">
        <v>0</v>
      </c>
      <c r="BB671" s="140">
        <v>0</v>
      </c>
      <c r="BC671" s="140">
        <v>0</v>
      </c>
      <c r="BD671" s="140">
        <v>0</v>
      </c>
      <c r="BE671" s="140">
        <v>0</v>
      </c>
      <c r="BF671" s="140">
        <v>0</v>
      </c>
      <c r="BG671" s="140">
        <v>0</v>
      </c>
      <c r="BH671" s="140">
        <v>0</v>
      </c>
      <c r="BI671" s="140">
        <v>0</v>
      </c>
      <c r="BJ671" s="140">
        <v>0</v>
      </c>
      <c r="BK671" s="140">
        <v>0</v>
      </c>
      <c r="BL671" s="140">
        <v>0</v>
      </c>
      <c r="BM671" s="140">
        <v>0</v>
      </c>
      <c r="BN671" s="140">
        <v>0</v>
      </c>
      <c r="BO671" s="140">
        <v>0</v>
      </c>
      <c r="BX671" s="43">
        <v>15</v>
      </c>
      <c r="BZ671" s="90">
        <f t="shared" si="74"/>
        <v>0</v>
      </c>
      <c r="CA671" s="90">
        <f t="shared" si="74"/>
        <v>0</v>
      </c>
      <c r="CB671" s="90">
        <f t="shared" si="74"/>
        <v>0</v>
      </c>
      <c r="CT671" s="90">
        <f t="shared" si="69"/>
        <v>0</v>
      </c>
      <c r="CU671" s="90">
        <f t="shared" si="70"/>
        <v>0</v>
      </c>
    </row>
    <row r="672" spans="1:99" ht="12" customHeight="1">
      <c r="A672" s="43">
        <v>5218</v>
      </c>
      <c r="B672" s="89" t="s">
        <v>1515</v>
      </c>
      <c r="C672" s="89" t="s">
        <v>1886</v>
      </c>
      <c r="D672" s="89" t="s">
        <v>1887</v>
      </c>
      <c r="F672" s="43">
        <v>529350</v>
      </c>
      <c r="G672" s="43">
        <v>171755</v>
      </c>
      <c r="H672" s="89" t="s">
        <v>171</v>
      </c>
      <c r="K672" s="140">
        <v>0</v>
      </c>
      <c r="L672" s="140">
        <v>1</v>
      </c>
      <c r="M672" s="140">
        <v>1</v>
      </c>
      <c r="N672" s="140">
        <v>1</v>
      </c>
      <c r="O672" s="140">
        <v>1</v>
      </c>
      <c r="Q672" s="89" t="s">
        <v>1888</v>
      </c>
      <c r="R672" s="43" t="s">
        <v>316</v>
      </c>
      <c r="S672" s="125">
        <v>43333</v>
      </c>
      <c r="T672" s="117">
        <v>43389</v>
      </c>
      <c r="V672" s="43" t="s">
        <v>317</v>
      </c>
      <c r="X672" s="43" t="s">
        <v>318</v>
      </c>
      <c r="Y672" s="43" t="s">
        <v>336</v>
      </c>
      <c r="Z672" s="43" t="s">
        <v>320</v>
      </c>
      <c r="AA672" s="43" t="s">
        <v>36</v>
      </c>
      <c r="AB672" s="144">
        <v>4.0000001899898104E-3</v>
      </c>
      <c r="AF672" s="43" t="s">
        <v>55</v>
      </c>
      <c r="AG672" s="43" t="s">
        <v>526</v>
      </c>
      <c r="AJ672" s="140">
        <v>0</v>
      </c>
      <c r="AK672" s="140">
        <v>0</v>
      </c>
      <c r="AL672" s="140">
        <v>0</v>
      </c>
      <c r="AM672" s="140">
        <v>0</v>
      </c>
      <c r="AN672" s="140">
        <v>0</v>
      </c>
      <c r="AO672" s="140">
        <v>1</v>
      </c>
      <c r="AP672" s="140">
        <v>0</v>
      </c>
      <c r="AQ672" s="140">
        <v>0</v>
      </c>
      <c r="AR672" s="140">
        <v>0</v>
      </c>
      <c r="AS672" s="140">
        <v>0</v>
      </c>
      <c r="AT672" s="140">
        <v>0</v>
      </c>
      <c r="AU672" s="140">
        <v>0</v>
      </c>
      <c r="AV672" s="140">
        <v>1</v>
      </c>
      <c r="AW672" s="140">
        <v>0</v>
      </c>
      <c r="AX672" s="140">
        <v>0</v>
      </c>
      <c r="AY672" s="140">
        <v>0</v>
      </c>
      <c r="AZ672" s="140">
        <v>0</v>
      </c>
      <c r="BA672" s="140">
        <v>0</v>
      </c>
      <c r="BB672" s="140">
        <v>0</v>
      </c>
      <c r="BC672" s="140">
        <v>0</v>
      </c>
      <c r="BD672" s="140">
        <v>0</v>
      </c>
      <c r="BE672" s="140">
        <v>0</v>
      </c>
      <c r="BF672" s="140">
        <v>0</v>
      </c>
      <c r="BG672" s="140">
        <v>0</v>
      </c>
      <c r="BH672" s="140">
        <v>0</v>
      </c>
      <c r="BI672" s="140">
        <v>0</v>
      </c>
      <c r="BJ672" s="140">
        <v>0</v>
      </c>
      <c r="BK672" s="140">
        <v>0</v>
      </c>
      <c r="BL672" s="140">
        <v>0</v>
      </c>
      <c r="BM672" s="140">
        <v>0</v>
      </c>
      <c r="BN672" s="140">
        <v>0</v>
      </c>
      <c r="BO672" s="140">
        <v>0</v>
      </c>
      <c r="BX672" s="43">
        <v>15</v>
      </c>
      <c r="BZ672" s="90">
        <f t="shared" si="74"/>
        <v>0.33333333333333331</v>
      </c>
      <c r="CA672" s="90">
        <f t="shared" si="74"/>
        <v>0.33333333333333331</v>
      </c>
      <c r="CB672" s="90">
        <f t="shared" si="74"/>
        <v>0.33333333333333331</v>
      </c>
      <c r="CT672" s="90">
        <f t="shared" si="69"/>
        <v>1</v>
      </c>
      <c r="CU672" s="90">
        <f t="shared" si="70"/>
        <v>1</v>
      </c>
    </row>
    <row r="673" spans="1:99" ht="12" customHeight="1">
      <c r="A673" s="43">
        <v>5232</v>
      </c>
      <c r="B673" s="89" t="s">
        <v>1515</v>
      </c>
      <c r="C673" s="89" t="s">
        <v>1889</v>
      </c>
      <c r="D673" s="89" t="s">
        <v>1890</v>
      </c>
      <c r="F673" s="43">
        <v>527007</v>
      </c>
      <c r="G673" s="43">
        <v>176205</v>
      </c>
      <c r="H673" s="89" t="s">
        <v>177</v>
      </c>
      <c r="K673" s="140">
        <v>1</v>
      </c>
      <c r="L673" s="140">
        <v>8</v>
      </c>
      <c r="M673" s="140">
        <v>7</v>
      </c>
      <c r="N673" s="140">
        <v>9</v>
      </c>
      <c r="O673" s="140">
        <v>8</v>
      </c>
      <c r="Q673" s="89" t="s">
        <v>1891</v>
      </c>
      <c r="R673" s="43" t="s">
        <v>316</v>
      </c>
      <c r="S673" s="125">
        <v>43761</v>
      </c>
      <c r="T673" s="117">
        <v>43885</v>
      </c>
      <c r="U673" s="43" t="s">
        <v>329</v>
      </c>
      <c r="V673" s="43" t="s">
        <v>317</v>
      </c>
      <c r="X673" s="43" t="s">
        <v>318</v>
      </c>
      <c r="Y673" s="43" t="s">
        <v>361</v>
      </c>
      <c r="Z673" s="43" t="s">
        <v>320</v>
      </c>
      <c r="AA673" s="43" t="s">
        <v>353</v>
      </c>
      <c r="AB673" s="144">
        <v>3.20000015199184E-2</v>
      </c>
      <c r="AF673" s="43" t="s">
        <v>75</v>
      </c>
      <c r="AG673" s="43" t="s">
        <v>322</v>
      </c>
      <c r="AJ673" s="140">
        <v>0</v>
      </c>
      <c r="AK673" s="140">
        <v>0</v>
      </c>
      <c r="AL673" s="140">
        <v>0</v>
      </c>
      <c r="AM673" s="140">
        <v>0</v>
      </c>
      <c r="AN673" s="140">
        <v>1</v>
      </c>
      <c r="AO673" s="140">
        <v>2</v>
      </c>
      <c r="AP673" s="140">
        <v>4</v>
      </c>
      <c r="AQ673" s="140">
        <v>0</v>
      </c>
      <c r="AR673" s="140">
        <v>0</v>
      </c>
      <c r="AS673" s="140">
        <v>0</v>
      </c>
      <c r="AT673" s="140">
        <v>0</v>
      </c>
      <c r="AU673" s="140">
        <v>1</v>
      </c>
      <c r="AV673" s="140">
        <v>2</v>
      </c>
      <c r="AW673" s="140">
        <v>4</v>
      </c>
      <c r="AX673" s="140">
        <v>1</v>
      </c>
      <c r="AY673" s="140">
        <v>0</v>
      </c>
      <c r="AZ673" s="140">
        <v>0</v>
      </c>
      <c r="BA673" s="140">
        <v>0</v>
      </c>
      <c r="BB673" s="140">
        <v>0</v>
      </c>
      <c r="BC673" s="140">
        <v>0</v>
      </c>
      <c r="BD673" s="140">
        <v>0</v>
      </c>
      <c r="BE673" s="140">
        <v>-1</v>
      </c>
      <c r="BF673" s="140">
        <v>0</v>
      </c>
      <c r="BG673" s="140">
        <v>0</v>
      </c>
      <c r="BH673" s="140">
        <v>0</v>
      </c>
      <c r="BI673" s="140">
        <v>0</v>
      </c>
      <c r="BJ673" s="140">
        <v>0</v>
      </c>
      <c r="BK673" s="140">
        <v>0</v>
      </c>
      <c r="BL673" s="140">
        <v>0</v>
      </c>
      <c r="BM673" s="140">
        <v>0</v>
      </c>
      <c r="BN673" s="140">
        <v>0</v>
      </c>
      <c r="BO673" s="140">
        <v>0</v>
      </c>
      <c r="BX673" s="43">
        <v>9</v>
      </c>
      <c r="CC673" s="90">
        <f t="shared" ref="CC673:CE674" si="75">$M673/3</f>
        <v>2.3333333333333335</v>
      </c>
      <c r="CD673" s="90">
        <f t="shared" si="75"/>
        <v>2.3333333333333335</v>
      </c>
      <c r="CE673" s="90">
        <f t="shared" si="75"/>
        <v>2.3333333333333335</v>
      </c>
      <c r="CT673" s="90">
        <f t="shared" si="69"/>
        <v>4.666666666666667</v>
      </c>
      <c r="CU673" s="90">
        <f t="shared" si="70"/>
        <v>7</v>
      </c>
    </row>
    <row r="674" spans="1:99" ht="12" customHeight="1">
      <c r="A674" s="43">
        <v>5232</v>
      </c>
      <c r="B674" s="89" t="s">
        <v>1515</v>
      </c>
      <c r="C674" s="89" t="s">
        <v>1889</v>
      </c>
      <c r="D674" s="89" t="s">
        <v>1890</v>
      </c>
      <c r="F674" s="43">
        <v>527007</v>
      </c>
      <c r="G674" s="43">
        <v>176205</v>
      </c>
      <c r="H674" s="89" t="s">
        <v>177</v>
      </c>
      <c r="K674" s="140">
        <v>0</v>
      </c>
      <c r="L674" s="140">
        <v>1</v>
      </c>
      <c r="M674" s="140">
        <v>1</v>
      </c>
      <c r="N674" s="140">
        <v>9</v>
      </c>
      <c r="O674" s="140">
        <v>8</v>
      </c>
      <c r="Q674" s="89" t="s">
        <v>1891</v>
      </c>
      <c r="R674" s="43" t="s">
        <v>316</v>
      </c>
      <c r="S674" s="125">
        <v>43761</v>
      </c>
      <c r="T674" s="117">
        <v>43885</v>
      </c>
      <c r="U674" s="43" t="s">
        <v>329</v>
      </c>
      <c r="V674" s="43" t="s">
        <v>317</v>
      </c>
      <c r="X674" s="43" t="s">
        <v>318</v>
      </c>
      <c r="Y674" s="43" t="s">
        <v>361</v>
      </c>
      <c r="Z674" s="43" t="s">
        <v>320</v>
      </c>
      <c r="AA674" s="43" t="s">
        <v>353</v>
      </c>
      <c r="AB674" s="144">
        <v>4.0000001899898104E-3</v>
      </c>
      <c r="AF674" s="43" t="s">
        <v>75</v>
      </c>
      <c r="AG674" s="43" t="s">
        <v>322</v>
      </c>
      <c r="AJ674" s="140">
        <v>0</v>
      </c>
      <c r="AK674" s="140">
        <v>0</v>
      </c>
      <c r="AL674" s="140">
        <v>0</v>
      </c>
      <c r="AM674" s="140">
        <v>0</v>
      </c>
      <c r="AN674" s="140">
        <v>0</v>
      </c>
      <c r="AO674" s="140">
        <v>0</v>
      </c>
      <c r="AP674" s="140">
        <v>0</v>
      </c>
      <c r="AQ674" s="140">
        <v>1</v>
      </c>
      <c r="AR674" s="140">
        <v>0</v>
      </c>
      <c r="AS674" s="140">
        <v>0</v>
      </c>
      <c r="AT674" s="140">
        <v>0</v>
      </c>
      <c r="AU674" s="140">
        <v>0</v>
      </c>
      <c r="AV674" s="140">
        <v>0</v>
      </c>
      <c r="AW674" s="140">
        <v>0</v>
      </c>
      <c r="AX674" s="140">
        <v>0</v>
      </c>
      <c r="AY674" s="140">
        <v>0</v>
      </c>
      <c r="AZ674" s="140">
        <v>0</v>
      </c>
      <c r="BA674" s="140">
        <v>0</v>
      </c>
      <c r="BB674" s="140">
        <v>0</v>
      </c>
      <c r="BC674" s="140">
        <v>0</v>
      </c>
      <c r="BD674" s="140">
        <v>0</v>
      </c>
      <c r="BE674" s="140">
        <v>1</v>
      </c>
      <c r="BF674" s="140">
        <v>0</v>
      </c>
      <c r="BG674" s="140">
        <v>0</v>
      </c>
      <c r="BH674" s="140">
        <v>0</v>
      </c>
      <c r="BI674" s="140">
        <v>0</v>
      </c>
      <c r="BJ674" s="140">
        <v>0</v>
      </c>
      <c r="BK674" s="140">
        <v>0</v>
      </c>
      <c r="BL674" s="140">
        <v>0</v>
      </c>
      <c r="BM674" s="140">
        <v>0</v>
      </c>
      <c r="BN674" s="140">
        <v>0</v>
      </c>
      <c r="BO674" s="140">
        <v>0</v>
      </c>
      <c r="BX674" s="43">
        <v>9</v>
      </c>
      <c r="CC674" s="90">
        <f t="shared" si="75"/>
        <v>0.33333333333333331</v>
      </c>
      <c r="CD674" s="90">
        <f t="shared" si="75"/>
        <v>0.33333333333333331</v>
      </c>
      <c r="CE674" s="90">
        <f t="shared" si="75"/>
        <v>0.33333333333333331</v>
      </c>
      <c r="CT674" s="90">
        <f t="shared" si="69"/>
        <v>0.66666666666666663</v>
      </c>
      <c r="CU674" s="90">
        <f t="shared" si="70"/>
        <v>1</v>
      </c>
    </row>
    <row r="675" spans="1:99" ht="12" customHeight="1">
      <c r="A675" s="43">
        <v>5308</v>
      </c>
      <c r="B675" s="89" t="s">
        <v>1515</v>
      </c>
      <c r="C675" s="89" t="s">
        <v>1892</v>
      </c>
      <c r="D675" s="89" t="s">
        <v>1893</v>
      </c>
      <c r="F675" s="43">
        <v>527156</v>
      </c>
      <c r="G675" s="43">
        <v>171614</v>
      </c>
      <c r="H675" s="89" t="s">
        <v>141</v>
      </c>
      <c r="K675" s="140">
        <v>0</v>
      </c>
      <c r="L675" s="140">
        <v>1</v>
      </c>
      <c r="M675" s="140">
        <v>1</v>
      </c>
      <c r="N675" s="140">
        <v>1</v>
      </c>
      <c r="O675" s="140">
        <v>1</v>
      </c>
      <c r="Q675" s="89" t="s">
        <v>1894</v>
      </c>
      <c r="R675" s="43" t="s">
        <v>443</v>
      </c>
      <c r="S675" s="125">
        <v>43451</v>
      </c>
      <c r="T675" s="117">
        <v>43495</v>
      </c>
      <c r="V675" s="43" t="s">
        <v>317</v>
      </c>
      <c r="X675" s="43" t="s">
        <v>318</v>
      </c>
      <c r="Y675" s="43" t="s">
        <v>336</v>
      </c>
      <c r="Z675" s="43" t="s">
        <v>320</v>
      </c>
      <c r="AA675" s="43" t="s">
        <v>33</v>
      </c>
      <c r="AB675" s="144">
        <v>3.0000000260770299E-3</v>
      </c>
      <c r="AF675" s="43" t="s">
        <v>75</v>
      </c>
      <c r="AG675" s="43" t="s">
        <v>322</v>
      </c>
      <c r="AJ675" s="140">
        <v>0</v>
      </c>
      <c r="AK675" s="140">
        <v>0</v>
      </c>
      <c r="AL675" s="140">
        <v>0</v>
      </c>
      <c r="AM675" s="140">
        <v>0</v>
      </c>
      <c r="AN675" s="140">
        <v>0</v>
      </c>
      <c r="AO675" s="140">
        <v>1</v>
      </c>
      <c r="AP675" s="140">
        <v>0</v>
      </c>
      <c r="AQ675" s="140">
        <v>0</v>
      </c>
      <c r="AR675" s="140">
        <v>0</v>
      </c>
      <c r="AS675" s="140">
        <v>0</v>
      </c>
      <c r="AT675" s="140">
        <v>0</v>
      </c>
      <c r="AU675" s="140">
        <v>0</v>
      </c>
      <c r="AV675" s="140">
        <v>1</v>
      </c>
      <c r="AW675" s="140">
        <v>0</v>
      </c>
      <c r="AX675" s="140">
        <v>0</v>
      </c>
      <c r="AY675" s="140">
        <v>0</v>
      </c>
      <c r="AZ675" s="140">
        <v>0</v>
      </c>
      <c r="BA675" s="140">
        <v>0</v>
      </c>
      <c r="BB675" s="140">
        <v>0</v>
      </c>
      <c r="BC675" s="140">
        <v>0</v>
      </c>
      <c r="BD675" s="140">
        <v>0</v>
      </c>
      <c r="BE675" s="140">
        <v>0</v>
      </c>
      <c r="BF675" s="140">
        <v>0</v>
      </c>
      <c r="BG675" s="140">
        <v>0</v>
      </c>
      <c r="BH675" s="140">
        <v>0</v>
      </c>
      <c r="BI675" s="140">
        <v>0</v>
      </c>
      <c r="BJ675" s="140">
        <v>0</v>
      </c>
      <c r="BK675" s="140">
        <v>0</v>
      </c>
      <c r="BL675" s="140">
        <v>0</v>
      </c>
      <c r="BM675" s="140">
        <v>0</v>
      </c>
      <c r="BN675" s="140">
        <v>0</v>
      </c>
      <c r="BO675" s="140">
        <v>0</v>
      </c>
      <c r="BX675" s="43">
        <v>15</v>
      </c>
      <c r="BZ675" s="90">
        <f t="shared" ref="BZ675:CB680" si="76">$M675/3</f>
        <v>0.33333333333333331</v>
      </c>
      <c r="CA675" s="90">
        <f t="shared" si="76"/>
        <v>0.33333333333333331</v>
      </c>
      <c r="CB675" s="90">
        <f t="shared" si="76"/>
        <v>0.33333333333333331</v>
      </c>
      <c r="CT675" s="90">
        <f t="shared" si="69"/>
        <v>1</v>
      </c>
      <c r="CU675" s="90">
        <f t="shared" si="70"/>
        <v>1</v>
      </c>
    </row>
    <row r="676" spans="1:99" ht="12" customHeight="1">
      <c r="A676" s="43">
        <v>5354</v>
      </c>
      <c r="B676" s="89" t="s">
        <v>1515</v>
      </c>
      <c r="C676" s="89" t="s">
        <v>1895</v>
      </c>
      <c r="D676" s="89" t="s">
        <v>1896</v>
      </c>
      <c r="F676" s="43">
        <v>526503</v>
      </c>
      <c r="G676" s="43">
        <v>172072</v>
      </c>
      <c r="H676" s="89" t="s">
        <v>168</v>
      </c>
      <c r="K676" s="140">
        <v>1</v>
      </c>
      <c r="L676" s="140">
        <v>1</v>
      </c>
      <c r="M676" s="140">
        <v>0</v>
      </c>
      <c r="N676" s="140">
        <v>1</v>
      </c>
      <c r="O676" s="140">
        <v>0</v>
      </c>
      <c r="Q676" s="89" t="s">
        <v>1897</v>
      </c>
      <c r="R676" s="43" t="s">
        <v>316</v>
      </c>
      <c r="S676" s="125">
        <v>43742</v>
      </c>
      <c r="T676" s="117">
        <v>43795</v>
      </c>
      <c r="U676" s="43" t="s">
        <v>329</v>
      </c>
      <c r="V676" s="43" t="s">
        <v>317</v>
      </c>
      <c r="X676" s="43" t="s">
        <v>318</v>
      </c>
      <c r="Y676" s="43" t="s">
        <v>336</v>
      </c>
      <c r="Z676" s="43" t="s">
        <v>320</v>
      </c>
      <c r="AA676" s="43" t="s">
        <v>30</v>
      </c>
      <c r="AB676" s="144">
        <v>7.0000002160668399E-3</v>
      </c>
      <c r="AF676" s="43" t="s">
        <v>75</v>
      </c>
      <c r="AG676" s="43" t="s">
        <v>322</v>
      </c>
      <c r="AJ676" s="140">
        <v>0</v>
      </c>
      <c r="AK676" s="140">
        <v>0</v>
      </c>
      <c r="AL676" s="140">
        <v>0</v>
      </c>
      <c r="AM676" s="140">
        <v>0</v>
      </c>
      <c r="AN676" s="140">
        <v>0</v>
      </c>
      <c r="AO676" s="140">
        <v>-1</v>
      </c>
      <c r="AP676" s="140">
        <v>1</v>
      </c>
      <c r="AQ676" s="140">
        <v>0</v>
      </c>
      <c r="AR676" s="140">
        <v>0</v>
      </c>
      <c r="AS676" s="140">
        <v>0</v>
      </c>
      <c r="AT676" s="140">
        <v>0</v>
      </c>
      <c r="AU676" s="140">
        <v>0</v>
      </c>
      <c r="AV676" s="140">
        <v>-1</v>
      </c>
      <c r="AW676" s="140">
        <v>1</v>
      </c>
      <c r="AX676" s="140">
        <v>0</v>
      </c>
      <c r="AY676" s="140">
        <v>0</v>
      </c>
      <c r="AZ676" s="140">
        <v>0</v>
      </c>
      <c r="BA676" s="140">
        <v>0</v>
      </c>
      <c r="BB676" s="140">
        <v>0</v>
      </c>
      <c r="BC676" s="140">
        <v>0</v>
      </c>
      <c r="BD676" s="140">
        <v>0</v>
      </c>
      <c r="BE676" s="140">
        <v>0</v>
      </c>
      <c r="BF676" s="140">
        <v>0</v>
      </c>
      <c r="BG676" s="140">
        <v>0</v>
      </c>
      <c r="BH676" s="140">
        <v>0</v>
      </c>
      <c r="BI676" s="140">
        <v>0</v>
      </c>
      <c r="BJ676" s="140">
        <v>0</v>
      </c>
      <c r="BK676" s="140">
        <v>0</v>
      </c>
      <c r="BL676" s="140">
        <v>0</v>
      </c>
      <c r="BM676" s="140">
        <v>0</v>
      </c>
      <c r="BN676" s="140">
        <v>0</v>
      </c>
      <c r="BO676" s="140">
        <v>0</v>
      </c>
      <c r="BX676" s="43">
        <v>15</v>
      </c>
      <c r="BZ676" s="90">
        <f t="shared" si="76"/>
        <v>0</v>
      </c>
      <c r="CA676" s="90">
        <f t="shared" si="76"/>
        <v>0</v>
      </c>
      <c r="CB676" s="90">
        <f t="shared" si="76"/>
        <v>0</v>
      </c>
      <c r="CT676" s="90">
        <f t="shared" si="69"/>
        <v>0</v>
      </c>
      <c r="CU676" s="90">
        <f t="shared" si="70"/>
        <v>0</v>
      </c>
    </row>
    <row r="677" spans="1:99" ht="12" customHeight="1">
      <c r="A677" s="43">
        <v>5359</v>
      </c>
      <c r="B677" s="89" t="s">
        <v>1515</v>
      </c>
      <c r="C677" s="89" t="s">
        <v>1898</v>
      </c>
      <c r="D677" s="89" t="s">
        <v>1899</v>
      </c>
      <c r="F677" s="43">
        <v>529690</v>
      </c>
      <c r="G677" s="43">
        <v>177683</v>
      </c>
      <c r="H677" s="89" t="s">
        <v>148</v>
      </c>
      <c r="K677" s="140">
        <v>1</v>
      </c>
      <c r="L677" s="140">
        <v>2</v>
      </c>
      <c r="M677" s="140">
        <v>1</v>
      </c>
      <c r="N677" s="140">
        <v>2</v>
      </c>
      <c r="O677" s="140">
        <v>1</v>
      </c>
      <c r="Q677" s="89" t="s">
        <v>1900</v>
      </c>
      <c r="R677" s="43" t="s">
        <v>316</v>
      </c>
      <c r="S677" s="125">
        <v>42767</v>
      </c>
      <c r="T677" s="117">
        <v>42804</v>
      </c>
      <c r="V677" s="43" t="s">
        <v>317</v>
      </c>
      <c r="X677" s="43" t="s">
        <v>318</v>
      </c>
      <c r="Y677" s="43" t="s">
        <v>348</v>
      </c>
      <c r="Z677" s="43" t="s">
        <v>320</v>
      </c>
      <c r="AA677" s="43" t="s">
        <v>321</v>
      </c>
      <c r="AB677" s="144">
        <v>8.0000003799796104E-3</v>
      </c>
      <c r="AF677" s="43" t="s">
        <v>75</v>
      </c>
      <c r="AG677" s="43" t="s">
        <v>322</v>
      </c>
      <c r="AJ677" s="140">
        <v>0</v>
      </c>
      <c r="AK677" s="140">
        <v>0</v>
      </c>
      <c r="AL677" s="140">
        <v>0</v>
      </c>
      <c r="AM677" s="140">
        <v>0</v>
      </c>
      <c r="AN677" s="140">
        <v>1</v>
      </c>
      <c r="AO677" s="140">
        <v>1</v>
      </c>
      <c r="AP677" s="140">
        <v>-1</v>
      </c>
      <c r="AQ677" s="140">
        <v>0</v>
      </c>
      <c r="AR677" s="140">
        <v>0</v>
      </c>
      <c r="AS677" s="140">
        <v>0</v>
      </c>
      <c r="AT677" s="140">
        <v>0</v>
      </c>
      <c r="AU677" s="140">
        <v>1</v>
      </c>
      <c r="AV677" s="140">
        <v>1</v>
      </c>
      <c r="AW677" s="140">
        <v>0</v>
      </c>
      <c r="AX677" s="140">
        <v>0</v>
      </c>
      <c r="AY677" s="140">
        <v>0</v>
      </c>
      <c r="AZ677" s="140">
        <v>0</v>
      </c>
      <c r="BA677" s="140">
        <v>0</v>
      </c>
      <c r="BB677" s="140">
        <v>0</v>
      </c>
      <c r="BC677" s="140">
        <v>0</v>
      </c>
      <c r="BD677" s="140">
        <v>-1</v>
      </c>
      <c r="BE677" s="140">
        <v>0</v>
      </c>
      <c r="BF677" s="140">
        <v>0</v>
      </c>
      <c r="BG677" s="140">
        <v>0</v>
      </c>
      <c r="BH677" s="140">
        <v>0</v>
      </c>
      <c r="BI677" s="140">
        <v>0</v>
      </c>
      <c r="BJ677" s="140">
        <v>0</v>
      </c>
      <c r="BK677" s="140">
        <v>0</v>
      </c>
      <c r="BL677" s="140">
        <v>0</v>
      </c>
      <c r="BM677" s="140">
        <v>0</v>
      </c>
      <c r="BN677" s="140">
        <v>0</v>
      </c>
      <c r="BO677" s="140">
        <v>0</v>
      </c>
      <c r="BQ677" s="43" t="s">
        <v>329</v>
      </c>
      <c r="BX677" s="43">
        <v>15</v>
      </c>
      <c r="BZ677" s="90">
        <f t="shared" si="76"/>
        <v>0.33333333333333331</v>
      </c>
      <c r="CA677" s="90">
        <f t="shared" si="76"/>
        <v>0.33333333333333331</v>
      </c>
      <c r="CB677" s="90">
        <f t="shared" si="76"/>
        <v>0.33333333333333331</v>
      </c>
      <c r="CT677" s="90">
        <f t="shared" si="69"/>
        <v>1</v>
      </c>
      <c r="CU677" s="90">
        <f t="shared" si="70"/>
        <v>1</v>
      </c>
    </row>
    <row r="678" spans="1:99" ht="12" customHeight="1">
      <c r="A678" s="43">
        <v>5398</v>
      </c>
      <c r="B678" s="89" t="s">
        <v>1515</v>
      </c>
      <c r="C678" s="89" t="s">
        <v>1901</v>
      </c>
      <c r="D678" s="89" t="s">
        <v>1902</v>
      </c>
      <c r="E678" s="89" t="s">
        <v>933</v>
      </c>
      <c r="F678" s="43">
        <v>526797</v>
      </c>
      <c r="G678" s="43">
        <v>175059</v>
      </c>
      <c r="H678" s="89" t="s">
        <v>170</v>
      </c>
      <c r="K678" s="140">
        <v>0</v>
      </c>
      <c r="L678" s="140">
        <v>1</v>
      </c>
      <c r="M678" s="140">
        <v>1</v>
      </c>
      <c r="N678" s="140">
        <v>3</v>
      </c>
      <c r="O678" s="140">
        <v>3</v>
      </c>
      <c r="Q678" s="89" t="s">
        <v>1903</v>
      </c>
      <c r="R678" s="43" t="s">
        <v>316</v>
      </c>
      <c r="S678" s="125">
        <v>43503</v>
      </c>
      <c r="T678" s="117">
        <v>43595</v>
      </c>
      <c r="U678" s="43" t="s">
        <v>329</v>
      </c>
      <c r="V678" s="43" t="s">
        <v>317</v>
      </c>
      <c r="X678" s="43" t="s">
        <v>318</v>
      </c>
      <c r="Y678" s="43" t="s">
        <v>319</v>
      </c>
      <c r="Z678" s="43" t="s">
        <v>320</v>
      </c>
      <c r="AA678" s="43" t="s">
        <v>340</v>
      </c>
      <c r="AB678" s="144">
        <v>2.0000000949949E-3</v>
      </c>
      <c r="AF678" s="43" t="s">
        <v>75</v>
      </c>
      <c r="AG678" s="43" t="s">
        <v>322</v>
      </c>
      <c r="AJ678" s="140">
        <v>0</v>
      </c>
      <c r="AK678" s="140">
        <v>0</v>
      </c>
      <c r="AL678" s="140">
        <v>0</v>
      </c>
      <c r="AM678" s="140">
        <v>0</v>
      </c>
      <c r="AN678" s="140">
        <v>0</v>
      </c>
      <c r="AO678" s="140">
        <v>0</v>
      </c>
      <c r="AP678" s="140">
        <v>1</v>
      </c>
      <c r="AQ678" s="140">
        <v>0</v>
      </c>
      <c r="AR678" s="140">
        <v>0</v>
      </c>
      <c r="AS678" s="140">
        <v>0</v>
      </c>
      <c r="AT678" s="140">
        <v>0</v>
      </c>
      <c r="AU678" s="140">
        <v>0</v>
      </c>
      <c r="AV678" s="140">
        <v>0</v>
      </c>
      <c r="AW678" s="140">
        <v>1</v>
      </c>
      <c r="AX678" s="140">
        <v>0</v>
      </c>
      <c r="AY678" s="140">
        <v>0</v>
      </c>
      <c r="AZ678" s="140">
        <v>0</v>
      </c>
      <c r="BA678" s="140">
        <v>0</v>
      </c>
      <c r="BB678" s="140">
        <v>0</v>
      </c>
      <c r="BC678" s="140">
        <v>0</v>
      </c>
      <c r="BD678" s="140">
        <v>0</v>
      </c>
      <c r="BE678" s="140">
        <v>0</v>
      </c>
      <c r="BF678" s="140">
        <v>0</v>
      </c>
      <c r="BG678" s="140">
        <v>0</v>
      </c>
      <c r="BH678" s="140">
        <v>0</v>
      </c>
      <c r="BI678" s="140">
        <v>0</v>
      </c>
      <c r="BJ678" s="140">
        <v>0</v>
      </c>
      <c r="BK678" s="140">
        <v>0</v>
      </c>
      <c r="BL678" s="140">
        <v>0</v>
      </c>
      <c r="BM678" s="140">
        <v>0</v>
      </c>
      <c r="BN678" s="140">
        <v>0</v>
      </c>
      <c r="BO678" s="140">
        <v>0</v>
      </c>
      <c r="BX678" s="43">
        <v>15</v>
      </c>
      <c r="BZ678" s="90">
        <f t="shared" si="76"/>
        <v>0.33333333333333331</v>
      </c>
      <c r="CA678" s="90">
        <f t="shared" si="76"/>
        <v>0.33333333333333331</v>
      </c>
      <c r="CB678" s="90">
        <f t="shared" si="76"/>
        <v>0.33333333333333331</v>
      </c>
      <c r="CT678" s="90">
        <f t="shared" si="69"/>
        <v>1</v>
      </c>
      <c r="CU678" s="90">
        <f t="shared" si="70"/>
        <v>1</v>
      </c>
    </row>
    <row r="679" spans="1:99" ht="12" customHeight="1">
      <c r="A679" s="43">
        <v>5398</v>
      </c>
      <c r="B679" s="89" t="s">
        <v>1515</v>
      </c>
      <c r="C679" s="89" t="s">
        <v>1901</v>
      </c>
      <c r="D679" s="89" t="s">
        <v>1902</v>
      </c>
      <c r="E679" s="89" t="s">
        <v>59</v>
      </c>
      <c r="F679" s="43">
        <v>526797</v>
      </c>
      <c r="G679" s="43">
        <v>175059</v>
      </c>
      <c r="H679" s="89" t="s">
        <v>170</v>
      </c>
      <c r="K679" s="140">
        <v>0</v>
      </c>
      <c r="L679" s="140">
        <v>2</v>
      </c>
      <c r="M679" s="140">
        <v>2</v>
      </c>
      <c r="N679" s="140">
        <v>3</v>
      </c>
      <c r="O679" s="140">
        <v>3</v>
      </c>
      <c r="Q679" s="89" t="s">
        <v>1903</v>
      </c>
      <c r="R679" s="43" t="s">
        <v>316</v>
      </c>
      <c r="S679" s="125">
        <v>43503</v>
      </c>
      <c r="T679" s="117">
        <v>43595</v>
      </c>
      <c r="U679" s="43" t="s">
        <v>329</v>
      </c>
      <c r="V679" s="43" t="s">
        <v>317</v>
      </c>
      <c r="X679" s="43" t="s">
        <v>318</v>
      </c>
      <c r="Y679" s="43" t="s">
        <v>319</v>
      </c>
      <c r="Z679" s="43" t="s">
        <v>320</v>
      </c>
      <c r="AA679" s="43" t="s">
        <v>353</v>
      </c>
      <c r="AB679" s="144">
        <v>3.0000000260770299E-3</v>
      </c>
      <c r="AF679" s="43" t="s">
        <v>75</v>
      </c>
      <c r="AG679" s="43" t="s">
        <v>322</v>
      </c>
      <c r="AJ679" s="140">
        <v>0</v>
      </c>
      <c r="AK679" s="140">
        <v>0</v>
      </c>
      <c r="AL679" s="140">
        <v>0</v>
      </c>
      <c r="AM679" s="140">
        <v>0</v>
      </c>
      <c r="AN679" s="140">
        <v>0</v>
      </c>
      <c r="AO679" s="140">
        <v>1</v>
      </c>
      <c r="AP679" s="140">
        <v>1</v>
      </c>
      <c r="AQ679" s="140">
        <v>0</v>
      </c>
      <c r="AR679" s="140">
        <v>0</v>
      </c>
      <c r="AS679" s="140">
        <v>0</v>
      </c>
      <c r="AT679" s="140">
        <v>0</v>
      </c>
      <c r="AU679" s="140">
        <v>0</v>
      </c>
      <c r="AV679" s="140">
        <v>1</v>
      </c>
      <c r="AW679" s="140">
        <v>1</v>
      </c>
      <c r="AX679" s="140">
        <v>0</v>
      </c>
      <c r="AY679" s="140">
        <v>0</v>
      </c>
      <c r="AZ679" s="140">
        <v>0</v>
      </c>
      <c r="BA679" s="140">
        <v>0</v>
      </c>
      <c r="BB679" s="140">
        <v>0</v>
      </c>
      <c r="BC679" s="140">
        <v>0</v>
      </c>
      <c r="BD679" s="140">
        <v>0</v>
      </c>
      <c r="BE679" s="140">
        <v>0</v>
      </c>
      <c r="BF679" s="140">
        <v>0</v>
      </c>
      <c r="BG679" s="140">
        <v>0</v>
      </c>
      <c r="BH679" s="140">
        <v>0</v>
      </c>
      <c r="BI679" s="140">
        <v>0</v>
      </c>
      <c r="BJ679" s="140">
        <v>0</v>
      </c>
      <c r="BK679" s="140">
        <v>0</v>
      </c>
      <c r="BL679" s="140">
        <v>0</v>
      </c>
      <c r="BM679" s="140">
        <v>0</v>
      </c>
      <c r="BN679" s="140">
        <v>0</v>
      </c>
      <c r="BO679" s="140">
        <v>0</v>
      </c>
      <c r="BX679" s="43">
        <v>15</v>
      </c>
      <c r="BZ679" s="90">
        <f t="shared" si="76"/>
        <v>0.66666666666666663</v>
      </c>
      <c r="CA679" s="90">
        <f t="shared" si="76"/>
        <v>0.66666666666666663</v>
      </c>
      <c r="CB679" s="90">
        <f t="shared" si="76"/>
        <v>0.66666666666666663</v>
      </c>
      <c r="CT679" s="90">
        <f t="shared" si="69"/>
        <v>2</v>
      </c>
      <c r="CU679" s="90">
        <f t="shared" si="70"/>
        <v>2</v>
      </c>
    </row>
    <row r="680" spans="1:99" ht="12" customHeight="1">
      <c r="A680" s="43">
        <v>5420</v>
      </c>
      <c r="B680" s="89" t="s">
        <v>1515</v>
      </c>
      <c r="C680" s="89" t="s">
        <v>1904</v>
      </c>
      <c r="D680" s="89" t="s">
        <v>1905</v>
      </c>
      <c r="F680" s="43">
        <v>527461</v>
      </c>
      <c r="G680" s="43">
        <v>171563</v>
      </c>
      <c r="H680" s="89" t="s">
        <v>141</v>
      </c>
      <c r="K680" s="140">
        <v>0</v>
      </c>
      <c r="L680" s="140">
        <v>3</v>
      </c>
      <c r="M680" s="140">
        <v>3</v>
      </c>
      <c r="N680" s="140">
        <v>3</v>
      </c>
      <c r="O680" s="140">
        <v>3</v>
      </c>
      <c r="Q680" s="89" t="s">
        <v>1906</v>
      </c>
      <c r="R680" s="43" t="s">
        <v>316</v>
      </c>
      <c r="S680" s="125">
        <v>43264</v>
      </c>
      <c r="T680" s="117">
        <v>43384</v>
      </c>
      <c r="V680" s="43" t="s">
        <v>317</v>
      </c>
      <c r="X680" s="43" t="s">
        <v>318</v>
      </c>
      <c r="Y680" s="43" t="s">
        <v>379</v>
      </c>
      <c r="Z680" s="43" t="s">
        <v>320</v>
      </c>
      <c r="AA680" s="43" t="s">
        <v>340</v>
      </c>
      <c r="AB680" s="144">
        <v>2.3000000044703501E-2</v>
      </c>
      <c r="AF680" s="43" t="s">
        <v>75</v>
      </c>
      <c r="AG680" s="43" t="s">
        <v>322</v>
      </c>
      <c r="AJ680" s="140">
        <v>0</v>
      </c>
      <c r="AK680" s="140">
        <v>0</v>
      </c>
      <c r="AL680" s="140">
        <v>0</v>
      </c>
      <c r="AM680" s="140">
        <v>0</v>
      </c>
      <c r="AN680" s="140">
        <v>0</v>
      </c>
      <c r="AO680" s="140">
        <v>2</v>
      </c>
      <c r="AP680" s="140">
        <v>1</v>
      </c>
      <c r="AQ680" s="140">
        <v>0</v>
      </c>
      <c r="AR680" s="140">
        <v>0</v>
      </c>
      <c r="AS680" s="140">
        <v>0</v>
      </c>
      <c r="AT680" s="140">
        <v>0</v>
      </c>
      <c r="AU680" s="140">
        <v>0</v>
      </c>
      <c r="AV680" s="140">
        <v>2</v>
      </c>
      <c r="AW680" s="140">
        <v>1</v>
      </c>
      <c r="AX680" s="140">
        <v>0</v>
      </c>
      <c r="AY680" s="140">
        <v>0</v>
      </c>
      <c r="AZ680" s="140">
        <v>0</v>
      </c>
      <c r="BA680" s="140">
        <v>0</v>
      </c>
      <c r="BB680" s="140">
        <v>0</v>
      </c>
      <c r="BC680" s="140">
        <v>0</v>
      </c>
      <c r="BD680" s="140">
        <v>0</v>
      </c>
      <c r="BE680" s="140">
        <v>0</v>
      </c>
      <c r="BF680" s="140">
        <v>0</v>
      </c>
      <c r="BG680" s="140">
        <v>0</v>
      </c>
      <c r="BH680" s="140">
        <v>0</v>
      </c>
      <c r="BI680" s="140">
        <v>0</v>
      </c>
      <c r="BJ680" s="140">
        <v>0</v>
      </c>
      <c r="BK680" s="140">
        <v>0</v>
      </c>
      <c r="BL680" s="140">
        <v>0</v>
      </c>
      <c r="BM680" s="140">
        <v>0</v>
      </c>
      <c r="BN680" s="140">
        <v>0</v>
      </c>
      <c r="BO680" s="140">
        <v>0</v>
      </c>
      <c r="BP680" s="43" t="s">
        <v>141</v>
      </c>
      <c r="BX680" s="43">
        <v>15</v>
      </c>
      <c r="BZ680" s="90">
        <f t="shared" si="76"/>
        <v>1</v>
      </c>
      <c r="CA680" s="90">
        <f t="shared" si="76"/>
        <v>1</v>
      </c>
      <c r="CB680" s="90">
        <f t="shared" si="76"/>
        <v>1</v>
      </c>
      <c r="CT680" s="90">
        <f t="shared" si="69"/>
        <v>3</v>
      </c>
      <c r="CU680" s="90">
        <f t="shared" si="70"/>
        <v>3</v>
      </c>
    </row>
    <row r="681" spans="1:99" ht="12" customHeight="1">
      <c r="A681" s="43">
        <v>5442</v>
      </c>
      <c r="B681" s="89" t="s">
        <v>1515</v>
      </c>
      <c r="C681" s="89" t="s">
        <v>1907</v>
      </c>
      <c r="D681" s="89" t="s">
        <v>1908</v>
      </c>
      <c r="F681" s="43">
        <v>525614</v>
      </c>
      <c r="G681" s="43">
        <v>172864</v>
      </c>
      <c r="H681" s="89" t="s">
        <v>176</v>
      </c>
      <c r="I681" s="125">
        <v>41729</v>
      </c>
      <c r="K681" s="140">
        <v>0</v>
      </c>
      <c r="L681" s="140">
        <v>1</v>
      </c>
      <c r="M681" s="140">
        <v>1</v>
      </c>
      <c r="N681" s="140">
        <v>1</v>
      </c>
      <c r="O681" s="140">
        <v>1</v>
      </c>
      <c r="Q681" s="89" t="s">
        <v>1909</v>
      </c>
      <c r="R681" s="43" t="s">
        <v>316</v>
      </c>
      <c r="S681" s="125">
        <v>41470</v>
      </c>
      <c r="T681" s="117">
        <v>41558</v>
      </c>
      <c r="V681" s="43" t="s">
        <v>317</v>
      </c>
      <c r="X681" s="43" t="s">
        <v>318</v>
      </c>
      <c r="Y681" s="43" t="s">
        <v>361</v>
      </c>
      <c r="Z681" s="43" t="s">
        <v>320</v>
      </c>
      <c r="AA681" s="43" t="s">
        <v>353</v>
      </c>
      <c r="AB681" s="144">
        <v>4.0000001899898104E-3</v>
      </c>
      <c r="AF681" s="43" t="s">
        <v>75</v>
      </c>
      <c r="AG681" s="43" t="s">
        <v>322</v>
      </c>
      <c r="AJ681" s="140">
        <v>0</v>
      </c>
      <c r="AK681" s="140">
        <v>0</v>
      </c>
      <c r="AL681" s="140">
        <v>0</v>
      </c>
      <c r="AM681" s="140">
        <v>0</v>
      </c>
      <c r="AN681" s="140">
        <v>0</v>
      </c>
      <c r="AO681" s="140">
        <v>1</v>
      </c>
      <c r="AP681" s="140">
        <v>0</v>
      </c>
      <c r="AQ681" s="140">
        <v>0</v>
      </c>
      <c r="AR681" s="140">
        <v>0</v>
      </c>
      <c r="AS681" s="140">
        <v>0</v>
      </c>
      <c r="AT681" s="140">
        <v>0</v>
      </c>
      <c r="AU681" s="140">
        <v>0</v>
      </c>
      <c r="AV681" s="140">
        <v>0</v>
      </c>
      <c r="AW681" s="140">
        <v>0</v>
      </c>
      <c r="AX681" s="140">
        <v>0</v>
      </c>
      <c r="AY681" s="140">
        <v>0</v>
      </c>
      <c r="AZ681" s="140">
        <v>0</v>
      </c>
      <c r="BA681" s="140">
        <v>0</v>
      </c>
      <c r="BB681" s="140">
        <v>0</v>
      </c>
      <c r="BC681" s="140">
        <v>1</v>
      </c>
      <c r="BD681" s="140">
        <v>0</v>
      </c>
      <c r="BE681" s="140">
        <v>0</v>
      </c>
      <c r="BF681" s="140">
        <v>0</v>
      </c>
      <c r="BG681" s="140">
        <v>0</v>
      </c>
      <c r="BH681" s="140">
        <v>0</v>
      </c>
      <c r="BI681" s="140">
        <v>0</v>
      </c>
      <c r="BJ681" s="140">
        <v>0</v>
      </c>
      <c r="BK681" s="140">
        <v>0</v>
      </c>
      <c r="BL681" s="140">
        <v>0</v>
      </c>
      <c r="BM681" s="140">
        <v>0</v>
      </c>
      <c r="BN681" s="140">
        <v>0</v>
      </c>
      <c r="BO681" s="140">
        <v>0</v>
      </c>
      <c r="BW681" s="43" t="s">
        <v>329</v>
      </c>
      <c r="BX681" s="43">
        <v>6</v>
      </c>
      <c r="CA681" s="90">
        <f>$M681/4</f>
        <v>0.25</v>
      </c>
      <c r="CB681" s="90">
        <f>$M681/4</f>
        <v>0.25</v>
      </c>
      <c r="CC681" s="90">
        <f>$M681/4</f>
        <v>0.25</v>
      </c>
      <c r="CD681" s="90">
        <f>$M681/4</f>
        <v>0.25</v>
      </c>
      <c r="CT681" s="90">
        <f t="shared" si="69"/>
        <v>1</v>
      </c>
      <c r="CU681" s="90">
        <f t="shared" si="70"/>
        <v>1</v>
      </c>
    </row>
    <row r="682" spans="1:99" ht="12" customHeight="1">
      <c r="A682" s="43">
        <v>5505</v>
      </c>
      <c r="B682" s="89" t="s">
        <v>1515</v>
      </c>
      <c r="C682" s="89" t="s">
        <v>1910</v>
      </c>
      <c r="D682" s="89" t="s">
        <v>1911</v>
      </c>
      <c r="F682" s="43">
        <v>528548</v>
      </c>
      <c r="G682" s="43">
        <v>173199</v>
      </c>
      <c r="H682" s="89" t="s">
        <v>138</v>
      </c>
      <c r="K682" s="140">
        <v>0</v>
      </c>
      <c r="L682" s="140">
        <v>1</v>
      </c>
      <c r="M682" s="140">
        <v>1</v>
      </c>
      <c r="N682" s="140">
        <v>1</v>
      </c>
      <c r="O682" s="140">
        <v>1</v>
      </c>
      <c r="Q682" s="89" t="s">
        <v>1912</v>
      </c>
      <c r="R682" s="43" t="s">
        <v>443</v>
      </c>
      <c r="S682" s="125">
        <v>43263</v>
      </c>
      <c r="T682" s="117">
        <v>43311</v>
      </c>
      <c r="V682" s="43" t="s">
        <v>317</v>
      </c>
      <c r="X682" s="43" t="s">
        <v>318</v>
      </c>
      <c r="Y682" s="43" t="s">
        <v>336</v>
      </c>
      <c r="Z682" s="43" t="s">
        <v>320</v>
      </c>
      <c r="AA682" s="43" t="s">
        <v>33</v>
      </c>
      <c r="AB682" s="144">
        <v>2.0000000949949E-3</v>
      </c>
      <c r="AF682" s="43" t="s">
        <v>75</v>
      </c>
      <c r="AG682" s="43" t="s">
        <v>322</v>
      </c>
      <c r="AJ682" s="140">
        <v>0</v>
      </c>
      <c r="AK682" s="140">
        <v>0</v>
      </c>
      <c r="AL682" s="140">
        <v>0</v>
      </c>
      <c r="AM682" s="140">
        <v>0</v>
      </c>
      <c r="AN682" s="140">
        <v>0</v>
      </c>
      <c r="AO682" s="140">
        <v>1</v>
      </c>
      <c r="AP682" s="140">
        <v>0</v>
      </c>
      <c r="AQ682" s="140">
        <v>0</v>
      </c>
      <c r="AR682" s="140">
        <v>0</v>
      </c>
      <c r="AS682" s="140">
        <v>0</v>
      </c>
      <c r="AT682" s="140">
        <v>0</v>
      </c>
      <c r="AU682" s="140">
        <v>0</v>
      </c>
      <c r="AV682" s="140">
        <v>1</v>
      </c>
      <c r="AW682" s="140">
        <v>0</v>
      </c>
      <c r="AX682" s="140">
        <v>0</v>
      </c>
      <c r="AY682" s="140">
        <v>0</v>
      </c>
      <c r="AZ682" s="140">
        <v>0</v>
      </c>
      <c r="BA682" s="140">
        <v>0</v>
      </c>
      <c r="BB682" s="140">
        <v>0</v>
      </c>
      <c r="BC682" s="140">
        <v>0</v>
      </c>
      <c r="BD682" s="140">
        <v>0</v>
      </c>
      <c r="BE682" s="140">
        <v>0</v>
      </c>
      <c r="BF682" s="140">
        <v>0</v>
      </c>
      <c r="BG682" s="140">
        <v>0</v>
      </c>
      <c r="BH682" s="140">
        <v>0</v>
      </c>
      <c r="BI682" s="140">
        <v>0</v>
      </c>
      <c r="BJ682" s="140">
        <v>0</v>
      </c>
      <c r="BK682" s="140">
        <v>0</v>
      </c>
      <c r="BL682" s="140">
        <v>0</v>
      </c>
      <c r="BM682" s="140">
        <v>0</v>
      </c>
      <c r="BN682" s="140">
        <v>0</v>
      </c>
      <c r="BO682" s="140">
        <v>0</v>
      </c>
      <c r="BP682" s="43" t="s">
        <v>138</v>
      </c>
      <c r="BX682" s="43">
        <v>15</v>
      </c>
      <c r="BZ682" s="90">
        <f t="shared" ref="BZ682:CB683" si="77">$M682/3</f>
        <v>0.33333333333333331</v>
      </c>
      <c r="CA682" s="90">
        <f t="shared" si="77"/>
        <v>0.33333333333333331</v>
      </c>
      <c r="CB682" s="90">
        <f t="shared" si="77"/>
        <v>0.33333333333333331</v>
      </c>
      <c r="CT682" s="90">
        <f t="shared" si="69"/>
        <v>1</v>
      </c>
      <c r="CU682" s="90">
        <f t="shared" si="70"/>
        <v>1</v>
      </c>
    </row>
    <row r="683" spans="1:99" ht="12" customHeight="1">
      <c r="A683" s="43">
        <v>5561</v>
      </c>
      <c r="B683" s="89" t="s">
        <v>1515</v>
      </c>
      <c r="C683" s="89" t="s">
        <v>1913</v>
      </c>
      <c r="D683" s="89" t="s">
        <v>1914</v>
      </c>
      <c r="F683" s="43">
        <v>528467</v>
      </c>
      <c r="G683" s="43">
        <v>172710</v>
      </c>
      <c r="H683" s="89" t="s">
        <v>167</v>
      </c>
      <c r="K683" s="140">
        <v>1</v>
      </c>
      <c r="L683" s="140">
        <v>3</v>
      </c>
      <c r="M683" s="140">
        <v>2</v>
      </c>
      <c r="N683" s="140">
        <v>3</v>
      </c>
      <c r="O683" s="140">
        <v>2</v>
      </c>
      <c r="Q683" s="89" t="s">
        <v>1915</v>
      </c>
      <c r="R683" s="43" t="s">
        <v>316</v>
      </c>
      <c r="S683" s="125">
        <v>43102</v>
      </c>
      <c r="T683" s="117">
        <v>43158</v>
      </c>
      <c r="V683" s="43" t="s">
        <v>317</v>
      </c>
      <c r="X683" s="43" t="s">
        <v>318</v>
      </c>
      <c r="Y683" s="43" t="s">
        <v>319</v>
      </c>
      <c r="Z683" s="43" t="s">
        <v>320</v>
      </c>
      <c r="AA683" s="43" t="s">
        <v>20</v>
      </c>
      <c r="AB683" s="144">
        <v>1.7000000923872001E-2</v>
      </c>
      <c r="AF683" s="43" t="s">
        <v>75</v>
      </c>
      <c r="AG683" s="43" t="s">
        <v>322</v>
      </c>
      <c r="AJ683" s="140">
        <v>0</v>
      </c>
      <c r="AK683" s="140">
        <v>0</v>
      </c>
      <c r="AL683" s="140">
        <v>0</v>
      </c>
      <c r="AM683" s="140">
        <v>0</v>
      </c>
      <c r="AN683" s="140">
        <v>0</v>
      </c>
      <c r="AO683" s="140">
        <v>0</v>
      </c>
      <c r="AP683" s="140">
        <v>2</v>
      </c>
      <c r="AQ683" s="140">
        <v>1</v>
      </c>
      <c r="AR683" s="140">
        <v>-1</v>
      </c>
      <c r="AS683" s="140">
        <v>0</v>
      </c>
      <c r="AT683" s="140">
        <v>0</v>
      </c>
      <c r="AU683" s="140">
        <v>0</v>
      </c>
      <c r="AV683" s="140">
        <v>0</v>
      </c>
      <c r="AW683" s="140">
        <v>2</v>
      </c>
      <c r="AX683" s="140">
        <v>1</v>
      </c>
      <c r="AY683" s="140">
        <v>0</v>
      </c>
      <c r="AZ683" s="140">
        <v>0</v>
      </c>
      <c r="BA683" s="140">
        <v>0</v>
      </c>
      <c r="BB683" s="140">
        <v>0</v>
      </c>
      <c r="BC683" s="140">
        <v>0</v>
      </c>
      <c r="BD683" s="140">
        <v>0</v>
      </c>
      <c r="BE683" s="140">
        <v>0</v>
      </c>
      <c r="BF683" s="140">
        <v>-1</v>
      </c>
      <c r="BG683" s="140">
        <v>0</v>
      </c>
      <c r="BH683" s="140">
        <v>0</v>
      </c>
      <c r="BI683" s="140">
        <v>0</v>
      </c>
      <c r="BJ683" s="140">
        <v>0</v>
      </c>
      <c r="BK683" s="140">
        <v>0</v>
      </c>
      <c r="BL683" s="140">
        <v>0</v>
      </c>
      <c r="BM683" s="140">
        <v>0</v>
      </c>
      <c r="BN683" s="140">
        <v>0</v>
      </c>
      <c r="BO683" s="140">
        <v>0</v>
      </c>
      <c r="BX683" s="43">
        <v>15</v>
      </c>
      <c r="BZ683" s="90">
        <f t="shared" si="77"/>
        <v>0.66666666666666663</v>
      </c>
      <c r="CA683" s="90">
        <f t="shared" si="77"/>
        <v>0.66666666666666663</v>
      </c>
      <c r="CB683" s="90">
        <f t="shared" si="77"/>
        <v>0.66666666666666663</v>
      </c>
      <c r="CT683" s="90">
        <f t="shared" si="69"/>
        <v>2</v>
      </c>
      <c r="CU683" s="90">
        <f t="shared" si="70"/>
        <v>2</v>
      </c>
    </row>
    <row r="684" spans="1:99" ht="12" customHeight="1">
      <c r="A684" s="43">
        <v>5589</v>
      </c>
      <c r="B684" s="89" t="s">
        <v>1515</v>
      </c>
      <c r="C684" s="89" t="s">
        <v>1916</v>
      </c>
      <c r="D684" s="89" t="s">
        <v>1917</v>
      </c>
      <c r="F684" s="43">
        <v>526329</v>
      </c>
      <c r="G684" s="43">
        <v>175625</v>
      </c>
      <c r="H684" s="89" t="s">
        <v>177</v>
      </c>
      <c r="K684" s="140">
        <v>0</v>
      </c>
      <c r="L684" s="140">
        <v>9</v>
      </c>
      <c r="M684" s="140">
        <v>9</v>
      </c>
      <c r="N684" s="140">
        <v>9</v>
      </c>
      <c r="O684" s="140">
        <v>9</v>
      </c>
      <c r="Q684" s="89" t="s">
        <v>1918</v>
      </c>
      <c r="R684" s="43" t="s">
        <v>316</v>
      </c>
      <c r="S684" s="125">
        <v>42551</v>
      </c>
      <c r="T684" s="117">
        <v>42702</v>
      </c>
      <c r="V684" s="43" t="s">
        <v>317</v>
      </c>
      <c r="X684" s="43" t="s">
        <v>318</v>
      </c>
      <c r="Y684" s="43" t="s">
        <v>379</v>
      </c>
      <c r="Z684" s="43" t="s">
        <v>320</v>
      </c>
      <c r="AA684" s="43" t="s">
        <v>340</v>
      </c>
      <c r="AB684" s="144">
        <v>2.70000007003546E-2</v>
      </c>
      <c r="AF684" s="43" t="s">
        <v>75</v>
      </c>
      <c r="AG684" s="43" t="s">
        <v>322</v>
      </c>
      <c r="AJ684" s="140">
        <v>9</v>
      </c>
      <c r="AK684" s="140">
        <v>0</v>
      </c>
      <c r="AL684" s="140">
        <v>0</v>
      </c>
      <c r="AM684" s="140">
        <v>0</v>
      </c>
      <c r="AN684" s="140">
        <v>0</v>
      </c>
      <c r="AO684" s="140">
        <v>2</v>
      </c>
      <c r="AP684" s="140">
        <v>5</v>
      </c>
      <c r="AQ684" s="140">
        <v>2</v>
      </c>
      <c r="AR684" s="140">
        <v>0</v>
      </c>
      <c r="AS684" s="140">
        <v>0</v>
      </c>
      <c r="AT684" s="140">
        <v>0</v>
      </c>
      <c r="AU684" s="140">
        <v>0</v>
      </c>
      <c r="AV684" s="140">
        <v>2</v>
      </c>
      <c r="AW684" s="140">
        <v>5</v>
      </c>
      <c r="AX684" s="140">
        <v>2</v>
      </c>
      <c r="AY684" s="140">
        <v>0</v>
      </c>
      <c r="AZ684" s="140">
        <v>0</v>
      </c>
      <c r="BA684" s="140">
        <v>0</v>
      </c>
      <c r="BB684" s="140">
        <v>0</v>
      </c>
      <c r="BC684" s="140">
        <v>0</v>
      </c>
      <c r="BD684" s="140">
        <v>0</v>
      </c>
      <c r="BE684" s="140">
        <v>0</v>
      </c>
      <c r="BF684" s="140">
        <v>0</v>
      </c>
      <c r="BG684" s="140">
        <v>0</v>
      </c>
      <c r="BH684" s="140">
        <v>0</v>
      </c>
      <c r="BI684" s="140">
        <v>0</v>
      </c>
      <c r="BJ684" s="140">
        <v>0</v>
      </c>
      <c r="BK684" s="140">
        <v>0</v>
      </c>
      <c r="BL684" s="140">
        <v>0</v>
      </c>
      <c r="BM684" s="140">
        <v>0</v>
      </c>
      <c r="BN684" s="140">
        <v>0</v>
      </c>
      <c r="BO684" s="140">
        <v>0</v>
      </c>
      <c r="BV684" s="43" t="s">
        <v>329</v>
      </c>
      <c r="BX684" s="43">
        <v>18</v>
      </c>
      <c r="CA684" s="90">
        <f t="shared" ref="CA684:CD685" si="78">$M684/4</f>
        <v>2.25</v>
      </c>
      <c r="CB684" s="90">
        <f t="shared" si="78"/>
        <v>2.25</v>
      </c>
      <c r="CC684" s="90">
        <f t="shared" si="78"/>
        <v>2.25</v>
      </c>
      <c r="CD684" s="90">
        <f t="shared" si="78"/>
        <v>2.25</v>
      </c>
      <c r="CT684" s="90">
        <f t="shared" si="69"/>
        <v>9</v>
      </c>
      <c r="CU684" s="90">
        <f t="shared" si="70"/>
        <v>9</v>
      </c>
    </row>
    <row r="685" spans="1:99" ht="12" customHeight="1">
      <c r="A685" s="43">
        <v>5589</v>
      </c>
      <c r="B685" s="89" t="s">
        <v>1515</v>
      </c>
      <c r="C685" s="89" t="s">
        <v>1919</v>
      </c>
      <c r="D685" s="89" t="s">
        <v>1917</v>
      </c>
      <c r="F685" s="43">
        <v>526329</v>
      </c>
      <c r="G685" s="43">
        <v>175625</v>
      </c>
      <c r="H685" s="89" t="s">
        <v>177</v>
      </c>
      <c r="K685" s="140">
        <v>0</v>
      </c>
      <c r="L685" s="140">
        <v>14</v>
      </c>
      <c r="M685" s="140">
        <v>14</v>
      </c>
      <c r="N685" s="140">
        <v>14</v>
      </c>
      <c r="O685" s="140">
        <v>14</v>
      </c>
      <c r="P685" s="43" t="s">
        <v>329</v>
      </c>
      <c r="Q685" s="89" t="s">
        <v>1920</v>
      </c>
      <c r="R685" s="43" t="s">
        <v>443</v>
      </c>
      <c r="S685" s="125">
        <v>43374</v>
      </c>
      <c r="T685" s="117">
        <v>43426</v>
      </c>
      <c r="V685" s="43" t="s">
        <v>317</v>
      </c>
      <c r="X685" s="43" t="s">
        <v>318</v>
      </c>
      <c r="Y685" s="43" t="s">
        <v>336</v>
      </c>
      <c r="Z685" s="43" t="s">
        <v>320</v>
      </c>
      <c r="AA685" s="43" t="s">
        <v>33</v>
      </c>
      <c r="AB685" s="144">
        <v>4.39999997615814E-2</v>
      </c>
      <c r="AF685" s="43" t="s">
        <v>75</v>
      </c>
      <c r="AG685" s="43" t="s">
        <v>322</v>
      </c>
      <c r="AJ685" s="140">
        <v>0</v>
      </c>
      <c r="AK685" s="140">
        <v>0</v>
      </c>
      <c r="AL685" s="140">
        <v>0</v>
      </c>
      <c r="AM685" s="140">
        <v>0</v>
      </c>
      <c r="AN685" s="140">
        <v>0</v>
      </c>
      <c r="AO685" s="140">
        <v>13</v>
      </c>
      <c r="AP685" s="140">
        <v>1</v>
      </c>
      <c r="AQ685" s="140">
        <v>0</v>
      </c>
      <c r="AR685" s="140">
        <v>0</v>
      </c>
      <c r="AS685" s="140">
        <v>0</v>
      </c>
      <c r="AT685" s="140">
        <v>0</v>
      </c>
      <c r="AU685" s="140">
        <v>0</v>
      </c>
      <c r="AV685" s="140">
        <v>13</v>
      </c>
      <c r="AW685" s="140">
        <v>1</v>
      </c>
      <c r="AX685" s="140">
        <v>0</v>
      </c>
      <c r="AY685" s="140">
        <v>0</v>
      </c>
      <c r="AZ685" s="140">
        <v>0</v>
      </c>
      <c r="BA685" s="140">
        <v>0</v>
      </c>
      <c r="BB685" s="140">
        <v>0</v>
      </c>
      <c r="BC685" s="140">
        <v>0</v>
      </c>
      <c r="BD685" s="140">
        <v>0</v>
      </c>
      <c r="BE685" s="140">
        <v>0</v>
      </c>
      <c r="BF685" s="140">
        <v>0</v>
      </c>
      <c r="BG685" s="140">
        <v>0</v>
      </c>
      <c r="BH685" s="140">
        <v>0</v>
      </c>
      <c r="BI685" s="140">
        <v>0</v>
      </c>
      <c r="BJ685" s="140">
        <v>0</v>
      </c>
      <c r="BK685" s="140">
        <v>0</v>
      </c>
      <c r="BL685" s="140">
        <v>0</v>
      </c>
      <c r="BM685" s="140">
        <v>0</v>
      </c>
      <c r="BN685" s="140">
        <v>0</v>
      </c>
      <c r="BO685" s="140">
        <v>0</v>
      </c>
      <c r="BV685" s="43" t="s">
        <v>329</v>
      </c>
      <c r="BX685" s="43">
        <v>18</v>
      </c>
      <c r="CA685" s="90">
        <f t="shared" si="78"/>
        <v>3.5</v>
      </c>
      <c r="CB685" s="90">
        <f t="shared" si="78"/>
        <v>3.5</v>
      </c>
      <c r="CC685" s="90">
        <f t="shared" si="78"/>
        <v>3.5</v>
      </c>
      <c r="CD685" s="90">
        <f t="shared" si="78"/>
        <v>3.5</v>
      </c>
      <c r="CT685" s="90">
        <f t="shared" si="69"/>
        <v>14</v>
      </c>
      <c r="CU685" s="90">
        <f t="shared" si="70"/>
        <v>14</v>
      </c>
    </row>
    <row r="686" spans="1:99" ht="12" customHeight="1">
      <c r="A686" s="43">
        <v>5607</v>
      </c>
      <c r="B686" s="89" t="s">
        <v>1515</v>
      </c>
      <c r="C686" s="89" t="s">
        <v>1921</v>
      </c>
      <c r="D686" s="89" t="s">
        <v>1922</v>
      </c>
      <c r="F686" s="43">
        <v>528038</v>
      </c>
      <c r="G686" s="43">
        <v>174028</v>
      </c>
      <c r="H686" s="89" t="s">
        <v>138</v>
      </c>
      <c r="K686" s="140">
        <v>1</v>
      </c>
      <c r="L686" s="140">
        <v>2</v>
      </c>
      <c r="M686" s="140">
        <v>1</v>
      </c>
      <c r="N686" s="140">
        <v>2</v>
      </c>
      <c r="O686" s="140">
        <v>-1</v>
      </c>
      <c r="Q686" s="89" t="s">
        <v>1923</v>
      </c>
      <c r="R686" s="43" t="s">
        <v>316</v>
      </c>
      <c r="S686" s="125">
        <v>43580</v>
      </c>
      <c r="T686" s="117">
        <v>43767</v>
      </c>
      <c r="U686" s="43" t="s">
        <v>329</v>
      </c>
      <c r="V686" s="43" t="s">
        <v>317</v>
      </c>
      <c r="X686" s="43" t="s">
        <v>318</v>
      </c>
      <c r="Y686" s="43" t="s">
        <v>319</v>
      </c>
      <c r="Z686" s="43" t="s">
        <v>320</v>
      </c>
      <c r="AA686" s="43" t="s">
        <v>340</v>
      </c>
      <c r="AB686" s="144">
        <v>1.09999999403954E-2</v>
      </c>
      <c r="AF686" s="43" t="s">
        <v>75</v>
      </c>
      <c r="AG686" s="43" t="s">
        <v>322</v>
      </c>
      <c r="AJ686" s="140">
        <v>0</v>
      </c>
      <c r="AK686" s="140">
        <v>0</v>
      </c>
      <c r="AL686" s="140">
        <v>0</v>
      </c>
      <c r="AM686" s="140">
        <v>0</v>
      </c>
      <c r="AN686" s="140">
        <v>0</v>
      </c>
      <c r="AO686" s="140">
        <v>0</v>
      </c>
      <c r="AP686" s="140">
        <v>1</v>
      </c>
      <c r="AQ686" s="140">
        <v>0</v>
      </c>
      <c r="AR686" s="140">
        <v>0</v>
      </c>
      <c r="AS686" s="140">
        <v>0</v>
      </c>
      <c r="AT686" s="140">
        <v>0</v>
      </c>
      <c r="AU686" s="140">
        <v>0</v>
      </c>
      <c r="AV686" s="140">
        <v>0</v>
      </c>
      <c r="AW686" s="140">
        <v>1</v>
      </c>
      <c r="AX686" s="140">
        <v>0</v>
      </c>
      <c r="AY686" s="140">
        <v>0</v>
      </c>
      <c r="AZ686" s="140">
        <v>0</v>
      </c>
      <c r="BA686" s="140">
        <v>0</v>
      </c>
      <c r="BB686" s="140">
        <v>0</v>
      </c>
      <c r="BC686" s="140">
        <v>0</v>
      </c>
      <c r="BD686" s="140">
        <v>0</v>
      </c>
      <c r="BE686" s="140">
        <v>0</v>
      </c>
      <c r="BF686" s="140">
        <v>0</v>
      </c>
      <c r="BG686" s="140">
        <v>0</v>
      </c>
      <c r="BH686" s="140">
        <v>0</v>
      </c>
      <c r="BI686" s="140">
        <v>0</v>
      </c>
      <c r="BJ686" s="140">
        <v>0</v>
      </c>
      <c r="BK686" s="140">
        <v>0</v>
      </c>
      <c r="BL686" s="140">
        <v>0</v>
      </c>
      <c r="BM686" s="140">
        <v>0</v>
      </c>
      <c r="BN686" s="140">
        <v>0</v>
      </c>
      <c r="BO686" s="140">
        <v>0</v>
      </c>
      <c r="BX686" s="43">
        <v>15</v>
      </c>
      <c r="BZ686" s="90">
        <f t="shared" ref="BZ686:CB691" si="79">$M686/3</f>
        <v>0.33333333333333331</v>
      </c>
      <c r="CA686" s="90">
        <f t="shared" si="79"/>
        <v>0.33333333333333331</v>
      </c>
      <c r="CB686" s="90">
        <f t="shared" si="79"/>
        <v>0.33333333333333331</v>
      </c>
      <c r="CT686" s="90">
        <f t="shared" si="69"/>
        <v>1</v>
      </c>
      <c r="CU686" s="90">
        <f t="shared" si="70"/>
        <v>1</v>
      </c>
    </row>
    <row r="687" spans="1:99" ht="12" customHeight="1">
      <c r="A687" s="43">
        <v>5607</v>
      </c>
      <c r="B687" s="89" t="s">
        <v>1515</v>
      </c>
      <c r="C687" s="89" t="s">
        <v>1921</v>
      </c>
      <c r="D687" s="89" t="s">
        <v>1922</v>
      </c>
      <c r="F687" s="43">
        <v>528038</v>
      </c>
      <c r="G687" s="43">
        <v>174028</v>
      </c>
      <c r="H687" s="89" t="s">
        <v>138</v>
      </c>
      <c r="K687" s="140">
        <v>2</v>
      </c>
      <c r="L687" s="140">
        <v>0</v>
      </c>
      <c r="M687" s="140">
        <v>-2</v>
      </c>
      <c r="N687" s="140">
        <v>2</v>
      </c>
      <c r="O687" s="140">
        <v>-1</v>
      </c>
      <c r="Q687" s="89" t="s">
        <v>1923</v>
      </c>
      <c r="R687" s="43" t="s">
        <v>316</v>
      </c>
      <c r="S687" s="125">
        <v>43580</v>
      </c>
      <c r="T687" s="117">
        <v>43767</v>
      </c>
      <c r="U687" s="43" t="s">
        <v>329</v>
      </c>
      <c r="V687" s="43" t="s">
        <v>317</v>
      </c>
      <c r="X687" s="43" t="s">
        <v>318</v>
      </c>
      <c r="Y687" s="43" t="s">
        <v>319</v>
      </c>
      <c r="Z687" s="43" t="s">
        <v>320</v>
      </c>
      <c r="AA687" s="43" t="s">
        <v>39</v>
      </c>
      <c r="AB687" s="144">
        <v>0</v>
      </c>
      <c r="AF687" s="43" t="s">
        <v>75</v>
      </c>
      <c r="AG687" s="43" t="s">
        <v>322</v>
      </c>
      <c r="AJ687" s="140">
        <v>0</v>
      </c>
      <c r="AK687" s="140">
        <v>0</v>
      </c>
      <c r="AL687" s="140">
        <v>0</v>
      </c>
      <c r="AM687" s="140">
        <v>0</v>
      </c>
      <c r="AN687" s="140">
        <v>0</v>
      </c>
      <c r="AO687" s="140">
        <v>-1</v>
      </c>
      <c r="AP687" s="140">
        <v>0</v>
      </c>
      <c r="AQ687" s="140">
        <v>-1</v>
      </c>
      <c r="AR687" s="140">
        <v>0</v>
      </c>
      <c r="AS687" s="140">
        <v>0</v>
      </c>
      <c r="AT687" s="140">
        <v>0</v>
      </c>
      <c r="AU687" s="140">
        <v>0</v>
      </c>
      <c r="AV687" s="140">
        <v>-1</v>
      </c>
      <c r="AW687" s="140">
        <v>0</v>
      </c>
      <c r="AX687" s="140">
        <v>-1</v>
      </c>
      <c r="AY687" s="140">
        <v>0</v>
      </c>
      <c r="AZ687" s="140">
        <v>0</v>
      </c>
      <c r="BA687" s="140">
        <v>0</v>
      </c>
      <c r="BB687" s="140">
        <v>0</v>
      </c>
      <c r="BC687" s="140">
        <v>0</v>
      </c>
      <c r="BD687" s="140">
        <v>0</v>
      </c>
      <c r="BE687" s="140">
        <v>0</v>
      </c>
      <c r="BF687" s="140">
        <v>0</v>
      </c>
      <c r="BG687" s="140">
        <v>0</v>
      </c>
      <c r="BH687" s="140">
        <v>0</v>
      </c>
      <c r="BI687" s="140">
        <v>0</v>
      </c>
      <c r="BJ687" s="140">
        <v>0</v>
      </c>
      <c r="BK687" s="140">
        <v>0</v>
      </c>
      <c r="BL687" s="140">
        <v>0</v>
      </c>
      <c r="BM687" s="140">
        <v>0</v>
      </c>
      <c r="BN687" s="140">
        <v>0</v>
      </c>
      <c r="BO687" s="140">
        <v>0</v>
      </c>
      <c r="BX687" s="43">
        <v>15</v>
      </c>
      <c r="BZ687" s="90">
        <f t="shared" si="79"/>
        <v>-0.66666666666666663</v>
      </c>
      <c r="CA687" s="90">
        <f t="shared" si="79"/>
        <v>-0.66666666666666663</v>
      </c>
      <c r="CB687" s="90">
        <f t="shared" si="79"/>
        <v>-0.66666666666666663</v>
      </c>
      <c r="CT687" s="90">
        <f t="shared" si="69"/>
        <v>-2</v>
      </c>
      <c r="CU687" s="90">
        <f t="shared" si="70"/>
        <v>-2</v>
      </c>
    </row>
    <row r="688" spans="1:99" ht="12" customHeight="1">
      <c r="A688" s="43">
        <v>5634</v>
      </c>
      <c r="B688" s="89" t="s">
        <v>1515</v>
      </c>
      <c r="C688" s="89" t="s">
        <v>1924</v>
      </c>
      <c r="D688" s="89" t="s">
        <v>1925</v>
      </c>
      <c r="F688" s="43">
        <v>527292</v>
      </c>
      <c r="G688" s="43">
        <v>177189</v>
      </c>
      <c r="H688" s="89" t="s">
        <v>177</v>
      </c>
      <c r="K688" s="140">
        <v>0</v>
      </c>
      <c r="L688" s="140">
        <v>2</v>
      </c>
      <c r="M688" s="140">
        <v>2</v>
      </c>
      <c r="N688" s="140">
        <v>2</v>
      </c>
      <c r="O688" s="140">
        <v>2</v>
      </c>
      <c r="Q688" s="89" t="s">
        <v>1926</v>
      </c>
      <c r="R688" s="43" t="s">
        <v>620</v>
      </c>
      <c r="S688" s="125">
        <v>42888</v>
      </c>
      <c r="T688" s="117">
        <v>42930</v>
      </c>
      <c r="V688" s="43" t="s">
        <v>317</v>
      </c>
      <c r="X688" s="43" t="s">
        <v>318</v>
      </c>
      <c r="Y688" s="43" t="s">
        <v>336</v>
      </c>
      <c r="Z688" s="43" t="s">
        <v>320</v>
      </c>
      <c r="AA688" s="43" t="s">
        <v>33</v>
      </c>
      <c r="AB688" s="144">
        <v>2.60000005364418E-2</v>
      </c>
      <c r="AF688" s="43" t="s">
        <v>75</v>
      </c>
      <c r="AG688" s="43" t="s">
        <v>322</v>
      </c>
      <c r="AJ688" s="140">
        <v>0</v>
      </c>
      <c r="AK688" s="140">
        <v>0</v>
      </c>
      <c r="AL688" s="140">
        <v>0</v>
      </c>
      <c r="AM688" s="140">
        <v>0</v>
      </c>
      <c r="AN688" s="140">
        <v>0</v>
      </c>
      <c r="AO688" s="140">
        <v>1</v>
      </c>
      <c r="AP688" s="140">
        <v>1</v>
      </c>
      <c r="AQ688" s="140">
        <v>0</v>
      </c>
      <c r="AR688" s="140">
        <v>0</v>
      </c>
      <c r="AS688" s="140">
        <v>0</v>
      </c>
      <c r="AT688" s="140">
        <v>0</v>
      </c>
      <c r="AU688" s="140">
        <v>0</v>
      </c>
      <c r="AV688" s="140">
        <v>1</v>
      </c>
      <c r="AW688" s="140">
        <v>1</v>
      </c>
      <c r="AX688" s="140">
        <v>0</v>
      </c>
      <c r="AY688" s="140">
        <v>0</v>
      </c>
      <c r="AZ688" s="140">
        <v>0</v>
      </c>
      <c r="BA688" s="140">
        <v>0</v>
      </c>
      <c r="BB688" s="140">
        <v>0</v>
      </c>
      <c r="BC688" s="140">
        <v>0</v>
      </c>
      <c r="BD688" s="140">
        <v>0</v>
      </c>
      <c r="BE688" s="140">
        <v>0</v>
      </c>
      <c r="BF688" s="140">
        <v>0</v>
      </c>
      <c r="BG688" s="140">
        <v>0</v>
      </c>
      <c r="BH688" s="140">
        <v>0</v>
      </c>
      <c r="BI688" s="140">
        <v>0</v>
      </c>
      <c r="BJ688" s="140">
        <v>0</v>
      </c>
      <c r="BK688" s="140">
        <v>0</v>
      </c>
      <c r="BL688" s="140">
        <v>0</v>
      </c>
      <c r="BM688" s="140">
        <v>0</v>
      </c>
      <c r="BN688" s="140">
        <v>0</v>
      </c>
      <c r="BO688" s="140">
        <v>0</v>
      </c>
      <c r="BV688" s="43" t="s">
        <v>329</v>
      </c>
      <c r="BX688" s="43">
        <v>15</v>
      </c>
      <c r="BZ688" s="90">
        <f t="shared" si="79"/>
        <v>0.66666666666666663</v>
      </c>
      <c r="CA688" s="90">
        <f t="shared" si="79"/>
        <v>0.66666666666666663</v>
      </c>
      <c r="CB688" s="90">
        <f t="shared" si="79"/>
        <v>0.66666666666666663</v>
      </c>
      <c r="CT688" s="90">
        <f t="shared" si="69"/>
        <v>2</v>
      </c>
      <c r="CU688" s="90">
        <f t="shared" si="70"/>
        <v>2</v>
      </c>
    </row>
    <row r="689" spans="1:99" ht="12" customHeight="1">
      <c r="A689" s="43">
        <v>5645</v>
      </c>
      <c r="B689" s="89" t="s">
        <v>1515</v>
      </c>
      <c r="C689" s="89" t="s">
        <v>1927</v>
      </c>
      <c r="D689" s="89" t="s">
        <v>1928</v>
      </c>
      <c r="E689" s="89" t="s">
        <v>1929</v>
      </c>
      <c r="F689" s="43">
        <v>527292</v>
      </c>
      <c r="G689" s="43">
        <v>177189</v>
      </c>
      <c r="H689" s="89" t="s">
        <v>177</v>
      </c>
      <c r="I689" s="125">
        <v>42060</v>
      </c>
      <c r="K689" s="140">
        <v>0</v>
      </c>
      <c r="L689" s="140">
        <v>1</v>
      </c>
      <c r="M689" s="140">
        <v>1</v>
      </c>
      <c r="N689" s="140">
        <v>2</v>
      </c>
      <c r="O689" s="140">
        <v>2</v>
      </c>
      <c r="Q689" s="89" t="s">
        <v>1930</v>
      </c>
      <c r="R689" s="43" t="s">
        <v>443</v>
      </c>
      <c r="S689" s="125">
        <v>41947</v>
      </c>
      <c r="T689" s="117">
        <v>42060</v>
      </c>
      <c r="V689" s="43" t="s">
        <v>317</v>
      </c>
      <c r="X689" s="43" t="s">
        <v>318</v>
      </c>
      <c r="Y689" s="43" t="s">
        <v>336</v>
      </c>
      <c r="Z689" s="43" t="s">
        <v>320</v>
      </c>
      <c r="AA689" s="43" t="s">
        <v>33</v>
      </c>
      <c r="AB689" s="144">
        <v>1.00000004749745E-3</v>
      </c>
      <c r="AF689" s="43" t="s">
        <v>75</v>
      </c>
      <c r="AG689" s="43" t="s">
        <v>322</v>
      </c>
      <c r="AJ689" s="140">
        <v>0</v>
      </c>
      <c r="AK689" s="140">
        <v>0</v>
      </c>
      <c r="AL689" s="140">
        <v>0</v>
      </c>
      <c r="AM689" s="140">
        <v>0</v>
      </c>
      <c r="AN689" s="140">
        <v>1</v>
      </c>
      <c r="AO689" s="140">
        <v>0</v>
      </c>
      <c r="AP689" s="140">
        <v>0</v>
      </c>
      <c r="AQ689" s="140">
        <v>0</v>
      </c>
      <c r="AR689" s="140">
        <v>0</v>
      </c>
      <c r="AS689" s="140">
        <v>0</v>
      </c>
      <c r="AT689" s="140">
        <v>0</v>
      </c>
      <c r="AU689" s="140">
        <v>1</v>
      </c>
      <c r="AV689" s="140">
        <v>0</v>
      </c>
      <c r="AW689" s="140">
        <v>0</v>
      </c>
      <c r="AX689" s="140">
        <v>0</v>
      </c>
      <c r="AY689" s="140">
        <v>0</v>
      </c>
      <c r="AZ689" s="140">
        <v>0</v>
      </c>
      <c r="BA689" s="140">
        <v>0</v>
      </c>
      <c r="BB689" s="140">
        <v>0</v>
      </c>
      <c r="BC689" s="140">
        <v>0</v>
      </c>
      <c r="BD689" s="140">
        <v>0</v>
      </c>
      <c r="BE689" s="140">
        <v>0</v>
      </c>
      <c r="BF689" s="140">
        <v>0</v>
      </c>
      <c r="BG689" s="140">
        <v>0</v>
      </c>
      <c r="BH689" s="140">
        <v>0</v>
      </c>
      <c r="BI689" s="140">
        <v>0</v>
      </c>
      <c r="BJ689" s="140">
        <v>0</v>
      </c>
      <c r="BK689" s="140">
        <v>0</v>
      </c>
      <c r="BL689" s="140">
        <v>0</v>
      </c>
      <c r="BM689" s="140">
        <v>0</v>
      </c>
      <c r="BN689" s="140">
        <v>0</v>
      </c>
      <c r="BO689" s="140">
        <v>0</v>
      </c>
      <c r="BV689" s="43" t="s">
        <v>329</v>
      </c>
      <c r="BX689" s="43">
        <v>15</v>
      </c>
      <c r="BZ689" s="90">
        <f t="shared" si="79"/>
        <v>0.33333333333333331</v>
      </c>
      <c r="CA689" s="90">
        <f t="shared" si="79"/>
        <v>0.33333333333333331</v>
      </c>
      <c r="CB689" s="90">
        <f t="shared" si="79"/>
        <v>0.33333333333333331</v>
      </c>
      <c r="CT689" s="90">
        <f t="shared" si="69"/>
        <v>1</v>
      </c>
      <c r="CU689" s="90">
        <f t="shared" si="70"/>
        <v>1</v>
      </c>
    </row>
    <row r="690" spans="1:99" ht="12" customHeight="1">
      <c r="A690" s="43">
        <v>5653</v>
      </c>
      <c r="B690" s="89" t="s">
        <v>1515</v>
      </c>
      <c r="C690" s="89" t="s">
        <v>1931</v>
      </c>
      <c r="D690" s="89" t="s">
        <v>1932</v>
      </c>
      <c r="F690" s="43">
        <v>525465</v>
      </c>
      <c r="G690" s="43">
        <v>174675</v>
      </c>
      <c r="H690" s="89" t="s">
        <v>176</v>
      </c>
      <c r="K690" s="140">
        <v>2</v>
      </c>
      <c r="L690" s="140">
        <v>2</v>
      </c>
      <c r="M690" s="140">
        <v>0</v>
      </c>
      <c r="N690" s="140">
        <v>3</v>
      </c>
      <c r="O690" s="140">
        <v>1</v>
      </c>
      <c r="Q690" s="89" t="s">
        <v>1933</v>
      </c>
      <c r="R690" s="43" t="s">
        <v>316</v>
      </c>
      <c r="S690" s="125">
        <v>42920</v>
      </c>
      <c r="T690" s="117">
        <v>43041</v>
      </c>
      <c r="V690" s="43" t="s">
        <v>317</v>
      </c>
      <c r="X690" s="43" t="s">
        <v>318</v>
      </c>
      <c r="Y690" s="43" t="s">
        <v>319</v>
      </c>
      <c r="Z690" s="43" t="s">
        <v>320</v>
      </c>
      <c r="AA690" s="43" t="s">
        <v>321</v>
      </c>
      <c r="AB690" s="144">
        <v>6.0000000521540598E-3</v>
      </c>
      <c r="AF690" s="43" t="s">
        <v>75</v>
      </c>
      <c r="AG690" s="43" t="s">
        <v>322</v>
      </c>
      <c r="AJ690" s="140">
        <v>0</v>
      </c>
      <c r="AK690" s="140">
        <v>0</v>
      </c>
      <c r="AL690" s="140">
        <v>0</v>
      </c>
      <c r="AM690" s="140">
        <v>0</v>
      </c>
      <c r="AN690" s="140">
        <v>0</v>
      </c>
      <c r="AO690" s="140">
        <v>0</v>
      </c>
      <c r="AP690" s="140">
        <v>-2</v>
      </c>
      <c r="AQ690" s="140">
        <v>2</v>
      </c>
      <c r="AR690" s="140">
        <v>0</v>
      </c>
      <c r="AS690" s="140">
        <v>0</v>
      </c>
      <c r="AT690" s="140">
        <v>0</v>
      </c>
      <c r="AU690" s="140">
        <v>0</v>
      </c>
      <c r="AV690" s="140">
        <v>0</v>
      </c>
      <c r="AW690" s="140">
        <v>-2</v>
      </c>
      <c r="AX690" s="140">
        <v>2</v>
      </c>
      <c r="AY690" s="140">
        <v>0</v>
      </c>
      <c r="AZ690" s="140">
        <v>0</v>
      </c>
      <c r="BA690" s="140">
        <v>0</v>
      </c>
      <c r="BB690" s="140">
        <v>0</v>
      </c>
      <c r="BC690" s="140">
        <v>0</v>
      </c>
      <c r="BD690" s="140">
        <v>0</v>
      </c>
      <c r="BE690" s="140">
        <v>0</v>
      </c>
      <c r="BF690" s="140">
        <v>0</v>
      </c>
      <c r="BG690" s="140">
        <v>0</v>
      </c>
      <c r="BH690" s="140">
        <v>0</v>
      </c>
      <c r="BI690" s="140">
        <v>0</v>
      </c>
      <c r="BJ690" s="140">
        <v>0</v>
      </c>
      <c r="BK690" s="140">
        <v>0</v>
      </c>
      <c r="BL690" s="140">
        <v>0</v>
      </c>
      <c r="BM690" s="140">
        <v>0</v>
      </c>
      <c r="BN690" s="140">
        <v>0</v>
      </c>
      <c r="BO690" s="140">
        <v>0</v>
      </c>
      <c r="BP690" s="43" t="s">
        <v>142</v>
      </c>
      <c r="BR690" s="43" t="s">
        <v>329</v>
      </c>
      <c r="BX690" s="43">
        <v>15</v>
      </c>
      <c r="BZ690" s="90">
        <f t="shared" si="79"/>
        <v>0</v>
      </c>
      <c r="CA690" s="90">
        <f t="shared" si="79"/>
        <v>0</v>
      </c>
      <c r="CB690" s="90">
        <f t="shared" si="79"/>
        <v>0</v>
      </c>
      <c r="CT690" s="90">
        <f t="shared" si="69"/>
        <v>0</v>
      </c>
      <c r="CU690" s="90">
        <f t="shared" si="70"/>
        <v>0</v>
      </c>
    </row>
    <row r="691" spans="1:99" ht="12" customHeight="1">
      <c r="A691" s="43">
        <v>5653</v>
      </c>
      <c r="B691" s="89" t="s">
        <v>1515</v>
      </c>
      <c r="C691" s="89" t="s">
        <v>1931</v>
      </c>
      <c r="D691" s="89" t="s">
        <v>1932</v>
      </c>
      <c r="F691" s="43">
        <v>525465</v>
      </c>
      <c r="G691" s="43">
        <v>174675</v>
      </c>
      <c r="H691" s="89" t="s">
        <v>176</v>
      </c>
      <c r="K691" s="140">
        <v>0</v>
      </c>
      <c r="L691" s="140">
        <v>1</v>
      </c>
      <c r="M691" s="140">
        <v>1</v>
      </c>
      <c r="N691" s="140">
        <v>3</v>
      </c>
      <c r="O691" s="140">
        <v>1</v>
      </c>
      <c r="Q691" s="89" t="s">
        <v>1933</v>
      </c>
      <c r="R691" s="43" t="s">
        <v>316</v>
      </c>
      <c r="S691" s="125">
        <v>42920</v>
      </c>
      <c r="T691" s="117">
        <v>43041</v>
      </c>
      <c r="V691" s="43" t="s">
        <v>317</v>
      </c>
      <c r="X691" s="43" t="s">
        <v>318</v>
      </c>
      <c r="Y691" s="43" t="s">
        <v>319</v>
      </c>
      <c r="Z691" s="43" t="s">
        <v>320</v>
      </c>
      <c r="AA691" s="43" t="s">
        <v>353</v>
      </c>
      <c r="AB691" s="144">
        <v>3.0000000260770299E-3</v>
      </c>
      <c r="AF691" s="43" t="s">
        <v>75</v>
      </c>
      <c r="AG691" s="43" t="s">
        <v>322</v>
      </c>
      <c r="AJ691" s="140">
        <v>0</v>
      </c>
      <c r="AK691" s="140">
        <v>0</v>
      </c>
      <c r="AL691" s="140">
        <v>0</v>
      </c>
      <c r="AM691" s="140">
        <v>0</v>
      </c>
      <c r="AN691" s="140">
        <v>0</v>
      </c>
      <c r="AO691" s="140">
        <v>0</v>
      </c>
      <c r="AP691" s="140">
        <v>1</v>
      </c>
      <c r="AQ691" s="140">
        <v>0</v>
      </c>
      <c r="AR691" s="140">
        <v>0</v>
      </c>
      <c r="AS691" s="140">
        <v>0</v>
      </c>
      <c r="AT691" s="140">
        <v>0</v>
      </c>
      <c r="AU691" s="140">
        <v>0</v>
      </c>
      <c r="AV691" s="140">
        <v>0</v>
      </c>
      <c r="AW691" s="140">
        <v>1</v>
      </c>
      <c r="AX691" s="140">
        <v>0</v>
      </c>
      <c r="AY691" s="140">
        <v>0</v>
      </c>
      <c r="AZ691" s="140">
        <v>0</v>
      </c>
      <c r="BA691" s="140">
        <v>0</v>
      </c>
      <c r="BB691" s="140">
        <v>0</v>
      </c>
      <c r="BC691" s="140">
        <v>0</v>
      </c>
      <c r="BD691" s="140">
        <v>0</v>
      </c>
      <c r="BE691" s="140">
        <v>0</v>
      </c>
      <c r="BF691" s="140">
        <v>0</v>
      </c>
      <c r="BG691" s="140">
        <v>0</v>
      </c>
      <c r="BH691" s="140">
        <v>0</v>
      </c>
      <c r="BI691" s="140">
        <v>0</v>
      </c>
      <c r="BJ691" s="140">
        <v>0</v>
      </c>
      <c r="BK691" s="140">
        <v>0</v>
      </c>
      <c r="BL691" s="140">
        <v>0</v>
      </c>
      <c r="BM691" s="140">
        <v>0</v>
      </c>
      <c r="BN691" s="140">
        <v>0</v>
      </c>
      <c r="BO691" s="140">
        <v>0</v>
      </c>
      <c r="BP691" s="43" t="s">
        <v>142</v>
      </c>
      <c r="BR691" s="43" t="s">
        <v>329</v>
      </c>
      <c r="BX691" s="43">
        <v>15</v>
      </c>
      <c r="BZ691" s="90">
        <f t="shared" si="79"/>
        <v>0.33333333333333331</v>
      </c>
      <c r="CA691" s="90">
        <f t="shared" si="79"/>
        <v>0.33333333333333331</v>
      </c>
      <c r="CB691" s="90">
        <f t="shared" si="79"/>
        <v>0.33333333333333331</v>
      </c>
      <c r="CT691" s="90">
        <f t="shared" si="69"/>
        <v>1</v>
      </c>
      <c r="CU691" s="90">
        <f t="shared" si="70"/>
        <v>1</v>
      </c>
    </row>
    <row r="692" spans="1:99" ht="12" customHeight="1">
      <c r="A692" s="43">
        <v>5684</v>
      </c>
      <c r="B692" s="89" t="s">
        <v>1515</v>
      </c>
      <c r="C692" s="89" t="s">
        <v>1934</v>
      </c>
      <c r="D692" s="89" t="s">
        <v>1935</v>
      </c>
      <c r="F692" s="43">
        <v>527218</v>
      </c>
      <c r="G692" s="43">
        <v>173669</v>
      </c>
      <c r="H692" s="89" t="s">
        <v>179</v>
      </c>
      <c r="K692" s="140">
        <v>1</v>
      </c>
      <c r="L692" s="140">
        <v>1</v>
      </c>
      <c r="M692" s="140">
        <v>0</v>
      </c>
      <c r="N692" s="140">
        <v>1</v>
      </c>
      <c r="O692" s="140">
        <v>0</v>
      </c>
      <c r="Q692" s="89" t="s">
        <v>1936</v>
      </c>
      <c r="R692" s="43" t="s">
        <v>316</v>
      </c>
      <c r="S692" s="125">
        <v>43851</v>
      </c>
      <c r="T692" s="117">
        <v>43888</v>
      </c>
      <c r="U692" s="43" t="s">
        <v>329</v>
      </c>
      <c r="V692" s="43" t="s">
        <v>317</v>
      </c>
      <c r="X692" s="43" t="s">
        <v>318</v>
      </c>
      <c r="Y692" s="43" t="s">
        <v>361</v>
      </c>
      <c r="Z692" s="43" t="s">
        <v>320</v>
      </c>
      <c r="AA692" s="43" t="s">
        <v>353</v>
      </c>
      <c r="AB692" s="144">
        <v>4.6999998390674598E-2</v>
      </c>
      <c r="AF692" s="43" t="s">
        <v>75</v>
      </c>
      <c r="AG692" s="43" t="s">
        <v>322</v>
      </c>
      <c r="AJ692" s="140">
        <v>0</v>
      </c>
      <c r="AK692" s="140">
        <v>0</v>
      </c>
      <c r="AL692" s="140">
        <v>0</v>
      </c>
      <c r="AM692" s="140">
        <v>0</v>
      </c>
      <c r="AN692" s="140">
        <v>0</v>
      </c>
      <c r="AO692" s="140">
        <v>0</v>
      </c>
      <c r="AP692" s="140">
        <v>0</v>
      </c>
      <c r="AQ692" s="140">
        <v>-1</v>
      </c>
      <c r="AR692" s="140">
        <v>1</v>
      </c>
      <c r="AS692" s="140">
        <v>0</v>
      </c>
      <c r="AT692" s="140">
        <v>0</v>
      </c>
      <c r="AU692" s="140">
        <v>0</v>
      </c>
      <c r="AV692" s="140">
        <v>0</v>
      </c>
      <c r="AW692" s="140">
        <v>0</v>
      </c>
      <c r="AX692" s="140">
        <v>0</v>
      </c>
      <c r="AY692" s="140">
        <v>0</v>
      </c>
      <c r="AZ692" s="140">
        <v>0</v>
      </c>
      <c r="BA692" s="140">
        <v>0</v>
      </c>
      <c r="BB692" s="140">
        <v>0</v>
      </c>
      <c r="BC692" s="140">
        <v>0</v>
      </c>
      <c r="BD692" s="140">
        <v>0</v>
      </c>
      <c r="BE692" s="140">
        <v>-1</v>
      </c>
      <c r="BF692" s="140">
        <v>1</v>
      </c>
      <c r="BG692" s="140">
        <v>0</v>
      </c>
      <c r="BH692" s="140">
        <v>0</v>
      </c>
      <c r="BI692" s="140">
        <v>0</v>
      </c>
      <c r="BJ692" s="140">
        <v>0</v>
      </c>
      <c r="BK692" s="140">
        <v>0</v>
      </c>
      <c r="BL692" s="140">
        <v>0</v>
      </c>
      <c r="BM692" s="140">
        <v>0</v>
      </c>
      <c r="BN692" s="140">
        <v>0</v>
      </c>
      <c r="BO692" s="140">
        <v>0</v>
      </c>
      <c r="BX692" s="43">
        <v>6</v>
      </c>
      <c r="CA692" s="90">
        <f t="shared" ref="CA692:CD696" si="80">$M692/4</f>
        <v>0</v>
      </c>
      <c r="CB692" s="90">
        <f t="shared" si="80"/>
        <v>0</v>
      </c>
      <c r="CC692" s="90">
        <f t="shared" si="80"/>
        <v>0</v>
      </c>
      <c r="CD692" s="90">
        <f t="shared" si="80"/>
        <v>0</v>
      </c>
      <c r="CT692" s="90">
        <f t="shared" si="69"/>
        <v>0</v>
      </c>
      <c r="CU692" s="90">
        <f t="shared" si="70"/>
        <v>0</v>
      </c>
    </row>
    <row r="693" spans="1:99" ht="12" customHeight="1">
      <c r="A693" s="43">
        <v>5699</v>
      </c>
      <c r="B693" s="89" t="s">
        <v>1515</v>
      </c>
      <c r="C693" s="89" t="s">
        <v>1937</v>
      </c>
      <c r="D693" s="89" t="s">
        <v>1938</v>
      </c>
      <c r="F693" s="43">
        <v>523902</v>
      </c>
      <c r="G693" s="43">
        <v>174030</v>
      </c>
      <c r="H693" s="89" t="s">
        <v>169</v>
      </c>
      <c r="K693" s="140">
        <v>0</v>
      </c>
      <c r="L693" s="140">
        <v>1</v>
      </c>
      <c r="M693" s="140">
        <v>1</v>
      </c>
      <c r="N693" s="140">
        <v>1</v>
      </c>
      <c r="O693" s="140">
        <v>1</v>
      </c>
      <c r="Q693" s="89" t="s">
        <v>1939</v>
      </c>
      <c r="R693" s="43" t="s">
        <v>316</v>
      </c>
      <c r="S693" s="125">
        <v>43663</v>
      </c>
      <c r="T693" s="117">
        <v>43742</v>
      </c>
      <c r="U693" s="43" t="s">
        <v>329</v>
      </c>
      <c r="V693" s="43" t="s">
        <v>317</v>
      </c>
      <c r="X693" s="43" t="s">
        <v>318</v>
      </c>
      <c r="Y693" s="43" t="s">
        <v>361</v>
      </c>
      <c r="Z693" s="43" t="s">
        <v>320</v>
      </c>
      <c r="AA693" s="43" t="s">
        <v>353</v>
      </c>
      <c r="AB693" s="144">
        <v>1.09999999403954E-2</v>
      </c>
      <c r="AF693" s="43" t="s">
        <v>75</v>
      </c>
      <c r="AG693" s="43" t="s">
        <v>322</v>
      </c>
      <c r="AJ693" s="140">
        <v>0</v>
      </c>
      <c r="AK693" s="140">
        <v>0</v>
      </c>
      <c r="AL693" s="140">
        <v>0</v>
      </c>
      <c r="AM693" s="140">
        <v>0</v>
      </c>
      <c r="AN693" s="140">
        <v>0</v>
      </c>
      <c r="AO693" s="140">
        <v>0</v>
      </c>
      <c r="AP693" s="140">
        <v>1</v>
      </c>
      <c r="AQ693" s="140">
        <v>0</v>
      </c>
      <c r="AR693" s="140">
        <v>0</v>
      </c>
      <c r="AS693" s="140">
        <v>0</v>
      </c>
      <c r="AT693" s="140">
        <v>0</v>
      </c>
      <c r="AU693" s="140">
        <v>0</v>
      </c>
      <c r="AV693" s="140">
        <v>0</v>
      </c>
      <c r="AW693" s="140">
        <v>0</v>
      </c>
      <c r="AX693" s="140">
        <v>0</v>
      </c>
      <c r="AY693" s="140">
        <v>0</v>
      </c>
      <c r="AZ693" s="140">
        <v>0</v>
      </c>
      <c r="BA693" s="140">
        <v>0</v>
      </c>
      <c r="BB693" s="140">
        <v>0</v>
      </c>
      <c r="BC693" s="140">
        <v>0</v>
      </c>
      <c r="BD693" s="140">
        <v>1</v>
      </c>
      <c r="BE693" s="140">
        <v>0</v>
      </c>
      <c r="BF693" s="140">
        <v>0</v>
      </c>
      <c r="BG693" s="140">
        <v>0</v>
      </c>
      <c r="BH693" s="140">
        <v>0</v>
      </c>
      <c r="BI693" s="140">
        <v>0</v>
      </c>
      <c r="BJ693" s="140">
        <v>0</v>
      </c>
      <c r="BK693" s="140">
        <v>0</v>
      </c>
      <c r="BL693" s="140">
        <v>0</v>
      </c>
      <c r="BM693" s="140">
        <v>0</v>
      </c>
      <c r="BN693" s="140">
        <v>0</v>
      </c>
      <c r="BO693" s="140">
        <v>0</v>
      </c>
      <c r="BX693" s="43">
        <v>6</v>
      </c>
      <c r="CA693" s="90">
        <f t="shared" si="80"/>
        <v>0.25</v>
      </c>
      <c r="CB693" s="90">
        <f t="shared" si="80"/>
        <v>0.25</v>
      </c>
      <c r="CC693" s="90">
        <f t="shared" si="80"/>
        <v>0.25</v>
      </c>
      <c r="CD693" s="90">
        <f t="shared" si="80"/>
        <v>0.25</v>
      </c>
      <c r="CT693" s="90">
        <f t="shared" si="69"/>
        <v>1</v>
      </c>
      <c r="CU693" s="90">
        <f t="shared" si="70"/>
        <v>1</v>
      </c>
    </row>
    <row r="694" spans="1:99" ht="12" customHeight="1">
      <c r="A694" s="43">
        <v>5734</v>
      </c>
      <c r="B694" s="89" t="s">
        <v>1515</v>
      </c>
      <c r="C694" s="89" t="s">
        <v>1940</v>
      </c>
      <c r="D694" s="89" t="s">
        <v>1941</v>
      </c>
      <c r="F694" s="43">
        <v>527231</v>
      </c>
      <c r="G694" s="43">
        <v>171411</v>
      </c>
      <c r="H694" s="89" t="s">
        <v>141</v>
      </c>
      <c r="K694" s="140">
        <v>2</v>
      </c>
      <c r="L694" s="140">
        <v>5</v>
      </c>
      <c r="M694" s="140">
        <v>3</v>
      </c>
      <c r="N694" s="140">
        <v>5</v>
      </c>
      <c r="O694" s="140">
        <v>3</v>
      </c>
      <c r="Q694" s="89" t="s">
        <v>1942</v>
      </c>
      <c r="R694" s="43" t="s">
        <v>316</v>
      </c>
      <c r="S694" s="125">
        <v>43234</v>
      </c>
      <c r="T694" s="117">
        <v>43285</v>
      </c>
      <c r="V694" s="43" t="s">
        <v>317</v>
      </c>
      <c r="X694" s="43" t="s">
        <v>318</v>
      </c>
      <c r="Y694" s="43" t="s">
        <v>361</v>
      </c>
      <c r="Z694" s="43" t="s">
        <v>320</v>
      </c>
      <c r="AA694" s="43" t="s">
        <v>353</v>
      </c>
      <c r="AB694" s="144">
        <v>2.4000000208616298E-2</v>
      </c>
      <c r="AF694" s="43" t="s">
        <v>75</v>
      </c>
      <c r="AG694" s="43" t="s">
        <v>322</v>
      </c>
      <c r="AJ694" s="140">
        <v>0</v>
      </c>
      <c r="AK694" s="140">
        <v>0</v>
      </c>
      <c r="AL694" s="140">
        <v>0</v>
      </c>
      <c r="AM694" s="140">
        <v>0</v>
      </c>
      <c r="AN694" s="140">
        <v>0</v>
      </c>
      <c r="AO694" s="140">
        <v>0</v>
      </c>
      <c r="AP694" s="140">
        <v>2</v>
      </c>
      <c r="AQ694" s="140">
        <v>1</v>
      </c>
      <c r="AR694" s="140">
        <v>0</v>
      </c>
      <c r="AS694" s="140">
        <v>0</v>
      </c>
      <c r="AT694" s="140">
        <v>0</v>
      </c>
      <c r="AU694" s="140">
        <v>0</v>
      </c>
      <c r="AV694" s="140">
        <v>0</v>
      </c>
      <c r="AW694" s="140">
        <v>2</v>
      </c>
      <c r="AX694" s="140">
        <v>1</v>
      </c>
      <c r="AY694" s="140">
        <v>0</v>
      </c>
      <c r="AZ694" s="140">
        <v>0</v>
      </c>
      <c r="BA694" s="140">
        <v>0</v>
      </c>
      <c r="BB694" s="140">
        <v>0</v>
      </c>
      <c r="BC694" s="140">
        <v>0</v>
      </c>
      <c r="BD694" s="140">
        <v>0</v>
      </c>
      <c r="BE694" s="140">
        <v>0</v>
      </c>
      <c r="BF694" s="140">
        <v>0</v>
      </c>
      <c r="BG694" s="140">
        <v>0</v>
      </c>
      <c r="BH694" s="140">
        <v>0</v>
      </c>
      <c r="BI694" s="140">
        <v>0</v>
      </c>
      <c r="BJ694" s="140">
        <v>0</v>
      </c>
      <c r="BK694" s="140">
        <v>0</v>
      </c>
      <c r="BL694" s="140">
        <v>0</v>
      </c>
      <c r="BM694" s="140">
        <v>0</v>
      </c>
      <c r="BN694" s="140">
        <v>0</v>
      </c>
      <c r="BO694" s="140">
        <v>0</v>
      </c>
      <c r="BX694" s="43">
        <v>6</v>
      </c>
      <c r="CA694" s="90">
        <f t="shared" si="80"/>
        <v>0.75</v>
      </c>
      <c r="CB694" s="90">
        <f t="shared" si="80"/>
        <v>0.75</v>
      </c>
      <c r="CC694" s="90">
        <f t="shared" si="80"/>
        <v>0.75</v>
      </c>
      <c r="CD694" s="90">
        <f t="shared" si="80"/>
        <v>0.75</v>
      </c>
      <c r="CT694" s="90">
        <f t="shared" si="69"/>
        <v>3</v>
      </c>
      <c r="CU694" s="90">
        <f t="shared" si="70"/>
        <v>3</v>
      </c>
    </row>
    <row r="695" spans="1:99" ht="12" customHeight="1">
      <c r="A695" s="43">
        <v>5780</v>
      </c>
      <c r="B695" s="89" t="s">
        <v>1515</v>
      </c>
      <c r="C695" s="89" t="s">
        <v>1943</v>
      </c>
      <c r="D695" s="89" t="s">
        <v>1944</v>
      </c>
      <c r="F695" s="43">
        <v>527671</v>
      </c>
      <c r="G695" s="43">
        <v>172854</v>
      </c>
      <c r="H695" s="89" t="s">
        <v>173</v>
      </c>
      <c r="K695" s="140">
        <v>0</v>
      </c>
      <c r="L695" s="140">
        <v>1</v>
      </c>
      <c r="M695" s="140">
        <v>1</v>
      </c>
      <c r="N695" s="140">
        <v>1</v>
      </c>
      <c r="O695" s="140">
        <v>1</v>
      </c>
      <c r="Q695" s="89" t="s">
        <v>1945</v>
      </c>
      <c r="R695" s="43" t="s">
        <v>316</v>
      </c>
      <c r="S695" s="125">
        <v>42746</v>
      </c>
      <c r="T695" s="117">
        <v>42874</v>
      </c>
      <c r="V695" s="43" t="s">
        <v>317</v>
      </c>
      <c r="X695" s="43" t="s">
        <v>318</v>
      </c>
      <c r="Y695" s="43" t="s">
        <v>361</v>
      </c>
      <c r="Z695" s="43" t="s">
        <v>320</v>
      </c>
      <c r="AA695" s="43" t="s">
        <v>353</v>
      </c>
      <c r="AB695" s="144">
        <v>8.0000003799796104E-3</v>
      </c>
      <c r="AF695" s="43" t="s">
        <v>75</v>
      </c>
      <c r="AG695" s="43" t="s">
        <v>322</v>
      </c>
      <c r="AJ695" s="140">
        <v>1</v>
      </c>
      <c r="AK695" s="140">
        <v>0</v>
      </c>
      <c r="AL695" s="140">
        <v>0</v>
      </c>
      <c r="AM695" s="140">
        <v>0</v>
      </c>
      <c r="AN695" s="140">
        <v>0</v>
      </c>
      <c r="AO695" s="140">
        <v>0</v>
      </c>
      <c r="AP695" s="140">
        <v>1</v>
      </c>
      <c r="AQ695" s="140">
        <v>0</v>
      </c>
      <c r="AR695" s="140">
        <v>0</v>
      </c>
      <c r="AS695" s="140">
        <v>0</v>
      </c>
      <c r="AT695" s="140">
        <v>0</v>
      </c>
      <c r="AU695" s="140">
        <v>0</v>
      </c>
      <c r="AV695" s="140">
        <v>0</v>
      </c>
      <c r="AW695" s="140">
        <v>0</v>
      </c>
      <c r="AX695" s="140">
        <v>0</v>
      </c>
      <c r="AY695" s="140">
        <v>0</v>
      </c>
      <c r="AZ695" s="140">
        <v>0</v>
      </c>
      <c r="BA695" s="140">
        <v>0</v>
      </c>
      <c r="BB695" s="140">
        <v>0</v>
      </c>
      <c r="BC695" s="140">
        <v>0</v>
      </c>
      <c r="BD695" s="140">
        <v>1</v>
      </c>
      <c r="BE695" s="140">
        <v>0</v>
      </c>
      <c r="BF695" s="140">
        <v>0</v>
      </c>
      <c r="BG695" s="140">
        <v>0</v>
      </c>
      <c r="BH695" s="140">
        <v>0</v>
      </c>
      <c r="BI695" s="140">
        <v>0</v>
      </c>
      <c r="BJ695" s="140">
        <v>0</v>
      </c>
      <c r="BK695" s="140">
        <v>0</v>
      </c>
      <c r="BL695" s="140">
        <v>0</v>
      </c>
      <c r="BM695" s="140">
        <v>0</v>
      </c>
      <c r="BN695" s="140">
        <v>0</v>
      </c>
      <c r="BO695" s="140">
        <v>0</v>
      </c>
      <c r="BX695" s="43">
        <v>6</v>
      </c>
      <c r="CA695" s="90">
        <f t="shared" si="80"/>
        <v>0.25</v>
      </c>
      <c r="CB695" s="90">
        <f t="shared" si="80"/>
        <v>0.25</v>
      </c>
      <c r="CC695" s="90">
        <f t="shared" si="80"/>
        <v>0.25</v>
      </c>
      <c r="CD695" s="90">
        <f t="shared" si="80"/>
        <v>0.25</v>
      </c>
      <c r="CT695" s="90">
        <f t="shared" si="69"/>
        <v>1</v>
      </c>
      <c r="CU695" s="90">
        <f t="shared" si="70"/>
        <v>1</v>
      </c>
    </row>
    <row r="696" spans="1:99" ht="12" customHeight="1">
      <c r="A696" s="43">
        <v>5781</v>
      </c>
      <c r="B696" s="89" t="s">
        <v>1515</v>
      </c>
      <c r="C696" s="89" t="s">
        <v>1946</v>
      </c>
      <c r="D696" s="89" t="s">
        <v>1947</v>
      </c>
      <c r="F696" s="43">
        <v>526418</v>
      </c>
      <c r="G696" s="43">
        <v>175586</v>
      </c>
      <c r="H696" s="89" t="s">
        <v>177</v>
      </c>
      <c r="K696" s="140">
        <v>0</v>
      </c>
      <c r="L696" s="140">
        <v>3</v>
      </c>
      <c r="M696" s="140">
        <v>3</v>
      </c>
      <c r="N696" s="140">
        <v>3</v>
      </c>
      <c r="O696" s="140">
        <v>3</v>
      </c>
      <c r="Q696" s="89" t="s">
        <v>1948</v>
      </c>
      <c r="R696" s="43" t="s">
        <v>392</v>
      </c>
      <c r="S696" s="125">
        <v>41855</v>
      </c>
      <c r="T696" s="117">
        <v>42740</v>
      </c>
      <c r="V696" s="43" t="s">
        <v>317</v>
      </c>
      <c r="X696" s="43" t="s">
        <v>318</v>
      </c>
      <c r="Y696" s="43" t="s">
        <v>361</v>
      </c>
      <c r="Z696" s="43" t="s">
        <v>320</v>
      </c>
      <c r="AA696" s="43" t="s">
        <v>353</v>
      </c>
      <c r="AB696" s="144">
        <v>3.0999999493360499E-2</v>
      </c>
      <c r="AF696" s="43" t="s">
        <v>75</v>
      </c>
      <c r="AG696" s="43" t="s">
        <v>322</v>
      </c>
      <c r="AH696" s="43" t="s">
        <v>1949</v>
      </c>
      <c r="AJ696" s="140">
        <v>0</v>
      </c>
      <c r="AK696" s="140">
        <v>0</v>
      </c>
      <c r="AL696" s="140">
        <v>0</v>
      </c>
      <c r="AM696" s="140">
        <v>0</v>
      </c>
      <c r="AN696" s="140">
        <v>0</v>
      </c>
      <c r="AO696" s="140">
        <v>0</v>
      </c>
      <c r="AP696" s="140">
        <v>0</v>
      </c>
      <c r="AQ696" s="140">
        <v>3</v>
      </c>
      <c r="AR696" s="140">
        <v>0</v>
      </c>
      <c r="AS696" s="140">
        <v>0</v>
      </c>
      <c r="AT696" s="140">
        <v>0</v>
      </c>
      <c r="AU696" s="140">
        <v>0</v>
      </c>
      <c r="AV696" s="140">
        <v>0</v>
      </c>
      <c r="AW696" s="140">
        <v>0</v>
      </c>
      <c r="AX696" s="140">
        <v>3</v>
      </c>
      <c r="AY696" s="140">
        <v>0</v>
      </c>
      <c r="AZ696" s="140">
        <v>0</v>
      </c>
      <c r="BA696" s="140">
        <v>0</v>
      </c>
      <c r="BB696" s="140">
        <v>0</v>
      </c>
      <c r="BC696" s="140">
        <v>0</v>
      </c>
      <c r="BD696" s="140">
        <v>0</v>
      </c>
      <c r="BE696" s="140">
        <v>0</v>
      </c>
      <c r="BF696" s="140">
        <v>0</v>
      </c>
      <c r="BG696" s="140">
        <v>0</v>
      </c>
      <c r="BH696" s="140">
        <v>0</v>
      </c>
      <c r="BI696" s="140">
        <v>0</v>
      </c>
      <c r="BJ696" s="140">
        <v>0</v>
      </c>
      <c r="BK696" s="140">
        <v>0</v>
      </c>
      <c r="BL696" s="140">
        <v>0</v>
      </c>
      <c r="BM696" s="140">
        <v>0</v>
      </c>
      <c r="BN696" s="140">
        <v>0</v>
      </c>
      <c r="BO696" s="140">
        <v>0</v>
      </c>
      <c r="BV696" s="43" t="s">
        <v>329</v>
      </c>
      <c r="BX696" s="43">
        <v>6</v>
      </c>
      <c r="CA696" s="90">
        <f t="shared" si="80"/>
        <v>0.75</v>
      </c>
      <c r="CB696" s="90">
        <f t="shared" si="80"/>
        <v>0.75</v>
      </c>
      <c r="CC696" s="90">
        <f t="shared" si="80"/>
        <v>0.75</v>
      </c>
      <c r="CD696" s="90">
        <f t="shared" si="80"/>
        <v>0.75</v>
      </c>
      <c r="CT696" s="90">
        <f t="shared" si="69"/>
        <v>3</v>
      </c>
      <c r="CU696" s="90">
        <f t="shared" si="70"/>
        <v>3</v>
      </c>
    </row>
    <row r="697" spans="1:99" ht="12" customHeight="1">
      <c r="A697" s="43">
        <v>5782</v>
      </c>
      <c r="B697" s="89" t="s">
        <v>1515</v>
      </c>
      <c r="C697" s="89" t="s">
        <v>503</v>
      </c>
      <c r="D697" s="89" t="s">
        <v>504</v>
      </c>
      <c r="E697" s="89" t="s">
        <v>1950</v>
      </c>
      <c r="F697" s="43">
        <v>528822</v>
      </c>
      <c r="G697" s="43">
        <v>176878</v>
      </c>
      <c r="H697" s="89" t="s">
        <v>148</v>
      </c>
      <c r="I697" s="125">
        <v>42261</v>
      </c>
      <c r="K697" s="140">
        <v>0</v>
      </c>
      <c r="L697" s="140">
        <v>3</v>
      </c>
      <c r="M697" s="140">
        <v>3</v>
      </c>
      <c r="N697" s="140">
        <v>290</v>
      </c>
      <c r="O697" s="140">
        <v>290</v>
      </c>
      <c r="P697" s="43" t="s">
        <v>329</v>
      </c>
      <c r="Q697" s="89" t="s">
        <v>506</v>
      </c>
      <c r="R697" s="43" t="s">
        <v>392</v>
      </c>
      <c r="S697" s="125">
        <v>41855</v>
      </c>
      <c r="T697" s="117">
        <v>42075</v>
      </c>
      <c r="V697" s="43" t="s">
        <v>317</v>
      </c>
      <c r="X697" s="43" t="s">
        <v>318</v>
      </c>
      <c r="Y697" s="43" t="s">
        <v>319</v>
      </c>
      <c r="Z697" s="43" t="s">
        <v>361</v>
      </c>
      <c r="AA697" s="43" t="s">
        <v>320</v>
      </c>
      <c r="AB697" s="144">
        <v>1.09999999403954E-2</v>
      </c>
      <c r="AF697" s="43" t="s">
        <v>75</v>
      </c>
      <c r="AG697" s="43" t="s">
        <v>322</v>
      </c>
      <c r="AH697" s="43" t="s">
        <v>507</v>
      </c>
      <c r="AJ697" s="140">
        <v>3</v>
      </c>
      <c r="AK697" s="140">
        <v>0</v>
      </c>
      <c r="AL697" s="140">
        <v>0</v>
      </c>
      <c r="AM697" s="140">
        <v>0</v>
      </c>
      <c r="AN697" s="140">
        <v>0</v>
      </c>
      <c r="AO697" s="140">
        <v>3</v>
      </c>
      <c r="AP697" s="140">
        <v>0</v>
      </c>
      <c r="AQ697" s="140">
        <v>0</v>
      </c>
      <c r="AR697" s="140">
        <v>0</v>
      </c>
      <c r="AS697" s="140">
        <v>0</v>
      </c>
      <c r="AT697" s="140">
        <v>0</v>
      </c>
      <c r="AU697" s="140">
        <v>0</v>
      </c>
      <c r="AV697" s="140">
        <v>3</v>
      </c>
      <c r="AW697" s="140">
        <v>0</v>
      </c>
      <c r="AX697" s="140">
        <v>0</v>
      </c>
      <c r="AY697" s="140">
        <v>0</v>
      </c>
      <c r="AZ697" s="140">
        <v>0</v>
      </c>
      <c r="BA697" s="140">
        <v>0</v>
      </c>
      <c r="BB697" s="140">
        <v>0</v>
      </c>
      <c r="BC697" s="140">
        <v>0</v>
      </c>
      <c r="BD697" s="140">
        <v>0</v>
      </c>
      <c r="BE697" s="140">
        <v>0</v>
      </c>
      <c r="BF697" s="140">
        <v>0</v>
      </c>
      <c r="BG697" s="140">
        <v>0</v>
      </c>
      <c r="BH697" s="140">
        <v>0</v>
      </c>
      <c r="BI697" s="140">
        <v>0</v>
      </c>
      <c r="BJ697" s="140">
        <v>0</v>
      </c>
      <c r="BK697" s="140">
        <v>0</v>
      </c>
      <c r="BL697" s="140">
        <v>0</v>
      </c>
      <c r="BM697" s="140">
        <v>0</v>
      </c>
      <c r="BN697" s="140">
        <v>0</v>
      </c>
      <c r="BO697" s="140">
        <v>0</v>
      </c>
      <c r="BQ697" s="43" t="s">
        <v>329</v>
      </c>
      <c r="BX697" s="43">
        <v>21</v>
      </c>
      <c r="CA697" s="90">
        <f>M697</f>
        <v>3</v>
      </c>
      <c r="CT697" s="90">
        <f t="shared" si="69"/>
        <v>3</v>
      </c>
      <c r="CU697" s="90">
        <f t="shared" si="70"/>
        <v>3</v>
      </c>
    </row>
    <row r="698" spans="1:99" ht="12" customHeight="1">
      <c r="A698" s="43">
        <v>5785</v>
      </c>
      <c r="B698" s="89" t="s">
        <v>1515</v>
      </c>
      <c r="C698" s="89" t="s">
        <v>1951</v>
      </c>
      <c r="D698" s="89" t="s">
        <v>1952</v>
      </c>
      <c r="F698" s="43">
        <v>525932</v>
      </c>
      <c r="G698" s="43">
        <v>173167</v>
      </c>
      <c r="H698" s="89" t="s">
        <v>168</v>
      </c>
      <c r="K698" s="140">
        <v>0</v>
      </c>
      <c r="L698" s="140">
        <v>1</v>
      </c>
      <c r="M698" s="140">
        <v>1</v>
      </c>
      <c r="N698" s="140">
        <v>1</v>
      </c>
      <c r="O698" s="140">
        <v>1</v>
      </c>
      <c r="Q698" s="89" t="s">
        <v>1953</v>
      </c>
      <c r="R698" s="43" t="s">
        <v>620</v>
      </c>
      <c r="S698" s="125">
        <v>43486</v>
      </c>
      <c r="T698" s="117">
        <v>43538</v>
      </c>
      <c r="V698" s="43" t="s">
        <v>317</v>
      </c>
      <c r="X698" s="43" t="s">
        <v>318</v>
      </c>
      <c r="Y698" s="43" t="s">
        <v>336</v>
      </c>
      <c r="Z698" s="43" t="s">
        <v>320</v>
      </c>
      <c r="AA698" s="43" t="s">
        <v>33</v>
      </c>
      <c r="AB698" s="144">
        <v>3.0000000260770299E-3</v>
      </c>
      <c r="AF698" s="43" t="s">
        <v>75</v>
      </c>
      <c r="AG698" s="43" t="s">
        <v>322</v>
      </c>
      <c r="AJ698" s="140">
        <v>0</v>
      </c>
      <c r="AK698" s="140">
        <v>0</v>
      </c>
      <c r="AL698" s="140">
        <v>0</v>
      </c>
      <c r="AM698" s="140">
        <v>0</v>
      </c>
      <c r="AN698" s="140">
        <v>0</v>
      </c>
      <c r="AO698" s="140">
        <v>1</v>
      </c>
      <c r="AP698" s="140">
        <v>0</v>
      </c>
      <c r="AQ698" s="140">
        <v>0</v>
      </c>
      <c r="AR698" s="140">
        <v>0</v>
      </c>
      <c r="AS698" s="140">
        <v>0</v>
      </c>
      <c r="AT698" s="140">
        <v>0</v>
      </c>
      <c r="AU698" s="140">
        <v>0</v>
      </c>
      <c r="AV698" s="140">
        <v>1</v>
      </c>
      <c r="AW698" s="140">
        <v>0</v>
      </c>
      <c r="AX698" s="140">
        <v>0</v>
      </c>
      <c r="AY698" s="140">
        <v>0</v>
      </c>
      <c r="AZ698" s="140">
        <v>0</v>
      </c>
      <c r="BA698" s="140">
        <v>0</v>
      </c>
      <c r="BB698" s="140">
        <v>0</v>
      </c>
      <c r="BC698" s="140">
        <v>0</v>
      </c>
      <c r="BD698" s="140">
        <v>0</v>
      </c>
      <c r="BE698" s="140">
        <v>0</v>
      </c>
      <c r="BF698" s="140">
        <v>0</v>
      </c>
      <c r="BG698" s="140">
        <v>0</v>
      </c>
      <c r="BH698" s="140">
        <v>0</v>
      </c>
      <c r="BI698" s="140">
        <v>0</v>
      </c>
      <c r="BJ698" s="140">
        <v>0</v>
      </c>
      <c r="BK698" s="140">
        <v>0</v>
      </c>
      <c r="BL698" s="140">
        <v>0</v>
      </c>
      <c r="BM698" s="140">
        <v>0</v>
      </c>
      <c r="BN698" s="140">
        <v>0</v>
      </c>
      <c r="BO698" s="140">
        <v>0</v>
      </c>
      <c r="BW698" s="43" t="s">
        <v>329</v>
      </c>
      <c r="BX698" s="43">
        <v>15</v>
      </c>
      <c r="BZ698" s="90">
        <f>$M698/3</f>
        <v>0.33333333333333331</v>
      </c>
      <c r="CA698" s="90">
        <f>$M698/3</f>
        <v>0.33333333333333331</v>
      </c>
      <c r="CB698" s="90">
        <f>$M698/3</f>
        <v>0.33333333333333331</v>
      </c>
      <c r="CT698" s="90">
        <f t="shared" si="69"/>
        <v>1</v>
      </c>
      <c r="CU698" s="90">
        <f t="shared" si="70"/>
        <v>1</v>
      </c>
    </row>
    <row r="699" spans="1:99" ht="12" customHeight="1">
      <c r="A699" s="43">
        <v>5805</v>
      </c>
      <c r="B699" s="89" t="s">
        <v>1515</v>
      </c>
      <c r="C699" s="89" t="s">
        <v>1954</v>
      </c>
      <c r="D699" s="89" t="s">
        <v>1955</v>
      </c>
      <c r="F699" s="43">
        <v>526469</v>
      </c>
      <c r="G699" s="43">
        <v>175725</v>
      </c>
      <c r="H699" s="89" t="s">
        <v>177</v>
      </c>
      <c r="K699" s="140">
        <v>0</v>
      </c>
      <c r="L699" s="140">
        <v>6</v>
      </c>
      <c r="M699" s="140">
        <v>6</v>
      </c>
      <c r="N699" s="140">
        <v>6</v>
      </c>
      <c r="O699" s="140">
        <v>6</v>
      </c>
      <c r="Q699" s="89" t="s">
        <v>1956</v>
      </c>
      <c r="R699" s="43" t="s">
        <v>443</v>
      </c>
      <c r="S699" s="125">
        <v>42487</v>
      </c>
      <c r="T699" s="117">
        <v>42543</v>
      </c>
      <c r="V699" s="43" t="s">
        <v>317</v>
      </c>
      <c r="X699" s="43" t="s">
        <v>318</v>
      </c>
      <c r="Y699" s="43" t="s">
        <v>336</v>
      </c>
      <c r="Z699" s="43" t="s">
        <v>320</v>
      </c>
      <c r="AA699" s="43" t="s">
        <v>33</v>
      </c>
      <c r="AB699" s="144">
        <v>1.8999999389052401E-2</v>
      </c>
      <c r="AF699" s="43" t="s">
        <v>75</v>
      </c>
      <c r="AG699" s="43" t="s">
        <v>322</v>
      </c>
      <c r="AH699" s="43" t="s">
        <v>838</v>
      </c>
      <c r="AJ699" s="140">
        <v>0</v>
      </c>
      <c r="AK699" s="140">
        <v>0</v>
      </c>
      <c r="AL699" s="140">
        <v>0</v>
      </c>
      <c r="AM699" s="140">
        <v>0</v>
      </c>
      <c r="AN699" s="140">
        <v>0</v>
      </c>
      <c r="AO699" s="140">
        <v>3</v>
      </c>
      <c r="AP699" s="140">
        <v>3</v>
      </c>
      <c r="AQ699" s="140">
        <v>0</v>
      </c>
      <c r="AR699" s="140">
        <v>0</v>
      </c>
      <c r="AS699" s="140">
        <v>0</v>
      </c>
      <c r="AT699" s="140">
        <v>0</v>
      </c>
      <c r="AU699" s="140">
        <v>0</v>
      </c>
      <c r="AV699" s="140">
        <v>3</v>
      </c>
      <c r="AW699" s="140">
        <v>3</v>
      </c>
      <c r="AX699" s="140">
        <v>0</v>
      </c>
      <c r="AY699" s="140">
        <v>0</v>
      </c>
      <c r="AZ699" s="140">
        <v>0</v>
      </c>
      <c r="BA699" s="140">
        <v>0</v>
      </c>
      <c r="BB699" s="140">
        <v>0</v>
      </c>
      <c r="BC699" s="140">
        <v>0</v>
      </c>
      <c r="BD699" s="140">
        <v>0</v>
      </c>
      <c r="BE699" s="140">
        <v>0</v>
      </c>
      <c r="BF699" s="140">
        <v>0</v>
      </c>
      <c r="BG699" s="140">
        <v>0</v>
      </c>
      <c r="BH699" s="140">
        <v>0</v>
      </c>
      <c r="BI699" s="140">
        <v>0</v>
      </c>
      <c r="BJ699" s="140">
        <v>0</v>
      </c>
      <c r="BK699" s="140">
        <v>0</v>
      </c>
      <c r="BL699" s="140">
        <v>0</v>
      </c>
      <c r="BM699" s="140">
        <v>0</v>
      </c>
      <c r="BN699" s="140">
        <v>0</v>
      </c>
      <c r="BO699" s="140">
        <v>0</v>
      </c>
      <c r="BV699" s="43" t="s">
        <v>329</v>
      </c>
      <c r="BX699" s="43">
        <v>18</v>
      </c>
      <c r="CA699" s="90">
        <f>$M699/4</f>
        <v>1.5</v>
      </c>
      <c r="CB699" s="90">
        <f>$M699/4</f>
        <v>1.5</v>
      </c>
      <c r="CC699" s="90">
        <f>$M699/4</f>
        <v>1.5</v>
      </c>
      <c r="CD699" s="90">
        <f>$M699/4</f>
        <v>1.5</v>
      </c>
      <c r="CT699" s="90">
        <f t="shared" si="69"/>
        <v>6</v>
      </c>
      <c r="CU699" s="90">
        <f t="shared" si="70"/>
        <v>6</v>
      </c>
    </row>
    <row r="700" spans="1:99" ht="12" customHeight="1">
      <c r="A700" s="43">
        <v>5830</v>
      </c>
      <c r="B700" s="89" t="s">
        <v>1515</v>
      </c>
      <c r="C700" s="89" t="s">
        <v>1957</v>
      </c>
      <c r="D700" s="89" t="s">
        <v>1958</v>
      </c>
      <c r="F700" s="43">
        <v>525688</v>
      </c>
      <c r="G700" s="43">
        <v>174648</v>
      </c>
      <c r="H700" s="89" t="s">
        <v>170</v>
      </c>
      <c r="K700" s="140">
        <v>0</v>
      </c>
      <c r="L700" s="140">
        <v>3</v>
      </c>
      <c r="M700" s="140">
        <v>3</v>
      </c>
      <c r="N700" s="140">
        <v>3</v>
      </c>
      <c r="O700" s="140">
        <v>3</v>
      </c>
      <c r="Q700" s="89" t="s">
        <v>1959</v>
      </c>
      <c r="R700" s="43" t="s">
        <v>316</v>
      </c>
      <c r="S700" s="125">
        <v>43276</v>
      </c>
      <c r="T700" s="117">
        <v>43348</v>
      </c>
      <c r="V700" s="43" t="s">
        <v>317</v>
      </c>
      <c r="X700" s="43" t="s">
        <v>318</v>
      </c>
      <c r="Y700" s="43" t="s">
        <v>379</v>
      </c>
      <c r="Z700" s="43" t="s">
        <v>320</v>
      </c>
      <c r="AA700" s="43" t="s">
        <v>340</v>
      </c>
      <c r="AB700" s="144">
        <v>8.9999996125698107E-3</v>
      </c>
      <c r="AF700" s="43" t="s">
        <v>75</v>
      </c>
      <c r="AG700" s="43" t="s">
        <v>322</v>
      </c>
      <c r="AJ700" s="140">
        <v>0</v>
      </c>
      <c r="AK700" s="140">
        <v>0</v>
      </c>
      <c r="AL700" s="140">
        <v>0</v>
      </c>
      <c r="AM700" s="140">
        <v>0</v>
      </c>
      <c r="AN700" s="140">
        <v>0</v>
      </c>
      <c r="AO700" s="140">
        <v>1</v>
      </c>
      <c r="AP700" s="140">
        <v>1</v>
      </c>
      <c r="AQ700" s="140">
        <v>1</v>
      </c>
      <c r="AR700" s="140">
        <v>0</v>
      </c>
      <c r="AS700" s="140">
        <v>0</v>
      </c>
      <c r="AT700" s="140">
        <v>0</v>
      </c>
      <c r="AU700" s="140">
        <v>0</v>
      </c>
      <c r="AV700" s="140">
        <v>1</v>
      </c>
      <c r="AW700" s="140">
        <v>1</v>
      </c>
      <c r="AX700" s="140">
        <v>1</v>
      </c>
      <c r="AY700" s="140">
        <v>0</v>
      </c>
      <c r="AZ700" s="140">
        <v>0</v>
      </c>
      <c r="BA700" s="140">
        <v>0</v>
      </c>
      <c r="BB700" s="140">
        <v>0</v>
      </c>
      <c r="BC700" s="140">
        <v>0</v>
      </c>
      <c r="BD700" s="140">
        <v>0</v>
      </c>
      <c r="BE700" s="140">
        <v>0</v>
      </c>
      <c r="BF700" s="140">
        <v>0</v>
      </c>
      <c r="BG700" s="140">
        <v>0</v>
      </c>
      <c r="BH700" s="140">
        <v>0</v>
      </c>
      <c r="BI700" s="140">
        <v>0</v>
      </c>
      <c r="BJ700" s="140">
        <v>0</v>
      </c>
      <c r="BK700" s="140">
        <v>0</v>
      </c>
      <c r="BL700" s="140">
        <v>0</v>
      </c>
      <c r="BM700" s="140">
        <v>0</v>
      </c>
      <c r="BN700" s="140">
        <v>0</v>
      </c>
      <c r="BO700" s="140">
        <v>0</v>
      </c>
      <c r="BP700" s="43" t="s">
        <v>142</v>
      </c>
      <c r="BR700" s="43" t="s">
        <v>329</v>
      </c>
      <c r="BX700" s="43">
        <v>15</v>
      </c>
      <c r="BZ700" s="90">
        <f>$M700/3</f>
        <v>1</v>
      </c>
      <c r="CA700" s="90">
        <f>$M700/3</f>
        <v>1</v>
      </c>
      <c r="CB700" s="90">
        <f>$M700/3</f>
        <v>1</v>
      </c>
      <c r="CT700" s="90">
        <f t="shared" si="69"/>
        <v>3</v>
      </c>
      <c r="CU700" s="90">
        <f t="shared" si="70"/>
        <v>3</v>
      </c>
    </row>
    <row r="701" spans="1:99" ht="12" customHeight="1">
      <c r="A701" s="43">
        <v>5832</v>
      </c>
      <c r="B701" s="89" t="s">
        <v>1515</v>
      </c>
      <c r="C701" s="89" t="s">
        <v>1960</v>
      </c>
      <c r="D701" s="89" t="s">
        <v>1961</v>
      </c>
      <c r="F701" s="43">
        <v>527798</v>
      </c>
      <c r="G701" s="43">
        <v>175779</v>
      </c>
      <c r="H701" s="89" t="s">
        <v>175</v>
      </c>
      <c r="K701" s="140">
        <v>0</v>
      </c>
      <c r="L701" s="140">
        <v>1</v>
      </c>
      <c r="M701" s="140">
        <v>1</v>
      </c>
      <c r="N701" s="140">
        <v>1</v>
      </c>
      <c r="O701" s="140">
        <v>1</v>
      </c>
      <c r="Q701" s="89" t="s">
        <v>1962</v>
      </c>
      <c r="R701" s="43" t="s">
        <v>316</v>
      </c>
      <c r="S701" s="125">
        <v>43252</v>
      </c>
      <c r="T701" s="117">
        <v>43335</v>
      </c>
      <c r="V701" s="43" t="s">
        <v>317</v>
      </c>
      <c r="X701" s="43" t="s">
        <v>318</v>
      </c>
      <c r="Y701" s="43" t="s">
        <v>361</v>
      </c>
      <c r="Z701" s="43" t="s">
        <v>320</v>
      </c>
      <c r="AA701" s="43" t="s">
        <v>353</v>
      </c>
      <c r="AB701" s="144">
        <v>8.0000003799796104E-3</v>
      </c>
      <c r="AF701" s="43" t="s">
        <v>75</v>
      </c>
      <c r="AG701" s="43" t="s">
        <v>322</v>
      </c>
      <c r="AJ701" s="140">
        <v>0</v>
      </c>
      <c r="AK701" s="140">
        <v>0</v>
      </c>
      <c r="AL701" s="140">
        <v>0</v>
      </c>
      <c r="AM701" s="140">
        <v>0</v>
      </c>
      <c r="AN701" s="140">
        <v>0</v>
      </c>
      <c r="AO701" s="140">
        <v>0</v>
      </c>
      <c r="AP701" s="140">
        <v>1</v>
      </c>
      <c r="AQ701" s="140">
        <v>0</v>
      </c>
      <c r="AR701" s="140">
        <v>0</v>
      </c>
      <c r="AS701" s="140">
        <v>0</v>
      </c>
      <c r="AT701" s="140">
        <v>0</v>
      </c>
      <c r="AU701" s="140">
        <v>0</v>
      </c>
      <c r="AV701" s="140">
        <v>0</v>
      </c>
      <c r="AW701" s="140">
        <v>0</v>
      </c>
      <c r="AX701" s="140">
        <v>0</v>
      </c>
      <c r="AY701" s="140">
        <v>0</v>
      </c>
      <c r="AZ701" s="140">
        <v>0</v>
      </c>
      <c r="BA701" s="140">
        <v>0</v>
      </c>
      <c r="BB701" s="140">
        <v>0</v>
      </c>
      <c r="BC701" s="140">
        <v>0</v>
      </c>
      <c r="BD701" s="140">
        <v>1</v>
      </c>
      <c r="BE701" s="140">
        <v>0</v>
      </c>
      <c r="BF701" s="140">
        <v>0</v>
      </c>
      <c r="BG701" s="140">
        <v>0</v>
      </c>
      <c r="BH701" s="140">
        <v>0</v>
      </c>
      <c r="BI701" s="140">
        <v>0</v>
      </c>
      <c r="BJ701" s="140">
        <v>0</v>
      </c>
      <c r="BK701" s="140">
        <v>0</v>
      </c>
      <c r="BL701" s="140">
        <v>0</v>
      </c>
      <c r="BM701" s="140">
        <v>0</v>
      </c>
      <c r="BN701" s="140">
        <v>0</v>
      </c>
      <c r="BO701" s="140">
        <v>0</v>
      </c>
      <c r="BX701" s="43">
        <v>6</v>
      </c>
      <c r="CA701" s="90">
        <f>$M701/4</f>
        <v>0.25</v>
      </c>
      <c r="CB701" s="90">
        <f>$M701/4</f>
        <v>0.25</v>
      </c>
      <c r="CC701" s="90">
        <f>$M701/4</f>
        <v>0.25</v>
      </c>
      <c r="CD701" s="90">
        <f>$M701/4</f>
        <v>0.25</v>
      </c>
      <c r="CT701" s="90">
        <f t="shared" si="69"/>
        <v>1</v>
      </c>
      <c r="CU701" s="90">
        <f t="shared" si="70"/>
        <v>1</v>
      </c>
    </row>
    <row r="702" spans="1:99" ht="12" customHeight="1">
      <c r="A702" s="43">
        <v>5855</v>
      </c>
      <c r="B702" s="89" t="s">
        <v>1515</v>
      </c>
      <c r="C702" s="89" t="s">
        <v>1963</v>
      </c>
      <c r="D702" s="89" t="s">
        <v>1964</v>
      </c>
      <c r="F702" s="43">
        <v>527771</v>
      </c>
      <c r="G702" s="43">
        <v>171157</v>
      </c>
      <c r="H702" s="89" t="s">
        <v>172</v>
      </c>
      <c r="K702" s="140">
        <v>0</v>
      </c>
      <c r="L702" s="140">
        <v>1</v>
      </c>
      <c r="M702" s="140">
        <v>1</v>
      </c>
      <c r="N702" s="140">
        <v>1</v>
      </c>
      <c r="O702" s="140">
        <v>1</v>
      </c>
      <c r="Q702" s="89" t="s">
        <v>1965</v>
      </c>
      <c r="R702" s="43" t="s">
        <v>316</v>
      </c>
      <c r="S702" s="125">
        <v>42836</v>
      </c>
      <c r="T702" s="117">
        <v>42892</v>
      </c>
      <c r="V702" s="43" t="s">
        <v>317</v>
      </c>
      <c r="X702" s="43" t="s">
        <v>318</v>
      </c>
      <c r="Y702" s="43" t="s">
        <v>319</v>
      </c>
      <c r="Z702" s="43" t="s">
        <v>320</v>
      </c>
      <c r="AA702" s="43" t="s">
        <v>33</v>
      </c>
      <c r="AB702" s="144">
        <v>8.0000003799796104E-3</v>
      </c>
      <c r="AF702" s="43" t="s">
        <v>75</v>
      </c>
      <c r="AG702" s="43" t="s">
        <v>322</v>
      </c>
      <c r="AJ702" s="140">
        <v>0</v>
      </c>
      <c r="AK702" s="140">
        <v>0</v>
      </c>
      <c r="AL702" s="140">
        <v>0</v>
      </c>
      <c r="AM702" s="140">
        <v>0</v>
      </c>
      <c r="AN702" s="140">
        <v>0</v>
      </c>
      <c r="AO702" s="140">
        <v>1</v>
      </c>
      <c r="AP702" s="140">
        <v>0</v>
      </c>
      <c r="AQ702" s="140">
        <v>0</v>
      </c>
      <c r="AR702" s="140">
        <v>0</v>
      </c>
      <c r="AS702" s="140">
        <v>0</v>
      </c>
      <c r="AT702" s="140">
        <v>0</v>
      </c>
      <c r="AU702" s="140">
        <v>0</v>
      </c>
      <c r="AV702" s="140">
        <v>1</v>
      </c>
      <c r="AW702" s="140">
        <v>0</v>
      </c>
      <c r="AX702" s="140">
        <v>0</v>
      </c>
      <c r="AY702" s="140">
        <v>0</v>
      </c>
      <c r="AZ702" s="140">
        <v>0</v>
      </c>
      <c r="BA702" s="140">
        <v>0</v>
      </c>
      <c r="BB702" s="140">
        <v>0</v>
      </c>
      <c r="BC702" s="140">
        <v>0</v>
      </c>
      <c r="BD702" s="140">
        <v>0</v>
      </c>
      <c r="BE702" s="140">
        <v>0</v>
      </c>
      <c r="BF702" s="140">
        <v>0</v>
      </c>
      <c r="BG702" s="140">
        <v>0</v>
      </c>
      <c r="BH702" s="140">
        <v>0</v>
      </c>
      <c r="BI702" s="140">
        <v>0</v>
      </c>
      <c r="BJ702" s="140">
        <v>0</v>
      </c>
      <c r="BK702" s="140">
        <v>0</v>
      </c>
      <c r="BL702" s="140">
        <v>0</v>
      </c>
      <c r="BM702" s="140">
        <v>0</v>
      </c>
      <c r="BN702" s="140">
        <v>0</v>
      </c>
      <c r="BO702" s="140">
        <v>0</v>
      </c>
      <c r="BP702" s="43" t="s">
        <v>141</v>
      </c>
      <c r="BX702" s="43">
        <v>15</v>
      </c>
      <c r="BZ702" s="90">
        <f>$M702/3</f>
        <v>0.33333333333333331</v>
      </c>
      <c r="CA702" s="90">
        <f>$M702/3</f>
        <v>0.33333333333333331</v>
      </c>
      <c r="CB702" s="90">
        <f>$M702/3</f>
        <v>0.33333333333333331</v>
      </c>
      <c r="CT702" s="90">
        <f t="shared" si="69"/>
        <v>1</v>
      </c>
      <c r="CU702" s="90">
        <f t="shared" si="70"/>
        <v>1</v>
      </c>
    </row>
    <row r="703" spans="1:99" ht="12" customHeight="1">
      <c r="A703" s="43">
        <v>5887</v>
      </c>
      <c r="B703" s="89" t="s">
        <v>1515</v>
      </c>
      <c r="C703" s="89" t="s">
        <v>1966</v>
      </c>
      <c r="D703" s="89" t="s">
        <v>1967</v>
      </c>
      <c r="F703" s="43">
        <v>528584</v>
      </c>
      <c r="G703" s="43">
        <v>173489</v>
      </c>
      <c r="H703" s="89" t="s">
        <v>138</v>
      </c>
      <c r="K703" s="140">
        <v>0</v>
      </c>
      <c r="L703" s="140">
        <v>1</v>
      </c>
      <c r="M703" s="140">
        <v>1</v>
      </c>
      <c r="N703" s="140">
        <v>1</v>
      </c>
      <c r="O703" s="140">
        <v>1</v>
      </c>
      <c r="Q703" s="89" t="s">
        <v>1968</v>
      </c>
      <c r="R703" s="43" t="s">
        <v>316</v>
      </c>
      <c r="S703" s="125">
        <v>43217</v>
      </c>
      <c r="T703" s="117">
        <v>43258</v>
      </c>
      <c r="V703" s="43" t="s">
        <v>317</v>
      </c>
      <c r="X703" s="43" t="s">
        <v>318</v>
      </c>
      <c r="Y703" s="43" t="s">
        <v>361</v>
      </c>
      <c r="Z703" s="43" t="s">
        <v>320</v>
      </c>
      <c r="AA703" s="43" t="s">
        <v>353</v>
      </c>
      <c r="AB703" s="144">
        <v>1.4999999664723899E-2</v>
      </c>
      <c r="AF703" s="43" t="s">
        <v>75</v>
      </c>
      <c r="AG703" s="43" t="s">
        <v>322</v>
      </c>
      <c r="AJ703" s="140">
        <v>0</v>
      </c>
      <c r="AK703" s="140">
        <v>0</v>
      </c>
      <c r="AL703" s="140">
        <v>0</v>
      </c>
      <c r="AM703" s="140">
        <v>0</v>
      </c>
      <c r="AN703" s="140">
        <v>0</v>
      </c>
      <c r="AO703" s="140">
        <v>0</v>
      </c>
      <c r="AP703" s="140">
        <v>0</v>
      </c>
      <c r="AQ703" s="140">
        <v>0</v>
      </c>
      <c r="AR703" s="140">
        <v>1</v>
      </c>
      <c r="AS703" s="140">
        <v>0</v>
      </c>
      <c r="AT703" s="140">
        <v>0</v>
      </c>
      <c r="AU703" s="140">
        <v>0</v>
      </c>
      <c r="AV703" s="140">
        <v>0</v>
      </c>
      <c r="AW703" s="140">
        <v>0</v>
      </c>
      <c r="AX703" s="140">
        <v>0</v>
      </c>
      <c r="AY703" s="140">
        <v>0</v>
      </c>
      <c r="AZ703" s="140">
        <v>0</v>
      </c>
      <c r="BA703" s="140">
        <v>0</v>
      </c>
      <c r="BB703" s="140">
        <v>0</v>
      </c>
      <c r="BC703" s="140">
        <v>0</v>
      </c>
      <c r="BD703" s="140">
        <v>0</v>
      </c>
      <c r="BE703" s="140">
        <v>0</v>
      </c>
      <c r="BF703" s="140">
        <v>1</v>
      </c>
      <c r="BG703" s="140">
        <v>0</v>
      </c>
      <c r="BH703" s="140">
        <v>0</v>
      </c>
      <c r="BI703" s="140">
        <v>0</v>
      </c>
      <c r="BJ703" s="140">
        <v>0</v>
      </c>
      <c r="BK703" s="140">
        <v>0</v>
      </c>
      <c r="BL703" s="140">
        <v>0</v>
      </c>
      <c r="BM703" s="140">
        <v>0</v>
      </c>
      <c r="BN703" s="140">
        <v>0</v>
      </c>
      <c r="BO703" s="140">
        <v>0</v>
      </c>
      <c r="BX703" s="43">
        <v>6</v>
      </c>
      <c r="CA703" s="90">
        <f>$M703/4</f>
        <v>0.25</v>
      </c>
      <c r="CB703" s="90">
        <f>$M703/4</f>
        <v>0.25</v>
      </c>
      <c r="CC703" s="90">
        <f>$M703/4</f>
        <v>0.25</v>
      </c>
      <c r="CD703" s="90">
        <f>$M703/4</f>
        <v>0.25</v>
      </c>
      <c r="CT703" s="90">
        <f t="shared" si="69"/>
        <v>1</v>
      </c>
      <c r="CU703" s="90">
        <f t="shared" si="70"/>
        <v>1</v>
      </c>
    </row>
    <row r="704" spans="1:99" ht="12" customHeight="1">
      <c r="A704" s="43">
        <v>5894</v>
      </c>
      <c r="B704" s="89" t="s">
        <v>1515</v>
      </c>
      <c r="C704" s="89" t="s">
        <v>1969</v>
      </c>
      <c r="D704" s="89" t="s">
        <v>1970</v>
      </c>
      <c r="F704" s="43">
        <v>526821</v>
      </c>
      <c r="G704" s="43">
        <v>176772</v>
      </c>
      <c r="H704" s="89" t="s">
        <v>177</v>
      </c>
      <c r="K704" s="140">
        <v>0</v>
      </c>
      <c r="L704" s="140">
        <v>1</v>
      </c>
      <c r="M704" s="140">
        <v>1</v>
      </c>
      <c r="N704" s="140">
        <v>1</v>
      </c>
      <c r="O704" s="140">
        <v>1</v>
      </c>
      <c r="Q704" s="89" t="s">
        <v>1971</v>
      </c>
      <c r="R704" s="43" t="s">
        <v>316</v>
      </c>
      <c r="S704" s="125">
        <v>43410</v>
      </c>
      <c r="T704" s="117">
        <v>43455</v>
      </c>
      <c r="V704" s="43" t="s">
        <v>317</v>
      </c>
      <c r="X704" s="43" t="s">
        <v>318</v>
      </c>
      <c r="Y704" s="43" t="s">
        <v>379</v>
      </c>
      <c r="Z704" s="43" t="s">
        <v>320</v>
      </c>
      <c r="AA704" s="43" t="s">
        <v>340</v>
      </c>
      <c r="AB704" s="144">
        <v>9.9999997764825804E-3</v>
      </c>
      <c r="AF704" s="43" t="s">
        <v>75</v>
      </c>
      <c r="AG704" s="43" t="s">
        <v>322</v>
      </c>
      <c r="AJ704" s="140">
        <v>0</v>
      </c>
      <c r="AK704" s="140">
        <v>0</v>
      </c>
      <c r="AL704" s="140">
        <v>0</v>
      </c>
      <c r="AM704" s="140">
        <v>0</v>
      </c>
      <c r="AN704" s="140">
        <v>0</v>
      </c>
      <c r="AO704" s="140">
        <v>0</v>
      </c>
      <c r="AP704" s="140">
        <v>1</v>
      </c>
      <c r="AQ704" s="140">
        <v>0</v>
      </c>
      <c r="AR704" s="140">
        <v>0</v>
      </c>
      <c r="AS704" s="140">
        <v>0</v>
      </c>
      <c r="AT704" s="140">
        <v>0</v>
      </c>
      <c r="AU704" s="140">
        <v>0</v>
      </c>
      <c r="AV704" s="140">
        <v>0</v>
      </c>
      <c r="AW704" s="140">
        <v>1</v>
      </c>
      <c r="AX704" s="140">
        <v>0</v>
      </c>
      <c r="AY704" s="140">
        <v>0</v>
      </c>
      <c r="AZ704" s="140">
        <v>0</v>
      </c>
      <c r="BA704" s="140">
        <v>0</v>
      </c>
      <c r="BB704" s="140">
        <v>0</v>
      </c>
      <c r="BC704" s="140">
        <v>0</v>
      </c>
      <c r="BD704" s="140">
        <v>0</v>
      </c>
      <c r="BE704" s="140">
        <v>0</v>
      </c>
      <c r="BF704" s="140">
        <v>0</v>
      </c>
      <c r="BG704" s="140">
        <v>0</v>
      </c>
      <c r="BH704" s="140">
        <v>0</v>
      </c>
      <c r="BI704" s="140">
        <v>0</v>
      </c>
      <c r="BJ704" s="140">
        <v>0</v>
      </c>
      <c r="BK704" s="140">
        <v>0</v>
      </c>
      <c r="BL704" s="140">
        <v>0</v>
      </c>
      <c r="BM704" s="140">
        <v>0</v>
      </c>
      <c r="BN704" s="140">
        <v>0</v>
      </c>
      <c r="BO704" s="140">
        <v>0</v>
      </c>
      <c r="BX704" s="43">
        <v>15</v>
      </c>
      <c r="BZ704" s="90">
        <f t="shared" ref="BZ704:CB710" si="81">$M704/3</f>
        <v>0.33333333333333331</v>
      </c>
      <c r="CA704" s="90">
        <f t="shared" si="81"/>
        <v>0.33333333333333331</v>
      </c>
      <c r="CB704" s="90">
        <f t="shared" si="81"/>
        <v>0.33333333333333331</v>
      </c>
      <c r="CT704" s="90">
        <f t="shared" si="69"/>
        <v>1</v>
      </c>
      <c r="CU704" s="90">
        <f t="shared" si="70"/>
        <v>1</v>
      </c>
    </row>
    <row r="705" spans="1:99" ht="12" customHeight="1">
      <c r="A705" s="43">
        <v>5920</v>
      </c>
      <c r="B705" s="89" t="s">
        <v>1515</v>
      </c>
      <c r="C705" s="89" t="s">
        <v>1972</v>
      </c>
      <c r="D705" s="89" t="s">
        <v>1973</v>
      </c>
      <c r="F705" s="43">
        <v>524021</v>
      </c>
      <c r="G705" s="43">
        <v>175002</v>
      </c>
      <c r="H705" s="89" t="s">
        <v>169</v>
      </c>
      <c r="K705" s="140">
        <v>0</v>
      </c>
      <c r="L705" s="140">
        <v>3</v>
      </c>
      <c r="M705" s="140">
        <v>3</v>
      </c>
      <c r="N705" s="140">
        <v>3</v>
      </c>
      <c r="O705" s="140">
        <v>3</v>
      </c>
      <c r="Q705" s="89" t="s">
        <v>1974</v>
      </c>
      <c r="R705" s="43" t="s">
        <v>620</v>
      </c>
      <c r="S705" s="125">
        <v>43461</v>
      </c>
      <c r="T705" s="117">
        <v>43496</v>
      </c>
      <c r="V705" s="43" t="s">
        <v>317</v>
      </c>
      <c r="X705" s="43" t="s">
        <v>318</v>
      </c>
      <c r="Y705" s="43" t="s">
        <v>336</v>
      </c>
      <c r="Z705" s="43" t="s">
        <v>320</v>
      </c>
      <c r="AA705" s="43" t="s">
        <v>33</v>
      </c>
      <c r="AB705" s="144">
        <v>3.0000000260770299E-3</v>
      </c>
      <c r="AF705" s="43" t="s">
        <v>75</v>
      </c>
      <c r="AG705" s="43" t="s">
        <v>322</v>
      </c>
      <c r="AJ705" s="140">
        <v>0</v>
      </c>
      <c r="AK705" s="140">
        <v>0</v>
      </c>
      <c r="AL705" s="140">
        <v>0</v>
      </c>
      <c r="AM705" s="140">
        <v>0</v>
      </c>
      <c r="AN705" s="140">
        <v>0</v>
      </c>
      <c r="AO705" s="140">
        <v>2</v>
      </c>
      <c r="AP705" s="140">
        <v>1</v>
      </c>
      <c r="AQ705" s="140">
        <v>0</v>
      </c>
      <c r="AR705" s="140">
        <v>0</v>
      </c>
      <c r="AS705" s="140">
        <v>0</v>
      </c>
      <c r="AT705" s="140">
        <v>0</v>
      </c>
      <c r="AU705" s="140">
        <v>0</v>
      </c>
      <c r="AV705" s="140">
        <v>2</v>
      </c>
      <c r="AW705" s="140">
        <v>1</v>
      </c>
      <c r="AX705" s="140">
        <v>0</v>
      </c>
      <c r="AY705" s="140">
        <v>0</v>
      </c>
      <c r="AZ705" s="140">
        <v>0</v>
      </c>
      <c r="BA705" s="140">
        <v>0</v>
      </c>
      <c r="BB705" s="140">
        <v>0</v>
      </c>
      <c r="BC705" s="140">
        <v>0</v>
      </c>
      <c r="BD705" s="140">
        <v>0</v>
      </c>
      <c r="BE705" s="140">
        <v>0</v>
      </c>
      <c r="BF705" s="140">
        <v>0</v>
      </c>
      <c r="BG705" s="140">
        <v>0</v>
      </c>
      <c r="BH705" s="140">
        <v>0</v>
      </c>
      <c r="BI705" s="140">
        <v>0</v>
      </c>
      <c r="BJ705" s="140">
        <v>0</v>
      </c>
      <c r="BK705" s="140">
        <v>0</v>
      </c>
      <c r="BL705" s="140">
        <v>0</v>
      </c>
      <c r="BM705" s="140">
        <v>0</v>
      </c>
      <c r="BN705" s="140">
        <v>0</v>
      </c>
      <c r="BO705" s="140">
        <v>0</v>
      </c>
      <c r="BP705" s="43" t="s">
        <v>140</v>
      </c>
      <c r="BT705" s="43" t="s">
        <v>329</v>
      </c>
      <c r="BX705" s="43">
        <v>15</v>
      </c>
      <c r="BZ705" s="90">
        <f t="shared" si="81"/>
        <v>1</v>
      </c>
      <c r="CA705" s="90">
        <f t="shared" si="81"/>
        <v>1</v>
      </c>
      <c r="CB705" s="90">
        <f t="shared" si="81"/>
        <v>1</v>
      </c>
      <c r="CT705" s="90">
        <f t="shared" si="69"/>
        <v>3</v>
      </c>
      <c r="CU705" s="90">
        <f t="shared" si="70"/>
        <v>3</v>
      </c>
    </row>
    <row r="706" spans="1:99" ht="12" customHeight="1">
      <c r="A706" s="43">
        <v>5923</v>
      </c>
      <c r="B706" s="89" t="s">
        <v>1515</v>
      </c>
      <c r="C706" s="89" t="s">
        <v>1975</v>
      </c>
      <c r="D706" s="89" t="s">
        <v>1976</v>
      </c>
      <c r="F706" s="43">
        <v>528084</v>
      </c>
      <c r="G706" s="43">
        <v>173918</v>
      </c>
      <c r="H706" s="89" t="s">
        <v>173</v>
      </c>
      <c r="K706" s="140">
        <v>1</v>
      </c>
      <c r="L706" s="140">
        <v>2</v>
      </c>
      <c r="M706" s="140">
        <v>1</v>
      </c>
      <c r="N706" s="140">
        <v>2</v>
      </c>
      <c r="O706" s="140">
        <v>1</v>
      </c>
      <c r="Q706" s="89" t="s">
        <v>1977</v>
      </c>
      <c r="R706" s="43" t="s">
        <v>316</v>
      </c>
      <c r="S706" s="125">
        <v>42125</v>
      </c>
      <c r="T706" s="117">
        <v>42207</v>
      </c>
      <c r="V706" s="43" t="s">
        <v>317</v>
      </c>
      <c r="X706" s="43" t="s">
        <v>318</v>
      </c>
      <c r="Y706" s="43" t="s">
        <v>319</v>
      </c>
      <c r="Z706" s="43" t="s">
        <v>320</v>
      </c>
      <c r="AA706" s="43" t="s">
        <v>321</v>
      </c>
      <c r="AB706" s="144">
        <v>8.0000003799796104E-3</v>
      </c>
      <c r="AF706" s="43" t="s">
        <v>54</v>
      </c>
      <c r="AG706" s="43" t="s">
        <v>1978</v>
      </c>
      <c r="AJ706" s="140">
        <v>0</v>
      </c>
      <c r="AK706" s="140">
        <v>0</v>
      </c>
      <c r="AL706" s="140">
        <v>0</v>
      </c>
      <c r="AM706" s="140">
        <v>0</v>
      </c>
      <c r="AN706" s="140">
        <v>2</v>
      </c>
      <c r="AO706" s="140">
        <v>0</v>
      </c>
      <c r="AP706" s="140">
        <v>0</v>
      </c>
      <c r="AQ706" s="140">
        <v>-1</v>
      </c>
      <c r="AR706" s="140">
        <v>0</v>
      </c>
      <c r="AS706" s="140">
        <v>0</v>
      </c>
      <c r="AT706" s="140">
        <v>0</v>
      </c>
      <c r="AU706" s="140">
        <v>2</v>
      </c>
      <c r="AV706" s="140">
        <v>0</v>
      </c>
      <c r="AW706" s="140">
        <v>0</v>
      </c>
      <c r="AX706" s="140">
        <v>-1</v>
      </c>
      <c r="AY706" s="140">
        <v>0</v>
      </c>
      <c r="AZ706" s="140">
        <v>0</v>
      </c>
      <c r="BA706" s="140">
        <v>0</v>
      </c>
      <c r="BB706" s="140">
        <v>0</v>
      </c>
      <c r="BC706" s="140">
        <v>0</v>
      </c>
      <c r="BD706" s="140">
        <v>0</v>
      </c>
      <c r="BE706" s="140">
        <v>0</v>
      </c>
      <c r="BF706" s="140">
        <v>0</v>
      </c>
      <c r="BG706" s="140">
        <v>0</v>
      </c>
      <c r="BH706" s="140">
        <v>0</v>
      </c>
      <c r="BI706" s="140">
        <v>0</v>
      </c>
      <c r="BJ706" s="140">
        <v>0</v>
      </c>
      <c r="BK706" s="140">
        <v>0</v>
      </c>
      <c r="BL706" s="140">
        <v>0</v>
      </c>
      <c r="BM706" s="140">
        <v>0</v>
      </c>
      <c r="BN706" s="140">
        <v>0</v>
      </c>
      <c r="BO706" s="140">
        <v>0</v>
      </c>
      <c r="BX706" s="43">
        <v>15</v>
      </c>
      <c r="BZ706" s="90">
        <f t="shared" si="81"/>
        <v>0.33333333333333331</v>
      </c>
      <c r="CA706" s="90">
        <f t="shared" si="81"/>
        <v>0.33333333333333331</v>
      </c>
      <c r="CB706" s="90">
        <f t="shared" si="81"/>
        <v>0.33333333333333331</v>
      </c>
      <c r="CT706" s="90">
        <f t="shared" ref="CT706:CT769" si="82">SUM(BZ706:CD706)</f>
        <v>1</v>
      </c>
      <c r="CU706" s="90">
        <f t="shared" ref="CU706:CU769" si="83">SUM(BZ706:CI706)</f>
        <v>1</v>
      </c>
    </row>
    <row r="707" spans="1:99" ht="12" customHeight="1">
      <c r="A707" s="43">
        <v>5956</v>
      </c>
      <c r="B707" s="89" t="s">
        <v>1515</v>
      </c>
      <c r="C707" s="89" t="s">
        <v>1979</v>
      </c>
      <c r="D707" s="89" t="s">
        <v>1980</v>
      </c>
      <c r="F707" s="43">
        <v>523775</v>
      </c>
      <c r="G707" s="43">
        <v>175783</v>
      </c>
      <c r="H707" s="89" t="s">
        <v>178</v>
      </c>
      <c r="K707" s="140">
        <v>1</v>
      </c>
      <c r="L707" s="140">
        <v>1</v>
      </c>
      <c r="M707" s="140">
        <v>0</v>
      </c>
      <c r="N707" s="140">
        <v>1</v>
      </c>
      <c r="O707" s="140">
        <v>0</v>
      </c>
      <c r="Q707" s="89" t="s">
        <v>1981</v>
      </c>
      <c r="R707" s="43" t="s">
        <v>316</v>
      </c>
      <c r="S707" s="125">
        <v>43731</v>
      </c>
      <c r="T707" s="117">
        <v>43767</v>
      </c>
      <c r="U707" s="43" t="s">
        <v>329</v>
      </c>
      <c r="V707" s="43" t="s">
        <v>317</v>
      </c>
      <c r="X707" s="43" t="s">
        <v>318</v>
      </c>
      <c r="Y707" s="43" t="s">
        <v>348</v>
      </c>
      <c r="Z707" s="43" t="s">
        <v>320</v>
      </c>
      <c r="AA707" s="43" t="s">
        <v>321</v>
      </c>
      <c r="AB707" s="144">
        <v>7.0000002160668399E-3</v>
      </c>
      <c r="AF707" s="43" t="s">
        <v>75</v>
      </c>
      <c r="AG707" s="43" t="s">
        <v>322</v>
      </c>
      <c r="AJ707" s="140">
        <v>0</v>
      </c>
      <c r="AK707" s="140">
        <v>0</v>
      </c>
      <c r="AL707" s="140">
        <v>0</v>
      </c>
      <c r="AM707" s="140">
        <v>0</v>
      </c>
      <c r="AN707" s="140">
        <v>0</v>
      </c>
      <c r="AO707" s="140">
        <v>0</v>
      </c>
      <c r="AP707" s="140">
        <v>0</v>
      </c>
      <c r="AQ707" s="140">
        <v>-1</v>
      </c>
      <c r="AR707" s="140">
        <v>1</v>
      </c>
      <c r="AS707" s="140">
        <v>0</v>
      </c>
      <c r="AT707" s="140">
        <v>0</v>
      </c>
      <c r="AU707" s="140">
        <v>0</v>
      </c>
      <c r="AV707" s="140">
        <v>0</v>
      </c>
      <c r="AW707" s="140">
        <v>0</v>
      </c>
      <c r="AX707" s="140">
        <v>-1</v>
      </c>
      <c r="AY707" s="140">
        <v>1</v>
      </c>
      <c r="AZ707" s="140">
        <v>0</v>
      </c>
      <c r="BA707" s="140">
        <v>0</v>
      </c>
      <c r="BB707" s="140">
        <v>0</v>
      </c>
      <c r="BC707" s="140">
        <v>0</v>
      </c>
      <c r="BD707" s="140">
        <v>0</v>
      </c>
      <c r="BE707" s="140">
        <v>0</v>
      </c>
      <c r="BF707" s="140">
        <v>0</v>
      </c>
      <c r="BG707" s="140">
        <v>0</v>
      </c>
      <c r="BH707" s="140">
        <v>0</v>
      </c>
      <c r="BI707" s="140">
        <v>0</v>
      </c>
      <c r="BJ707" s="140">
        <v>0</v>
      </c>
      <c r="BK707" s="140">
        <v>0</v>
      </c>
      <c r="BL707" s="140">
        <v>0</v>
      </c>
      <c r="BM707" s="140">
        <v>0</v>
      </c>
      <c r="BN707" s="140">
        <v>0</v>
      </c>
      <c r="BO707" s="140">
        <v>0</v>
      </c>
      <c r="BX707" s="43">
        <v>15</v>
      </c>
      <c r="BZ707" s="90">
        <f t="shared" si="81"/>
        <v>0</v>
      </c>
      <c r="CA707" s="90">
        <f t="shared" si="81"/>
        <v>0</v>
      </c>
      <c r="CB707" s="90">
        <f t="shared" si="81"/>
        <v>0</v>
      </c>
      <c r="CT707" s="90">
        <f t="shared" si="82"/>
        <v>0</v>
      </c>
      <c r="CU707" s="90">
        <f t="shared" si="83"/>
        <v>0</v>
      </c>
    </row>
    <row r="708" spans="1:99" ht="12" customHeight="1">
      <c r="A708" s="43">
        <v>5958</v>
      </c>
      <c r="B708" s="89" t="s">
        <v>1515</v>
      </c>
      <c r="C708" s="89" t="s">
        <v>1982</v>
      </c>
      <c r="D708" s="89" t="s">
        <v>1983</v>
      </c>
      <c r="F708" s="43">
        <v>527576</v>
      </c>
      <c r="G708" s="43">
        <v>171713</v>
      </c>
      <c r="H708" s="89" t="s">
        <v>141</v>
      </c>
      <c r="K708" s="140">
        <v>0</v>
      </c>
      <c r="L708" s="140">
        <v>2</v>
      </c>
      <c r="M708" s="140">
        <v>2</v>
      </c>
      <c r="N708" s="140">
        <v>4</v>
      </c>
      <c r="O708" s="140">
        <v>2</v>
      </c>
      <c r="Q708" s="89" t="s">
        <v>1984</v>
      </c>
      <c r="R708" s="43" t="s">
        <v>316</v>
      </c>
      <c r="S708" s="125">
        <v>42423</v>
      </c>
      <c r="T708" s="117">
        <v>42478</v>
      </c>
      <c r="V708" s="43" t="s">
        <v>317</v>
      </c>
      <c r="X708" s="43" t="s">
        <v>318</v>
      </c>
      <c r="Y708" s="43" t="s">
        <v>319</v>
      </c>
      <c r="Z708" s="43" t="s">
        <v>320</v>
      </c>
      <c r="AA708" s="43" t="s">
        <v>353</v>
      </c>
      <c r="AB708" s="144">
        <v>4.9999998882412902E-3</v>
      </c>
      <c r="AF708" s="43" t="s">
        <v>75</v>
      </c>
      <c r="AG708" s="43" t="s">
        <v>322</v>
      </c>
      <c r="AJ708" s="140">
        <v>0</v>
      </c>
      <c r="AK708" s="140">
        <v>0</v>
      </c>
      <c r="AL708" s="140">
        <v>0</v>
      </c>
      <c r="AM708" s="140">
        <v>0</v>
      </c>
      <c r="AN708" s="140">
        <v>0</v>
      </c>
      <c r="AO708" s="140">
        <v>2</v>
      </c>
      <c r="AP708" s="140">
        <v>0</v>
      </c>
      <c r="AQ708" s="140">
        <v>0</v>
      </c>
      <c r="AR708" s="140">
        <v>0</v>
      </c>
      <c r="AS708" s="140">
        <v>0</v>
      </c>
      <c r="AT708" s="140">
        <v>0</v>
      </c>
      <c r="AU708" s="140">
        <v>0</v>
      </c>
      <c r="AV708" s="140">
        <v>2</v>
      </c>
      <c r="AW708" s="140">
        <v>0</v>
      </c>
      <c r="AX708" s="140">
        <v>0</v>
      </c>
      <c r="AY708" s="140">
        <v>0</v>
      </c>
      <c r="AZ708" s="140">
        <v>0</v>
      </c>
      <c r="BA708" s="140">
        <v>0</v>
      </c>
      <c r="BB708" s="140">
        <v>0</v>
      </c>
      <c r="BC708" s="140">
        <v>0</v>
      </c>
      <c r="BD708" s="140">
        <v>0</v>
      </c>
      <c r="BE708" s="140">
        <v>0</v>
      </c>
      <c r="BF708" s="140">
        <v>0</v>
      </c>
      <c r="BG708" s="140">
        <v>0</v>
      </c>
      <c r="BH708" s="140">
        <v>0</v>
      </c>
      <c r="BI708" s="140">
        <v>0</v>
      </c>
      <c r="BJ708" s="140">
        <v>0</v>
      </c>
      <c r="BK708" s="140">
        <v>0</v>
      </c>
      <c r="BL708" s="140">
        <v>0</v>
      </c>
      <c r="BM708" s="140">
        <v>0</v>
      </c>
      <c r="BN708" s="140">
        <v>0</v>
      </c>
      <c r="BO708" s="140">
        <v>0</v>
      </c>
      <c r="BP708" s="43" t="s">
        <v>141</v>
      </c>
      <c r="BX708" s="43">
        <v>15</v>
      </c>
      <c r="BZ708" s="90">
        <f t="shared" si="81"/>
        <v>0.66666666666666663</v>
      </c>
      <c r="CA708" s="90">
        <f t="shared" si="81"/>
        <v>0.66666666666666663</v>
      </c>
      <c r="CB708" s="90">
        <f t="shared" si="81"/>
        <v>0.66666666666666663</v>
      </c>
      <c r="CT708" s="90">
        <f t="shared" si="82"/>
        <v>2</v>
      </c>
      <c r="CU708" s="90">
        <f t="shared" si="83"/>
        <v>2</v>
      </c>
    </row>
    <row r="709" spans="1:99" ht="12" customHeight="1">
      <c r="A709" s="43">
        <v>5958</v>
      </c>
      <c r="B709" s="89" t="s">
        <v>1515</v>
      </c>
      <c r="C709" s="89" t="s">
        <v>1982</v>
      </c>
      <c r="D709" s="89" t="s">
        <v>1983</v>
      </c>
      <c r="F709" s="43">
        <v>527576</v>
      </c>
      <c r="G709" s="43">
        <v>171713</v>
      </c>
      <c r="H709" s="89" t="s">
        <v>141</v>
      </c>
      <c r="K709" s="140">
        <v>2</v>
      </c>
      <c r="L709" s="140">
        <v>2</v>
      </c>
      <c r="M709" s="140">
        <v>0</v>
      </c>
      <c r="N709" s="140">
        <v>4</v>
      </c>
      <c r="O709" s="140">
        <v>2</v>
      </c>
      <c r="Q709" s="89" t="s">
        <v>1984</v>
      </c>
      <c r="R709" s="43" t="s">
        <v>316</v>
      </c>
      <c r="S709" s="125">
        <v>42423</v>
      </c>
      <c r="T709" s="117">
        <v>42478</v>
      </c>
      <c r="V709" s="43" t="s">
        <v>317</v>
      </c>
      <c r="X709" s="43" t="s">
        <v>318</v>
      </c>
      <c r="Y709" s="43" t="s">
        <v>319</v>
      </c>
      <c r="Z709" s="43" t="s">
        <v>320</v>
      </c>
      <c r="AA709" s="43" t="s">
        <v>321</v>
      </c>
      <c r="AB709" s="144">
        <v>4.9999998882412902E-3</v>
      </c>
      <c r="AF709" s="43" t="s">
        <v>75</v>
      </c>
      <c r="AG709" s="43" t="s">
        <v>322</v>
      </c>
      <c r="AJ709" s="140">
        <v>0</v>
      </c>
      <c r="AK709" s="140">
        <v>0</v>
      </c>
      <c r="AL709" s="140">
        <v>0</v>
      </c>
      <c r="AM709" s="140">
        <v>0</v>
      </c>
      <c r="AN709" s="140">
        <v>0</v>
      </c>
      <c r="AO709" s="140">
        <v>1</v>
      </c>
      <c r="AP709" s="140">
        <v>-2</v>
      </c>
      <c r="AQ709" s="140">
        <v>1</v>
      </c>
      <c r="AR709" s="140">
        <v>0</v>
      </c>
      <c r="AS709" s="140">
        <v>0</v>
      </c>
      <c r="AT709" s="140">
        <v>0</v>
      </c>
      <c r="AU709" s="140">
        <v>0</v>
      </c>
      <c r="AV709" s="140">
        <v>1</v>
      </c>
      <c r="AW709" s="140">
        <v>-2</v>
      </c>
      <c r="AX709" s="140">
        <v>1</v>
      </c>
      <c r="AY709" s="140">
        <v>0</v>
      </c>
      <c r="AZ709" s="140">
        <v>0</v>
      </c>
      <c r="BA709" s="140">
        <v>0</v>
      </c>
      <c r="BB709" s="140">
        <v>0</v>
      </c>
      <c r="BC709" s="140">
        <v>0</v>
      </c>
      <c r="BD709" s="140">
        <v>0</v>
      </c>
      <c r="BE709" s="140">
        <v>0</v>
      </c>
      <c r="BF709" s="140">
        <v>0</v>
      </c>
      <c r="BG709" s="140">
        <v>0</v>
      </c>
      <c r="BH709" s="140">
        <v>0</v>
      </c>
      <c r="BI709" s="140">
        <v>0</v>
      </c>
      <c r="BJ709" s="140">
        <v>0</v>
      </c>
      <c r="BK709" s="140">
        <v>0</v>
      </c>
      <c r="BL709" s="140">
        <v>0</v>
      </c>
      <c r="BM709" s="140">
        <v>0</v>
      </c>
      <c r="BN709" s="140">
        <v>0</v>
      </c>
      <c r="BO709" s="140">
        <v>0</v>
      </c>
      <c r="BP709" s="43" t="s">
        <v>141</v>
      </c>
      <c r="BX709" s="43">
        <v>15</v>
      </c>
      <c r="BZ709" s="90">
        <f t="shared" si="81"/>
        <v>0</v>
      </c>
      <c r="CA709" s="90">
        <f t="shared" si="81"/>
        <v>0</v>
      </c>
      <c r="CB709" s="90">
        <f t="shared" si="81"/>
        <v>0</v>
      </c>
      <c r="CT709" s="90">
        <f t="shared" si="82"/>
        <v>0</v>
      </c>
      <c r="CU709" s="90">
        <f t="shared" si="83"/>
        <v>0</v>
      </c>
    </row>
    <row r="710" spans="1:99" ht="12" customHeight="1">
      <c r="A710" s="43">
        <v>5966</v>
      </c>
      <c r="B710" s="89" t="s">
        <v>1515</v>
      </c>
      <c r="C710" s="89" t="s">
        <v>1985</v>
      </c>
      <c r="D710" s="89" t="s">
        <v>1986</v>
      </c>
      <c r="E710" s="89" t="s">
        <v>1987</v>
      </c>
      <c r="F710" s="43">
        <v>527304</v>
      </c>
      <c r="G710" s="43">
        <v>177160</v>
      </c>
      <c r="H710" s="89" t="s">
        <v>177</v>
      </c>
      <c r="I710" s="125">
        <v>42825</v>
      </c>
      <c r="K710" s="140">
        <v>0</v>
      </c>
      <c r="L710" s="140">
        <v>1</v>
      </c>
      <c r="M710" s="140">
        <v>1</v>
      </c>
      <c r="N710" s="140">
        <v>2</v>
      </c>
      <c r="O710" s="140">
        <v>2</v>
      </c>
      <c r="Q710" s="89" t="s">
        <v>1988</v>
      </c>
      <c r="R710" s="43" t="s">
        <v>620</v>
      </c>
      <c r="S710" s="125">
        <v>42351</v>
      </c>
      <c r="T710" s="117">
        <v>42443</v>
      </c>
      <c r="V710" s="43" t="s">
        <v>317</v>
      </c>
      <c r="X710" s="43" t="s">
        <v>318</v>
      </c>
      <c r="Y710" s="43" t="s">
        <v>336</v>
      </c>
      <c r="Z710" s="43" t="s">
        <v>320</v>
      </c>
      <c r="AA710" s="43" t="s">
        <v>33</v>
      </c>
      <c r="AB710" s="144">
        <v>2.0000000949949E-3</v>
      </c>
      <c r="AF710" s="43" t="s">
        <v>75</v>
      </c>
      <c r="AG710" s="43" t="s">
        <v>322</v>
      </c>
      <c r="AJ710" s="140">
        <v>0</v>
      </c>
      <c r="AK710" s="140">
        <v>0</v>
      </c>
      <c r="AL710" s="140">
        <v>0</v>
      </c>
      <c r="AM710" s="140">
        <v>0</v>
      </c>
      <c r="AN710" s="140">
        <v>1</v>
      </c>
      <c r="AO710" s="140">
        <v>0</v>
      </c>
      <c r="AP710" s="140">
        <v>0</v>
      </c>
      <c r="AQ710" s="140">
        <v>0</v>
      </c>
      <c r="AR710" s="140">
        <v>0</v>
      </c>
      <c r="AS710" s="140">
        <v>0</v>
      </c>
      <c r="AT710" s="140">
        <v>0</v>
      </c>
      <c r="AU710" s="140">
        <v>1</v>
      </c>
      <c r="AV710" s="140">
        <v>0</v>
      </c>
      <c r="AW710" s="140">
        <v>0</v>
      </c>
      <c r="AX710" s="140">
        <v>0</v>
      </c>
      <c r="AY710" s="140">
        <v>0</v>
      </c>
      <c r="AZ710" s="140">
        <v>0</v>
      </c>
      <c r="BA710" s="140">
        <v>0</v>
      </c>
      <c r="BB710" s="140">
        <v>0</v>
      </c>
      <c r="BC710" s="140">
        <v>0</v>
      </c>
      <c r="BD710" s="140">
        <v>0</v>
      </c>
      <c r="BE710" s="140">
        <v>0</v>
      </c>
      <c r="BF710" s="140">
        <v>0</v>
      </c>
      <c r="BG710" s="140">
        <v>0</v>
      </c>
      <c r="BH710" s="140">
        <v>0</v>
      </c>
      <c r="BI710" s="140">
        <v>0</v>
      </c>
      <c r="BJ710" s="140">
        <v>0</v>
      </c>
      <c r="BK710" s="140">
        <v>0</v>
      </c>
      <c r="BL710" s="140">
        <v>0</v>
      </c>
      <c r="BM710" s="140">
        <v>0</v>
      </c>
      <c r="BN710" s="140">
        <v>0</v>
      </c>
      <c r="BO710" s="140">
        <v>0</v>
      </c>
      <c r="BV710" s="43" t="s">
        <v>329</v>
      </c>
      <c r="BX710" s="43">
        <v>15</v>
      </c>
      <c r="BZ710" s="90">
        <f t="shared" si="81"/>
        <v>0.33333333333333331</v>
      </c>
      <c r="CA710" s="90">
        <f t="shared" si="81"/>
        <v>0.33333333333333331</v>
      </c>
      <c r="CB710" s="90">
        <f t="shared" si="81"/>
        <v>0.33333333333333331</v>
      </c>
      <c r="CT710" s="90">
        <f t="shared" si="82"/>
        <v>1</v>
      </c>
      <c r="CU710" s="90">
        <f t="shared" si="83"/>
        <v>1</v>
      </c>
    </row>
    <row r="711" spans="1:99" ht="12" customHeight="1">
      <c r="A711" s="43">
        <v>5995</v>
      </c>
      <c r="B711" s="89" t="s">
        <v>1515</v>
      </c>
      <c r="C711" s="89" t="s">
        <v>1989</v>
      </c>
      <c r="D711" s="89" t="s">
        <v>1990</v>
      </c>
      <c r="F711" s="43">
        <v>521248</v>
      </c>
      <c r="G711" s="43">
        <v>174669</v>
      </c>
      <c r="H711" s="89" t="s">
        <v>149</v>
      </c>
      <c r="K711" s="140">
        <v>1</v>
      </c>
      <c r="L711" s="140">
        <v>1</v>
      </c>
      <c r="M711" s="140">
        <v>0</v>
      </c>
      <c r="N711" s="140">
        <v>1</v>
      </c>
      <c r="O711" s="140">
        <v>0</v>
      </c>
      <c r="Q711" s="89" t="s">
        <v>1991</v>
      </c>
      <c r="R711" s="43" t="s">
        <v>316</v>
      </c>
      <c r="S711" s="125">
        <v>43686</v>
      </c>
      <c r="T711" s="117">
        <v>43734</v>
      </c>
      <c r="U711" s="43" t="s">
        <v>329</v>
      </c>
      <c r="V711" s="43" t="s">
        <v>317</v>
      </c>
      <c r="X711" s="43" t="s">
        <v>318</v>
      </c>
      <c r="Y711" s="43" t="s">
        <v>361</v>
      </c>
      <c r="Z711" s="43" t="s">
        <v>320</v>
      </c>
      <c r="AA711" s="43" t="s">
        <v>353</v>
      </c>
      <c r="AB711" s="144">
        <v>0.123000003397465</v>
      </c>
      <c r="AF711" s="43" t="s">
        <v>75</v>
      </c>
      <c r="AG711" s="43" t="s">
        <v>322</v>
      </c>
      <c r="AJ711" s="140">
        <v>0</v>
      </c>
      <c r="AK711" s="140">
        <v>0</v>
      </c>
      <c r="AL711" s="140">
        <v>0</v>
      </c>
      <c r="AM711" s="140">
        <v>0</v>
      </c>
      <c r="AN711" s="140">
        <v>0</v>
      </c>
      <c r="AO711" s="140">
        <v>0</v>
      </c>
      <c r="AP711" s="140">
        <v>0</v>
      </c>
      <c r="AQ711" s="140">
        <v>0</v>
      </c>
      <c r="AR711" s="140">
        <v>0</v>
      </c>
      <c r="AS711" s="140">
        <v>0</v>
      </c>
      <c r="AT711" s="140">
        <v>0</v>
      </c>
      <c r="AU711" s="140">
        <v>0</v>
      </c>
      <c r="AV711" s="140">
        <v>0</v>
      </c>
      <c r="AW711" s="140">
        <v>0</v>
      </c>
      <c r="AX711" s="140">
        <v>0</v>
      </c>
      <c r="AY711" s="140">
        <v>0</v>
      </c>
      <c r="AZ711" s="140">
        <v>0</v>
      </c>
      <c r="BA711" s="140">
        <v>0</v>
      </c>
      <c r="BB711" s="140">
        <v>0</v>
      </c>
      <c r="BC711" s="140">
        <v>0</v>
      </c>
      <c r="BD711" s="140">
        <v>0</v>
      </c>
      <c r="BE711" s="140">
        <v>0</v>
      </c>
      <c r="BF711" s="140">
        <v>0</v>
      </c>
      <c r="BG711" s="140">
        <v>0</v>
      </c>
      <c r="BH711" s="140">
        <v>0</v>
      </c>
      <c r="BI711" s="140">
        <v>0</v>
      </c>
      <c r="BJ711" s="140">
        <v>0</v>
      </c>
      <c r="BK711" s="140">
        <v>0</v>
      </c>
      <c r="BL711" s="140">
        <v>0</v>
      </c>
      <c r="BM711" s="140">
        <v>0</v>
      </c>
      <c r="BN711" s="140">
        <v>0</v>
      </c>
      <c r="BO711" s="140">
        <v>0</v>
      </c>
      <c r="BX711" s="43">
        <v>6</v>
      </c>
      <c r="CA711" s="90">
        <f>$M711/4</f>
        <v>0</v>
      </c>
      <c r="CB711" s="90">
        <f>$M711/4</f>
        <v>0</v>
      </c>
      <c r="CC711" s="90">
        <f>$M711/4</f>
        <v>0</v>
      </c>
      <c r="CD711" s="90">
        <f>$M711/4</f>
        <v>0</v>
      </c>
      <c r="CT711" s="90">
        <f t="shared" si="82"/>
        <v>0</v>
      </c>
      <c r="CU711" s="90">
        <f t="shared" si="83"/>
        <v>0</v>
      </c>
    </row>
    <row r="712" spans="1:99" ht="12" customHeight="1">
      <c r="A712" s="43">
        <v>6016</v>
      </c>
      <c r="B712" s="89" t="s">
        <v>1515</v>
      </c>
      <c r="C712" s="89" t="s">
        <v>1992</v>
      </c>
      <c r="D712" s="89" t="s">
        <v>1993</v>
      </c>
      <c r="F712" s="43">
        <v>525206</v>
      </c>
      <c r="G712" s="43">
        <v>173428</v>
      </c>
      <c r="H712" s="89" t="s">
        <v>176</v>
      </c>
      <c r="K712" s="140">
        <v>0</v>
      </c>
      <c r="L712" s="140">
        <v>2</v>
      </c>
      <c r="M712" s="140">
        <v>2</v>
      </c>
      <c r="N712" s="140">
        <v>2</v>
      </c>
      <c r="O712" s="140">
        <v>2</v>
      </c>
      <c r="Q712" s="89" t="s">
        <v>1994</v>
      </c>
      <c r="R712" s="43" t="s">
        <v>620</v>
      </c>
      <c r="S712" s="125">
        <v>43549</v>
      </c>
      <c r="T712" s="117">
        <v>43599</v>
      </c>
      <c r="U712" s="43" t="s">
        <v>329</v>
      </c>
      <c r="V712" s="43" t="s">
        <v>317</v>
      </c>
      <c r="X712" s="43" t="s">
        <v>318</v>
      </c>
      <c r="Y712" s="43" t="s">
        <v>336</v>
      </c>
      <c r="Z712" s="43" t="s">
        <v>320</v>
      </c>
      <c r="AA712" s="43" t="s">
        <v>30</v>
      </c>
      <c r="AB712" s="144">
        <v>3.0000000260770299E-3</v>
      </c>
      <c r="AF712" s="43" t="s">
        <v>75</v>
      </c>
      <c r="AG712" s="43" t="s">
        <v>322</v>
      </c>
      <c r="AJ712" s="140">
        <v>0</v>
      </c>
      <c r="AK712" s="140">
        <v>0</v>
      </c>
      <c r="AL712" s="140">
        <v>0</v>
      </c>
      <c r="AM712" s="140">
        <v>0</v>
      </c>
      <c r="AN712" s="140">
        <v>0</v>
      </c>
      <c r="AO712" s="140">
        <v>2</v>
      </c>
      <c r="AP712" s="140">
        <v>0</v>
      </c>
      <c r="AQ712" s="140">
        <v>0</v>
      </c>
      <c r="AR712" s="140">
        <v>0</v>
      </c>
      <c r="AS712" s="140">
        <v>0</v>
      </c>
      <c r="AT712" s="140">
        <v>0</v>
      </c>
      <c r="AU712" s="140">
        <v>0</v>
      </c>
      <c r="AV712" s="140">
        <v>2</v>
      </c>
      <c r="AW712" s="140">
        <v>0</v>
      </c>
      <c r="AX712" s="140">
        <v>0</v>
      </c>
      <c r="AY712" s="140">
        <v>0</v>
      </c>
      <c r="AZ712" s="140">
        <v>0</v>
      </c>
      <c r="BA712" s="140">
        <v>0</v>
      </c>
      <c r="BB712" s="140">
        <v>0</v>
      </c>
      <c r="BC712" s="140">
        <v>0</v>
      </c>
      <c r="BD712" s="140">
        <v>0</v>
      </c>
      <c r="BE712" s="140">
        <v>0</v>
      </c>
      <c r="BF712" s="140">
        <v>0</v>
      </c>
      <c r="BG712" s="140">
        <v>0</v>
      </c>
      <c r="BH712" s="140">
        <v>0</v>
      </c>
      <c r="BI712" s="140">
        <v>0</v>
      </c>
      <c r="BJ712" s="140">
        <v>0</v>
      </c>
      <c r="BK712" s="140">
        <v>0</v>
      </c>
      <c r="BL712" s="140">
        <v>0</v>
      </c>
      <c r="BM712" s="140">
        <v>0</v>
      </c>
      <c r="BN712" s="140">
        <v>0</v>
      </c>
      <c r="BO712" s="140">
        <v>0</v>
      </c>
      <c r="BX712" s="43">
        <v>15</v>
      </c>
      <c r="BZ712" s="90">
        <f>$M712/3</f>
        <v>0.66666666666666663</v>
      </c>
      <c r="CA712" s="90">
        <f>$M712/3</f>
        <v>0.66666666666666663</v>
      </c>
      <c r="CB712" s="90">
        <f>$M712/3</f>
        <v>0.66666666666666663</v>
      </c>
      <c r="CT712" s="90">
        <f t="shared" si="82"/>
        <v>2</v>
      </c>
      <c r="CU712" s="90">
        <f t="shared" si="83"/>
        <v>2</v>
      </c>
    </row>
    <row r="713" spans="1:99" ht="12" customHeight="1">
      <c r="A713" s="43">
        <v>6017</v>
      </c>
      <c r="B713" s="89" t="s">
        <v>1515</v>
      </c>
      <c r="C713" s="89" t="s">
        <v>1995</v>
      </c>
      <c r="D713" s="89" t="s">
        <v>1996</v>
      </c>
      <c r="F713" s="43">
        <v>527837</v>
      </c>
      <c r="G713" s="43">
        <v>172151</v>
      </c>
      <c r="H713" s="89" t="s">
        <v>141</v>
      </c>
      <c r="K713" s="140">
        <v>0</v>
      </c>
      <c r="L713" s="140">
        <v>1</v>
      </c>
      <c r="M713" s="140">
        <v>1</v>
      </c>
      <c r="N713" s="140">
        <v>1</v>
      </c>
      <c r="O713" s="140">
        <v>1</v>
      </c>
      <c r="Q713" s="89" t="s">
        <v>1997</v>
      </c>
      <c r="R713" s="43" t="s">
        <v>316</v>
      </c>
      <c r="S713" s="125">
        <v>42615</v>
      </c>
      <c r="T713" s="117">
        <v>42702</v>
      </c>
      <c r="V713" s="43" t="s">
        <v>317</v>
      </c>
      <c r="X713" s="43" t="s">
        <v>318</v>
      </c>
      <c r="Y713" s="43" t="s">
        <v>361</v>
      </c>
      <c r="Z713" s="43" t="s">
        <v>320</v>
      </c>
      <c r="AA713" s="43" t="s">
        <v>353</v>
      </c>
      <c r="AB713" s="144">
        <v>3.5999998450279201E-2</v>
      </c>
      <c r="AF713" s="43" t="s">
        <v>75</v>
      </c>
      <c r="AG713" s="43" t="s">
        <v>322</v>
      </c>
      <c r="AJ713" s="140">
        <v>0</v>
      </c>
      <c r="AK713" s="140">
        <v>0</v>
      </c>
      <c r="AL713" s="140">
        <v>0</v>
      </c>
      <c r="AM713" s="140">
        <v>0</v>
      </c>
      <c r="AN713" s="140">
        <v>0</v>
      </c>
      <c r="AO713" s="140">
        <v>1</v>
      </c>
      <c r="AP713" s="140">
        <v>0</v>
      </c>
      <c r="AQ713" s="140">
        <v>0</v>
      </c>
      <c r="AR713" s="140">
        <v>0</v>
      </c>
      <c r="AS713" s="140">
        <v>0</v>
      </c>
      <c r="AT713" s="140">
        <v>0</v>
      </c>
      <c r="AU713" s="140">
        <v>0</v>
      </c>
      <c r="AV713" s="140">
        <v>0</v>
      </c>
      <c r="AW713" s="140">
        <v>0</v>
      </c>
      <c r="AX713" s="140">
        <v>0</v>
      </c>
      <c r="AY713" s="140">
        <v>0</v>
      </c>
      <c r="AZ713" s="140">
        <v>0</v>
      </c>
      <c r="BA713" s="140">
        <v>0</v>
      </c>
      <c r="BB713" s="140">
        <v>0</v>
      </c>
      <c r="BC713" s="140">
        <v>1</v>
      </c>
      <c r="BD713" s="140">
        <v>0</v>
      </c>
      <c r="BE713" s="140">
        <v>0</v>
      </c>
      <c r="BF713" s="140">
        <v>0</v>
      </c>
      <c r="BG713" s="140">
        <v>0</v>
      </c>
      <c r="BH713" s="140">
        <v>0</v>
      </c>
      <c r="BI713" s="140">
        <v>0</v>
      </c>
      <c r="BJ713" s="140">
        <v>0</v>
      </c>
      <c r="BK713" s="140">
        <v>0</v>
      </c>
      <c r="BL713" s="140">
        <v>0</v>
      </c>
      <c r="BM713" s="140">
        <v>0</v>
      </c>
      <c r="BN713" s="140">
        <v>0</v>
      </c>
      <c r="BO713" s="140">
        <v>0</v>
      </c>
      <c r="BX713" s="43">
        <v>6</v>
      </c>
      <c r="CA713" s="90">
        <f t="shared" ref="CA713:CD714" si="84">$M713/4</f>
        <v>0.25</v>
      </c>
      <c r="CB713" s="90">
        <f t="shared" si="84"/>
        <v>0.25</v>
      </c>
      <c r="CC713" s="90">
        <f t="shared" si="84"/>
        <v>0.25</v>
      </c>
      <c r="CD713" s="90">
        <f t="shared" si="84"/>
        <v>0.25</v>
      </c>
      <c r="CT713" s="90">
        <f t="shared" si="82"/>
        <v>1</v>
      </c>
      <c r="CU713" s="90">
        <f t="shared" si="83"/>
        <v>1</v>
      </c>
    </row>
    <row r="714" spans="1:99" ht="12" customHeight="1">
      <c r="A714" s="43">
        <v>6030</v>
      </c>
      <c r="B714" s="89" t="s">
        <v>1515</v>
      </c>
      <c r="C714" s="89" t="s">
        <v>1998</v>
      </c>
      <c r="D714" s="89" t="s">
        <v>1999</v>
      </c>
      <c r="F714" s="43">
        <v>522262</v>
      </c>
      <c r="G714" s="43">
        <v>173980</v>
      </c>
      <c r="H714" s="89" t="s">
        <v>149</v>
      </c>
      <c r="K714" s="140">
        <v>0</v>
      </c>
      <c r="L714" s="140">
        <v>2</v>
      </c>
      <c r="M714" s="140">
        <v>2</v>
      </c>
      <c r="N714" s="140">
        <v>2</v>
      </c>
      <c r="O714" s="140">
        <v>2</v>
      </c>
      <c r="Q714" s="89" t="s">
        <v>2000</v>
      </c>
      <c r="R714" s="43" t="s">
        <v>316</v>
      </c>
      <c r="S714" s="125">
        <v>42810</v>
      </c>
      <c r="T714" s="117">
        <v>43278</v>
      </c>
      <c r="V714" s="43" t="s">
        <v>317</v>
      </c>
      <c r="X714" s="43" t="s">
        <v>318</v>
      </c>
      <c r="Y714" s="43" t="s">
        <v>361</v>
      </c>
      <c r="Z714" s="43" t="s">
        <v>320</v>
      </c>
      <c r="AA714" s="43" t="s">
        <v>353</v>
      </c>
      <c r="AB714" s="144">
        <v>6.8000003695488004E-2</v>
      </c>
      <c r="AF714" s="43" t="s">
        <v>75</v>
      </c>
      <c r="AG714" s="43" t="s">
        <v>322</v>
      </c>
      <c r="AJ714" s="140">
        <v>0</v>
      </c>
      <c r="AK714" s="140">
        <v>0</v>
      </c>
      <c r="AL714" s="140">
        <v>0</v>
      </c>
      <c r="AM714" s="140">
        <v>0</v>
      </c>
      <c r="AN714" s="140">
        <v>0</v>
      </c>
      <c r="AO714" s="140">
        <v>0</v>
      </c>
      <c r="AP714" s="140">
        <v>0</v>
      </c>
      <c r="AQ714" s="140">
        <v>0</v>
      </c>
      <c r="AR714" s="140">
        <v>0</v>
      </c>
      <c r="AS714" s="140">
        <v>2</v>
      </c>
      <c r="AT714" s="140">
        <v>0</v>
      </c>
      <c r="AU714" s="140">
        <v>0</v>
      </c>
      <c r="AV714" s="140">
        <v>0</v>
      </c>
      <c r="AW714" s="140">
        <v>0</v>
      </c>
      <c r="AX714" s="140">
        <v>0</v>
      </c>
      <c r="AY714" s="140">
        <v>0</v>
      </c>
      <c r="AZ714" s="140">
        <v>0</v>
      </c>
      <c r="BA714" s="140">
        <v>0</v>
      </c>
      <c r="BB714" s="140">
        <v>0</v>
      </c>
      <c r="BC714" s="140">
        <v>0</v>
      </c>
      <c r="BD714" s="140">
        <v>0</v>
      </c>
      <c r="BE714" s="140">
        <v>0</v>
      </c>
      <c r="BF714" s="140">
        <v>0</v>
      </c>
      <c r="BG714" s="140">
        <v>2</v>
      </c>
      <c r="BH714" s="140">
        <v>0</v>
      </c>
      <c r="BI714" s="140">
        <v>0</v>
      </c>
      <c r="BJ714" s="140">
        <v>0</v>
      </c>
      <c r="BK714" s="140">
        <v>0</v>
      </c>
      <c r="BL714" s="140">
        <v>0</v>
      </c>
      <c r="BM714" s="140">
        <v>0</v>
      </c>
      <c r="BN714" s="140">
        <v>0</v>
      </c>
      <c r="BO714" s="140">
        <v>0</v>
      </c>
      <c r="BX714" s="43">
        <v>6</v>
      </c>
      <c r="CA714" s="90">
        <f t="shared" si="84"/>
        <v>0.5</v>
      </c>
      <c r="CB714" s="90">
        <f t="shared" si="84"/>
        <v>0.5</v>
      </c>
      <c r="CC714" s="90">
        <f t="shared" si="84"/>
        <v>0.5</v>
      </c>
      <c r="CD714" s="90">
        <f t="shared" si="84"/>
        <v>0.5</v>
      </c>
      <c r="CT714" s="90">
        <f t="shared" si="82"/>
        <v>2</v>
      </c>
      <c r="CU714" s="90">
        <f t="shared" si="83"/>
        <v>2</v>
      </c>
    </row>
    <row r="715" spans="1:99" ht="12" customHeight="1">
      <c r="A715" s="43">
        <v>6032</v>
      </c>
      <c r="B715" s="89" t="s">
        <v>1515</v>
      </c>
      <c r="C715" s="89" t="s">
        <v>2001</v>
      </c>
      <c r="D715" s="89" t="s">
        <v>2002</v>
      </c>
      <c r="F715" s="43">
        <v>524386</v>
      </c>
      <c r="G715" s="43">
        <v>175298</v>
      </c>
      <c r="H715" s="89" t="s">
        <v>178</v>
      </c>
      <c r="K715" s="140">
        <v>0</v>
      </c>
      <c r="L715" s="140">
        <v>1</v>
      </c>
      <c r="M715" s="140">
        <v>1</v>
      </c>
      <c r="N715" s="140">
        <v>1</v>
      </c>
      <c r="O715" s="140">
        <v>1</v>
      </c>
      <c r="Q715" s="89" t="s">
        <v>2003</v>
      </c>
      <c r="R715" s="43" t="s">
        <v>443</v>
      </c>
      <c r="S715" s="125">
        <v>43314</v>
      </c>
      <c r="T715" s="117">
        <v>43364</v>
      </c>
      <c r="V715" s="43" t="s">
        <v>317</v>
      </c>
      <c r="X715" s="43" t="s">
        <v>318</v>
      </c>
      <c r="Y715" s="43" t="s">
        <v>336</v>
      </c>
      <c r="Z715" s="43" t="s">
        <v>320</v>
      </c>
      <c r="AA715" s="43" t="s">
        <v>30</v>
      </c>
      <c r="AB715" s="144">
        <v>8.0000003799796104E-3</v>
      </c>
      <c r="AF715" s="43" t="s">
        <v>75</v>
      </c>
      <c r="AG715" s="43" t="s">
        <v>322</v>
      </c>
      <c r="AJ715" s="140">
        <v>0</v>
      </c>
      <c r="AK715" s="140">
        <v>0</v>
      </c>
      <c r="AL715" s="140">
        <v>0</v>
      </c>
      <c r="AM715" s="140">
        <v>0</v>
      </c>
      <c r="AN715" s="140">
        <v>0</v>
      </c>
      <c r="AO715" s="140">
        <v>0</v>
      </c>
      <c r="AP715" s="140">
        <v>1</v>
      </c>
      <c r="AQ715" s="140">
        <v>0</v>
      </c>
      <c r="AR715" s="140">
        <v>0</v>
      </c>
      <c r="AS715" s="140">
        <v>0</v>
      </c>
      <c r="AT715" s="140">
        <v>0</v>
      </c>
      <c r="AU715" s="140">
        <v>0</v>
      </c>
      <c r="AV715" s="140">
        <v>0</v>
      </c>
      <c r="AW715" s="140">
        <v>1</v>
      </c>
      <c r="AX715" s="140">
        <v>0</v>
      </c>
      <c r="AY715" s="140">
        <v>0</v>
      </c>
      <c r="AZ715" s="140">
        <v>0</v>
      </c>
      <c r="BA715" s="140">
        <v>0</v>
      </c>
      <c r="BB715" s="140">
        <v>0</v>
      </c>
      <c r="BC715" s="140">
        <v>0</v>
      </c>
      <c r="BD715" s="140">
        <v>0</v>
      </c>
      <c r="BE715" s="140">
        <v>0</v>
      </c>
      <c r="BF715" s="140">
        <v>0</v>
      </c>
      <c r="BG715" s="140">
        <v>0</v>
      </c>
      <c r="BH715" s="140">
        <v>0</v>
      </c>
      <c r="BI715" s="140">
        <v>0</v>
      </c>
      <c r="BJ715" s="140">
        <v>0</v>
      </c>
      <c r="BK715" s="140">
        <v>0</v>
      </c>
      <c r="BL715" s="140">
        <v>0</v>
      </c>
      <c r="BM715" s="140">
        <v>0</v>
      </c>
      <c r="BN715" s="140">
        <v>0</v>
      </c>
      <c r="BO715" s="140">
        <v>0</v>
      </c>
      <c r="BX715" s="43">
        <v>15</v>
      </c>
      <c r="BZ715" s="90">
        <f t="shared" ref="BZ715:CE720" si="85">$M715/3</f>
        <v>0.33333333333333331</v>
      </c>
      <c r="CA715" s="90">
        <f t="shared" si="85"/>
        <v>0.33333333333333331</v>
      </c>
      <c r="CB715" s="90">
        <f t="shared" si="85"/>
        <v>0.33333333333333331</v>
      </c>
      <c r="CT715" s="90">
        <f t="shared" si="82"/>
        <v>1</v>
      </c>
      <c r="CU715" s="90">
        <f t="shared" si="83"/>
        <v>1</v>
      </c>
    </row>
    <row r="716" spans="1:99" ht="12" customHeight="1">
      <c r="A716" s="43">
        <v>6035</v>
      </c>
      <c r="B716" s="89" t="s">
        <v>1515</v>
      </c>
      <c r="C716" s="89" t="s">
        <v>2004</v>
      </c>
      <c r="D716" s="89" t="s">
        <v>2005</v>
      </c>
      <c r="F716" s="43">
        <v>524786</v>
      </c>
      <c r="G716" s="43">
        <v>175120</v>
      </c>
      <c r="H716" s="89" t="s">
        <v>178</v>
      </c>
      <c r="K716" s="140">
        <v>0</v>
      </c>
      <c r="L716" s="140">
        <v>1</v>
      </c>
      <c r="M716" s="140">
        <v>1</v>
      </c>
      <c r="N716" s="140">
        <v>1</v>
      </c>
      <c r="O716" s="140">
        <v>1</v>
      </c>
      <c r="Q716" s="89" t="s">
        <v>2006</v>
      </c>
      <c r="R716" s="43" t="s">
        <v>443</v>
      </c>
      <c r="S716" s="125">
        <v>42752</v>
      </c>
      <c r="T716" s="117">
        <v>42808</v>
      </c>
      <c r="V716" s="43" t="s">
        <v>317</v>
      </c>
      <c r="X716" s="43" t="s">
        <v>318</v>
      </c>
      <c r="Y716" s="43" t="s">
        <v>336</v>
      </c>
      <c r="Z716" s="43" t="s">
        <v>320</v>
      </c>
      <c r="AA716" s="43" t="s">
        <v>33</v>
      </c>
      <c r="AB716" s="144">
        <v>4.0000001899898104E-3</v>
      </c>
      <c r="AF716" s="43" t="s">
        <v>75</v>
      </c>
      <c r="AG716" s="43" t="s">
        <v>322</v>
      </c>
      <c r="AJ716" s="140">
        <v>0</v>
      </c>
      <c r="AK716" s="140">
        <v>0</v>
      </c>
      <c r="AL716" s="140">
        <v>0</v>
      </c>
      <c r="AM716" s="140">
        <v>0</v>
      </c>
      <c r="AN716" s="140">
        <v>0</v>
      </c>
      <c r="AO716" s="140">
        <v>1</v>
      </c>
      <c r="AP716" s="140">
        <v>0</v>
      </c>
      <c r="AQ716" s="140">
        <v>0</v>
      </c>
      <c r="AR716" s="140">
        <v>0</v>
      </c>
      <c r="AS716" s="140">
        <v>0</v>
      </c>
      <c r="AT716" s="140">
        <v>0</v>
      </c>
      <c r="AU716" s="140">
        <v>0</v>
      </c>
      <c r="AV716" s="140">
        <v>1</v>
      </c>
      <c r="AW716" s="140">
        <v>0</v>
      </c>
      <c r="AX716" s="140">
        <v>0</v>
      </c>
      <c r="AY716" s="140">
        <v>0</v>
      </c>
      <c r="AZ716" s="140">
        <v>0</v>
      </c>
      <c r="BA716" s="140">
        <v>0</v>
      </c>
      <c r="BB716" s="140">
        <v>0</v>
      </c>
      <c r="BC716" s="140">
        <v>0</v>
      </c>
      <c r="BD716" s="140">
        <v>0</v>
      </c>
      <c r="BE716" s="140">
        <v>0</v>
      </c>
      <c r="BF716" s="140">
        <v>0</v>
      </c>
      <c r="BG716" s="140">
        <v>0</v>
      </c>
      <c r="BH716" s="140">
        <v>0</v>
      </c>
      <c r="BI716" s="140">
        <v>0</v>
      </c>
      <c r="BJ716" s="140">
        <v>0</v>
      </c>
      <c r="BK716" s="140">
        <v>0</v>
      </c>
      <c r="BL716" s="140">
        <v>0</v>
      </c>
      <c r="BM716" s="140">
        <v>0</v>
      </c>
      <c r="BN716" s="140">
        <v>0</v>
      </c>
      <c r="BO716" s="140">
        <v>0</v>
      </c>
      <c r="BX716" s="43">
        <v>15</v>
      </c>
      <c r="BZ716" s="90">
        <f t="shared" si="85"/>
        <v>0.33333333333333331</v>
      </c>
      <c r="CA716" s="90">
        <f t="shared" si="85"/>
        <v>0.33333333333333331</v>
      </c>
      <c r="CB716" s="90">
        <f t="shared" si="85"/>
        <v>0.33333333333333331</v>
      </c>
      <c r="CT716" s="90">
        <f t="shared" si="82"/>
        <v>1</v>
      </c>
      <c r="CU716" s="90">
        <f t="shared" si="83"/>
        <v>1</v>
      </c>
    </row>
    <row r="717" spans="1:99" ht="12" customHeight="1">
      <c r="A717" s="43">
        <v>6059</v>
      </c>
      <c r="B717" s="89" t="s">
        <v>1515</v>
      </c>
      <c r="C717" s="89" t="s">
        <v>2007</v>
      </c>
      <c r="D717" s="89" t="s">
        <v>2008</v>
      </c>
      <c r="F717" s="43">
        <v>522113</v>
      </c>
      <c r="G717" s="43">
        <v>175402</v>
      </c>
      <c r="H717" s="89" t="s">
        <v>181</v>
      </c>
      <c r="K717" s="140">
        <v>1</v>
      </c>
      <c r="L717" s="140">
        <v>3</v>
      </c>
      <c r="M717" s="140">
        <v>2</v>
      </c>
      <c r="N717" s="140">
        <v>3</v>
      </c>
      <c r="O717" s="140">
        <v>2</v>
      </c>
      <c r="Q717" s="89" t="s">
        <v>2009</v>
      </c>
      <c r="R717" s="43" t="s">
        <v>316</v>
      </c>
      <c r="S717" s="125">
        <v>43350</v>
      </c>
      <c r="T717" s="117">
        <v>43406</v>
      </c>
      <c r="V717" s="43" t="s">
        <v>317</v>
      </c>
      <c r="X717" s="43" t="s">
        <v>318</v>
      </c>
      <c r="Y717" s="43" t="s">
        <v>319</v>
      </c>
      <c r="Z717" s="43" t="s">
        <v>320</v>
      </c>
      <c r="AA717" s="43" t="s">
        <v>20</v>
      </c>
      <c r="AB717" s="144">
        <v>2.8000000864267301E-2</v>
      </c>
      <c r="AF717" s="43" t="s">
        <v>75</v>
      </c>
      <c r="AG717" s="43" t="s">
        <v>322</v>
      </c>
      <c r="AJ717" s="140">
        <v>0</v>
      </c>
      <c r="AK717" s="140">
        <v>0</v>
      </c>
      <c r="AL717" s="140">
        <v>0</v>
      </c>
      <c r="AM717" s="140">
        <v>0</v>
      </c>
      <c r="AN717" s="140">
        <v>0</v>
      </c>
      <c r="AO717" s="140">
        <v>1</v>
      </c>
      <c r="AP717" s="140">
        <v>1</v>
      </c>
      <c r="AQ717" s="140">
        <v>1</v>
      </c>
      <c r="AR717" s="140">
        <v>0</v>
      </c>
      <c r="AS717" s="140">
        <v>-1</v>
      </c>
      <c r="AT717" s="140">
        <v>0</v>
      </c>
      <c r="AU717" s="140">
        <v>0</v>
      </c>
      <c r="AV717" s="140">
        <v>1</v>
      </c>
      <c r="AW717" s="140">
        <v>1</v>
      </c>
      <c r="AX717" s="140">
        <v>1</v>
      </c>
      <c r="AY717" s="140">
        <v>0</v>
      </c>
      <c r="AZ717" s="140">
        <v>0</v>
      </c>
      <c r="BA717" s="140">
        <v>0</v>
      </c>
      <c r="BB717" s="140">
        <v>0</v>
      </c>
      <c r="BC717" s="140">
        <v>0</v>
      </c>
      <c r="BD717" s="140">
        <v>0</v>
      </c>
      <c r="BE717" s="140">
        <v>0</v>
      </c>
      <c r="BF717" s="140">
        <v>0</v>
      </c>
      <c r="BG717" s="140">
        <v>-1</v>
      </c>
      <c r="BH717" s="140">
        <v>0</v>
      </c>
      <c r="BI717" s="140">
        <v>0</v>
      </c>
      <c r="BJ717" s="140">
        <v>0</v>
      </c>
      <c r="BK717" s="140">
        <v>0</v>
      </c>
      <c r="BL717" s="140">
        <v>0</v>
      </c>
      <c r="BM717" s="140">
        <v>0</v>
      </c>
      <c r="BN717" s="140">
        <v>0</v>
      </c>
      <c r="BO717" s="140">
        <v>0</v>
      </c>
      <c r="BX717" s="43">
        <v>15</v>
      </c>
      <c r="BZ717" s="90">
        <f t="shared" si="85"/>
        <v>0.66666666666666663</v>
      </c>
      <c r="CA717" s="90">
        <f t="shared" si="85"/>
        <v>0.66666666666666663</v>
      </c>
      <c r="CB717" s="90">
        <f t="shared" si="85"/>
        <v>0.66666666666666663</v>
      </c>
      <c r="CT717" s="90">
        <f t="shared" si="82"/>
        <v>2</v>
      </c>
      <c r="CU717" s="90">
        <f t="shared" si="83"/>
        <v>2</v>
      </c>
    </row>
    <row r="718" spans="1:99" ht="12" customHeight="1">
      <c r="A718" s="43">
        <v>6088</v>
      </c>
      <c r="B718" s="89" t="s">
        <v>1515</v>
      </c>
      <c r="C718" s="89" t="s">
        <v>2010</v>
      </c>
      <c r="D718" s="89" t="s">
        <v>2011</v>
      </c>
      <c r="F718" s="43">
        <v>527736</v>
      </c>
      <c r="G718" s="43">
        <v>172067</v>
      </c>
      <c r="H718" s="89" t="s">
        <v>141</v>
      </c>
      <c r="K718" s="140">
        <v>0</v>
      </c>
      <c r="L718" s="140">
        <v>1</v>
      </c>
      <c r="M718" s="140">
        <v>1</v>
      </c>
      <c r="N718" s="140">
        <v>1</v>
      </c>
      <c r="O718" s="140">
        <v>1</v>
      </c>
      <c r="Q718" s="89" t="s">
        <v>2012</v>
      </c>
      <c r="R718" s="43" t="s">
        <v>316</v>
      </c>
      <c r="S718" s="125">
        <v>43600</v>
      </c>
      <c r="T718" s="117">
        <v>43788</v>
      </c>
      <c r="U718" s="43" t="s">
        <v>329</v>
      </c>
      <c r="V718" s="43" t="s">
        <v>317</v>
      </c>
      <c r="X718" s="43" t="s">
        <v>318</v>
      </c>
      <c r="Y718" s="43" t="s">
        <v>336</v>
      </c>
      <c r="Z718" s="43" t="s">
        <v>320</v>
      </c>
      <c r="AA718" s="43" t="s">
        <v>30</v>
      </c>
      <c r="AB718" s="144">
        <v>3.0000000260770299E-3</v>
      </c>
      <c r="AF718" s="43" t="s">
        <v>75</v>
      </c>
      <c r="AG718" s="43" t="s">
        <v>322</v>
      </c>
      <c r="AJ718" s="140">
        <v>0</v>
      </c>
      <c r="AK718" s="140">
        <v>0</v>
      </c>
      <c r="AL718" s="140">
        <v>0</v>
      </c>
      <c r="AM718" s="140">
        <v>0</v>
      </c>
      <c r="AN718" s="140">
        <v>1</v>
      </c>
      <c r="AO718" s="140">
        <v>0</v>
      </c>
      <c r="AP718" s="140">
        <v>0</v>
      </c>
      <c r="AQ718" s="140">
        <v>0</v>
      </c>
      <c r="AR718" s="140">
        <v>0</v>
      </c>
      <c r="AS718" s="140">
        <v>0</v>
      </c>
      <c r="AT718" s="140">
        <v>0</v>
      </c>
      <c r="AU718" s="140">
        <v>1</v>
      </c>
      <c r="AV718" s="140">
        <v>0</v>
      </c>
      <c r="AW718" s="140">
        <v>0</v>
      </c>
      <c r="AX718" s="140">
        <v>0</v>
      </c>
      <c r="AY718" s="140">
        <v>0</v>
      </c>
      <c r="AZ718" s="140">
        <v>0</v>
      </c>
      <c r="BA718" s="140">
        <v>0</v>
      </c>
      <c r="BB718" s="140">
        <v>0</v>
      </c>
      <c r="BC718" s="140">
        <v>0</v>
      </c>
      <c r="BD718" s="140">
        <v>0</v>
      </c>
      <c r="BE718" s="140">
        <v>0</v>
      </c>
      <c r="BF718" s="140">
        <v>0</v>
      </c>
      <c r="BG718" s="140">
        <v>0</v>
      </c>
      <c r="BH718" s="140">
        <v>0</v>
      </c>
      <c r="BI718" s="140">
        <v>0</v>
      </c>
      <c r="BJ718" s="140">
        <v>0</v>
      </c>
      <c r="BK718" s="140">
        <v>0</v>
      </c>
      <c r="BL718" s="140">
        <v>0</v>
      </c>
      <c r="BM718" s="140">
        <v>0</v>
      </c>
      <c r="BN718" s="140">
        <v>0</v>
      </c>
      <c r="BO718" s="140">
        <v>0</v>
      </c>
      <c r="BX718" s="43">
        <v>15</v>
      </c>
      <c r="BZ718" s="90">
        <f t="shared" si="85"/>
        <v>0.33333333333333331</v>
      </c>
      <c r="CA718" s="90">
        <f t="shared" si="85"/>
        <v>0.33333333333333331</v>
      </c>
      <c r="CB718" s="90">
        <f t="shared" si="85"/>
        <v>0.33333333333333331</v>
      </c>
      <c r="CT718" s="90">
        <f t="shared" si="82"/>
        <v>1</v>
      </c>
      <c r="CU718" s="90">
        <f t="shared" si="83"/>
        <v>1</v>
      </c>
    </row>
    <row r="719" spans="1:99" ht="12" customHeight="1">
      <c r="A719" s="43">
        <v>6149</v>
      </c>
      <c r="B719" s="89" t="s">
        <v>1515</v>
      </c>
      <c r="C719" s="89" t="s">
        <v>2013</v>
      </c>
      <c r="D719" s="89" t="s">
        <v>2014</v>
      </c>
      <c r="F719" s="43">
        <v>525867</v>
      </c>
      <c r="G719" s="43">
        <v>172948</v>
      </c>
      <c r="H719" s="89" t="s">
        <v>176</v>
      </c>
      <c r="K719" s="140">
        <v>0</v>
      </c>
      <c r="L719" s="140">
        <v>9</v>
      </c>
      <c r="M719" s="140">
        <v>9</v>
      </c>
      <c r="N719" s="140">
        <v>9</v>
      </c>
      <c r="O719" s="140">
        <v>9</v>
      </c>
      <c r="Q719" s="89" t="s">
        <v>2015</v>
      </c>
      <c r="R719" s="43" t="s">
        <v>392</v>
      </c>
      <c r="S719" s="125">
        <v>43146</v>
      </c>
      <c r="T719" s="117">
        <v>43553</v>
      </c>
      <c r="V719" s="43" t="s">
        <v>317</v>
      </c>
      <c r="X719" s="43" t="s">
        <v>318</v>
      </c>
      <c r="Y719" s="43" t="s">
        <v>361</v>
      </c>
      <c r="Z719" s="43" t="s">
        <v>320</v>
      </c>
      <c r="AA719" s="43" t="s">
        <v>353</v>
      </c>
      <c r="AB719" s="144">
        <v>5.0999999999999997E-2</v>
      </c>
      <c r="AF719" s="43" t="s">
        <v>75</v>
      </c>
      <c r="AG719" s="43" t="s">
        <v>322</v>
      </c>
      <c r="AJ719" s="140">
        <v>0</v>
      </c>
      <c r="AK719" s="140">
        <v>8</v>
      </c>
      <c r="AL719" s="140">
        <v>0</v>
      </c>
      <c r="AM719" s="140">
        <v>1</v>
      </c>
      <c r="AN719" s="140">
        <v>0</v>
      </c>
      <c r="AO719" s="140">
        <v>1</v>
      </c>
      <c r="AP719" s="140">
        <v>7</v>
      </c>
      <c r="AQ719" s="140">
        <v>1</v>
      </c>
      <c r="AR719" s="140">
        <v>0</v>
      </c>
      <c r="AS719" s="140">
        <v>0</v>
      </c>
      <c r="AT719" s="140">
        <v>0</v>
      </c>
      <c r="AU719" s="140">
        <v>0</v>
      </c>
      <c r="AV719" s="140">
        <v>1</v>
      </c>
      <c r="AW719" s="140">
        <v>7</v>
      </c>
      <c r="AX719" s="140">
        <v>1</v>
      </c>
      <c r="AY719" s="140">
        <v>0</v>
      </c>
      <c r="AZ719" s="140">
        <v>0</v>
      </c>
      <c r="BA719" s="140">
        <v>0</v>
      </c>
      <c r="BB719" s="140">
        <v>0</v>
      </c>
      <c r="BC719" s="140">
        <v>0</v>
      </c>
      <c r="BD719" s="140">
        <v>0</v>
      </c>
      <c r="BE719" s="140">
        <v>0</v>
      </c>
      <c r="BF719" s="140">
        <v>0</v>
      </c>
      <c r="BG719" s="140">
        <v>0</v>
      </c>
      <c r="BH719" s="140">
        <v>0</v>
      </c>
      <c r="BI719" s="140">
        <v>0</v>
      </c>
      <c r="BJ719" s="140">
        <v>0</v>
      </c>
      <c r="BK719" s="140">
        <v>0</v>
      </c>
      <c r="BL719" s="140">
        <v>0</v>
      </c>
      <c r="BM719" s="140">
        <v>0</v>
      </c>
      <c r="BN719" s="140">
        <v>0</v>
      </c>
      <c r="BO719" s="140">
        <v>0</v>
      </c>
      <c r="BW719" s="43" t="s">
        <v>329</v>
      </c>
      <c r="BX719" s="43">
        <v>9</v>
      </c>
      <c r="BZ719" s="89"/>
      <c r="CA719" s="89"/>
      <c r="CB719" s="89"/>
      <c r="CC719" s="90">
        <f t="shared" si="85"/>
        <v>3</v>
      </c>
      <c r="CD719" s="90">
        <f t="shared" si="85"/>
        <v>3</v>
      </c>
      <c r="CE719" s="90">
        <f t="shared" si="85"/>
        <v>3</v>
      </c>
      <c r="CT719" s="90">
        <f t="shared" si="82"/>
        <v>6</v>
      </c>
      <c r="CU719" s="90">
        <f t="shared" si="83"/>
        <v>9</v>
      </c>
    </row>
    <row r="720" spans="1:99" ht="12" customHeight="1">
      <c r="A720" s="43">
        <v>6161</v>
      </c>
      <c r="B720" s="89" t="s">
        <v>1515</v>
      </c>
      <c r="C720" s="89" t="s">
        <v>2016</v>
      </c>
      <c r="D720" s="89" t="s">
        <v>2017</v>
      </c>
      <c r="F720" s="43">
        <v>524221</v>
      </c>
      <c r="G720" s="43">
        <v>173791</v>
      </c>
      <c r="H720" s="89" t="s">
        <v>180</v>
      </c>
      <c r="K720" s="140">
        <v>1</v>
      </c>
      <c r="L720" s="140">
        <v>2</v>
      </c>
      <c r="M720" s="140">
        <v>1</v>
      </c>
      <c r="N720" s="140">
        <v>2</v>
      </c>
      <c r="O720" s="140">
        <v>1</v>
      </c>
      <c r="Q720" s="89" t="s">
        <v>2018</v>
      </c>
      <c r="R720" s="43" t="s">
        <v>316</v>
      </c>
      <c r="S720" s="125">
        <v>42375</v>
      </c>
      <c r="T720" s="117">
        <v>42600</v>
      </c>
      <c r="V720" s="43" t="s">
        <v>317</v>
      </c>
      <c r="X720" s="43" t="s">
        <v>318</v>
      </c>
      <c r="Y720" s="43" t="s">
        <v>348</v>
      </c>
      <c r="Z720" s="43" t="s">
        <v>320</v>
      </c>
      <c r="AA720" s="43" t="s">
        <v>20</v>
      </c>
      <c r="AB720" s="144">
        <v>4.6999998390674598E-2</v>
      </c>
      <c r="AF720" s="43" t="s">
        <v>75</v>
      </c>
      <c r="AG720" s="43" t="s">
        <v>322</v>
      </c>
      <c r="AJ720" s="140">
        <v>0</v>
      </c>
      <c r="AK720" s="140">
        <v>0</v>
      </c>
      <c r="AL720" s="140">
        <v>0</v>
      </c>
      <c r="AM720" s="140">
        <v>0</v>
      </c>
      <c r="AN720" s="140">
        <v>0</v>
      </c>
      <c r="AO720" s="140">
        <v>1</v>
      </c>
      <c r="AP720" s="140">
        <v>0</v>
      </c>
      <c r="AQ720" s="140">
        <v>0</v>
      </c>
      <c r="AR720" s="140">
        <v>0</v>
      </c>
      <c r="AS720" s="140">
        <v>0</v>
      </c>
      <c r="AT720" s="140">
        <v>0</v>
      </c>
      <c r="AU720" s="140">
        <v>0</v>
      </c>
      <c r="AV720" s="140">
        <v>1</v>
      </c>
      <c r="AW720" s="140">
        <v>0</v>
      </c>
      <c r="AX720" s="140">
        <v>0</v>
      </c>
      <c r="AY720" s="140">
        <v>0</v>
      </c>
      <c r="AZ720" s="140">
        <v>1</v>
      </c>
      <c r="BA720" s="140">
        <v>0</v>
      </c>
      <c r="BB720" s="140">
        <v>0</v>
      </c>
      <c r="BC720" s="140">
        <v>0</v>
      </c>
      <c r="BD720" s="140">
        <v>0</v>
      </c>
      <c r="BE720" s="140">
        <v>0</v>
      </c>
      <c r="BF720" s="140">
        <v>0</v>
      </c>
      <c r="BG720" s="140">
        <v>-1</v>
      </c>
      <c r="BH720" s="140">
        <v>0</v>
      </c>
      <c r="BI720" s="140">
        <v>0</v>
      </c>
      <c r="BJ720" s="140">
        <v>0</v>
      </c>
      <c r="BK720" s="140">
        <v>0</v>
      </c>
      <c r="BL720" s="140">
        <v>0</v>
      </c>
      <c r="BM720" s="140">
        <v>0</v>
      </c>
      <c r="BN720" s="140">
        <v>0</v>
      </c>
      <c r="BO720" s="140">
        <v>0</v>
      </c>
      <c r="BX720" s="43">
        <v>15</v>
      </c>
      <c r="BZ720" s="90">
        <f t="shared" si="85"/>
        <v>0.33333333333333331</v>
      </c>
      <c r="CA720" s="90">
        <f t="shared" si="85"/>
        <v>0.33333333333333331</v>
      </c>
      <c r="CB720" s="90">
        <f t="shared" si="85"/>
        <v>0.33333333333333331</v>
      </c>
      <c r="CT720" s="90">
        <f t="shared" si="82"/>
        <v>1</v>
      </c>
      <c r="CU720" s="90">
        <f t="shared" si="83"/>
        <v>1</v>
      </c>
    </row>
    <row r="721" spans="1:99" ht="12" customHeight="1">
      <c r="A721" s="43">
        <v>6166</v>
      </c>
      <c r="B721" s="89" t="s">
        <v>1515</v>
      </c>
      <c r="C721" s="89" t="s">
        <v>2019</v>
      </c>
      <c r="D721" s="89" t="s">
        <v>2020</v>
      </c>
      <c r="F721" s="43">
        <v>527326</v>
      </c>
      <c r="G721" s="43">
        <v>171532</v>
      </c>
      <c r="H721" s="89" t="s">
        <v>141</v>
      </c>
      <c r="K721" s="140">
        <v>0</v>
      </c>
      <c r="L721" s="140">
        <v>1</v>
      </c>
      <c r="M721" s="140">
        <v>1</v>
      </c>
      <c r="N721" s="140">
        <v>1</v>
      </c>
      <c r="O721" s="140">
        <v>1</v>
      </c>
      <c r="Q721" s="89" t="s">
        <v>2021</v>
      </c>
      <c r="R721" s="43" t="s">
        <v>316</v>
      </c>
      <c r="S721" s="125">
        <v>43690</v>
      </c>
      <c r="T721" s="117">
        <v>43733</v>
      </c>
      <c r="U721" s="43" t="s">
        <v>329</v>
      </c>
      <c r="V721" s="43" t="s">
        <v>317</v>
      </c>
      <c r="X721" s="43" t="s">
        <v>413</v>
      </c>
      <c r="Y721" s="43" t="s">
        <v>361</v>
      </c>
      <c r="Z721" s="43" t="s">
        <v>320</v>
      </c>
      <c r="AA721" s="43" t="s">
        <v>353</v>
      </c>
      <c r="AB721" s="144">
        <v>8.9999996125698107E-3</v>
      </c>
      <c r="AF721" s="43" t="s">
        <v>75</v>
      </c>
      <c r="AG721" s="43" t="s">
        <v>322</v>
      </c>
      <c r="AJ721" s="140">
        <v>0</v>
      </c>
      <c r="AK721" s="140">
        <v>0</v>
      </c>
      <c r="AL721" s="140">
        <v>0</v>
      </c>
      <c r="AM721" s="140">
        <v>0</v>
      </c>
      <c r="AN721" s="140">
        <v>0</v>
      </c>
      <c r="AO721" s="140">
        <v>0</v>
      </c>
      <c r="AP721" s="140">
        <v>0</v>
      </c>
      <c r="AQ721" s="140">
        <v>1</v>
      </c>
      <c r="AR721" s="140">
        <v>0</v>
      </c>
      <c r="AS721" s="140">
        <v>0</v>
      </c>
      <c r="AT721" s="140">
        <v>0</v>
      </c>
      <c r="AU721" s="140">
        <v>0</v>
      </c>
      <c r="AV721" s="140">
        <v>0</v>
      </c>
      <c r="AW721" s="140">
        <v>0</v>
      </c>
      <c r="AX721" s="140">
        <v>0</v>
      </c>
      <c r="AY721" s="140">
        <v>0</v>
      </c>
      <c r="AZ721" s="140">
        <v>0</v>
      </c>
      <c r="BA721" s="140">
        <v>0</v>
      </c>
      <c r="BB721" s="140">
        <v>0</v>
      </c>
      <c r="BC721" s="140">
        <v>0</v>
      </c>
      <c r="BD721" s="140">
        <v>0</v>
      </c>
      <c r="BE721" s="140">
        <v>1</v>
      </c>
      <c r="BF721" s="140">
        <v>0</v>
      </c>
      <c r="BG721" s="140">
        <v>0</v>
      </c>
      <c r="BH721" s="140">
        <v>0</v>
      </c>
      <c r="BI721" s="140">
        <v>0</v>
      </c>
      <c r="BJ721" s="140">
        <v>0</v>
      </c>
      <c r="BK721" s="140">
        <v>0</v>
      </c>
      <c r="BL721" s="140">
        <v>0</v>
      </c>
      <c r="BM721" s="140">
        <v>0</v>
      </c>
      <c r="BN721" s="140">
        <v>0</v>
      </c>
      <c r="BO721" s="140">
        <v>0</v>
      </c>
      <c r="BX721" s="43">
        <v>6</v>
      </c>
      <c r="CA721" s="90">
        <f t="shared" ref="CA721:CD722" si="86">$M721/4</f>
        <v>0.25</v>
      </c>
      <c r="CB721" s="90">
        <f t="shared" si="86"/>
        <v>0.25</v>
      </c>
      <c r="CC721" s="90">
        <f t="shared" si="86"/>
        <v>0.25</v>
      </c>
      <c r="CD721" s="90">
        <f t="shared" si="86"/>
        <v>0.25</v>
      </c>
      <c r="CT721" s="90">
        <f t="shared" si="82"/>
        <v>1</v>
      </c>
      <c r="CU721" s="90">
        <f t="shared" si="83"/>
        <v>1</v>
      </c>
    </row>
    <row r="722" spans="1:99" ht="12" customHeight="1">
      <c r="A722" s="43">
        <v>6167</v>
      </c>
      <c r="B722" s="89" t="s">
        <v>1515</v>
      </c>
      <c r="C722" s="89" t="s">
        <v>2022</v>
      </c>
      <c r="D722" s="89" t="s">
        <v>2023</v>
      </c>
      <c r="F722" s="43">
        <v>527551</v>
      </c>
      <c r="G722" s="43">
        <v>174388</v>
      </c>
      <c r="H722" s="89" t="s">
        <v>174</v>
      </c>
      <c r="K722" s="140">
        <v>0</v>
      </c>
      <c r="L722" s="140">
        <v>1</v>
      </c>
      <c r="M722" s="140">
        <v>1</v>
      </c>
      <c r="N722" s="140">
        <v>1</v>
      </c>
      <c r="O722" s="140">
        <v>1</v>
      </c>
      <c r="Q722" s="89" t="s">
        <v>2024</v>
      </c>
      <c r="R722" s="43" t="s">
        <v>316</v>
      </c>
      <c r="S722" s="125">
        <v>43439</v>
      </c>
      <c r="T722" s="117">
        <v>43587</v>
      </c>
      <c r="U722" s="43" t="s">
        <v>329</v>
      </c>
      <c r="V722" s="43" t="s">
        <v>317</v>
      </c>
      <c r="X722" s="43" t="s">
        <v>318</v>
      </c>
      <c r="Y722" s="43" t="s">
        <v>361</v>
      </c>
      <c r="Z722" s="43" t="s">
        <v>320</v>
      </c>
      <c r="AA722" s="43" t="s">
        <v>353</v>
      </c>
      <c r="AB722" s="144">
        <v>1.7999999225139601E-2</v>
      </c>
      <c r="AF722" s="43" t="s">
        <v>75</v>
      </c>
      <c r="AG722" s="43" t="s">
        <v>322</v>
      </c>
      <c r="AJ722" s="140">
        <v>0</v>
      </c>
      <c r="AK722" s="140">
        <v>0</v>
      </c>
      <c r="AL722" s="140">
        <v>0</v>
      </c>
      <c r="AM722" s="140">
        <v>0</v>
      </c>
      <c r="AN722" s="140">
        <v>0</v>
      </c>
      <c r="AO722" s="140">
        <v>0</v>
      </c>
      <c r="AP722" s="140">
        <v>0</v>
      </c>
      <c r="AQ722" s="140">
        <v>0</v>
      </c>
      <c r="AR722" s="140">
        <v>1</v>
      </c>
      <c r="AS722" s="140">
        <v>0</v>
      </c>
      <c r="AT722" s="140">
        <v>0</v>
      </c>
      <c r="AU722" s="140">
        <v>0</v>
      </c>
      <c r="AV722" s="140">
        <v>0</v>
      </c>
      <c r="AW722" s="140">
        <v>0</v>
      </c>
      <c r="AX722" s="140">
        <v>0</v>
      </c>
      <c r="AY722" s="140">
        <v>0</v>
      </c>
      <c r="AZ722" s="140">
        <v>0</v>
      </c>
      <c r="BA722" s="140">
        <v>0</v>
      </c>
      <c r="BB722" s="140">
        <v>0</v>
      </c>
      <c r="BC722" s="140">
        <v>0</v>
      </c>
      <c r="BD722" s="140">
        <v>0</v>
      </c>
      <c r="BE722" s="140">
        <v>0</v>
      </c>
      <c r="BF722" s="140">
        <v>1</v>
      </c>
      <c r="BG722" s="140">
        <v>0</v>
      </c>
      <c r="BH722" s="140">
        <v>0</v>
      </c>
      <c r="BI722" s="140">
        <v>0</v>
      </c>
      <c r="BJ722" s="140">
        <v>0</v>
      </c>
      <c r="BK722" s="140">
        <v>0</v>
      </c>
      <c r="BL722" s="140">
        <v>0</v>
      </c>
      <c r="BM722" s="140">
        <v>0</v>
      </c>
      <c r="BN722" s="140">
        <v>0</v>
      </c>
      <c r="BO722" s="140">
        <v>0</v>
      </c>
      <c r="BX722" s="43">
        <v>6</v>
      </c>
      <c r="CA722" s="90">
        <f t="shared" si="86"/>
        <v>0.25</v>
      </c>
      <c r="CB722" s="90">
        <f t="shared" si="86"/>
        <v>0.25</v>
      </c>
      <c r="CC722" s="90">
        <f t="shared" si="86"/>
        <v>0.25</v>
      </c>
      <c r="CD722" s="90">
        <f t="shared" si="86"/>
        <v>0.25</v>
      </c>
      <c r="CT722" s="90">
        <f t="shared" si="82"/>
        <v>1</v>
      </c>
      <c r="CU722" s="90">
        <f t="shared" si="83"/>
        <v>1</v>
      </c>
    </row>
    <row r="723" spans="1:99" ht="12" customHeight="1">
      <c r="A723" s="43">
        <v>6176</v>
      </c>
      <c r="B723" s="89" t="s">
        <v>1515</v>
      </c>
      <c r="C723" s="89" t="s">
        <v>2025</v>
      </c>
      <c r="D723" s="89" t="s">
        <v>2026</v>
      </c>
      <c r="F723" s="43">
        <v>527289</v>
      </c>
      <c r="G723" s="43">
        <v>175257</v>
      </c>
      <c r="H723" s="89" t="s">
        <v>174</v>
      </c>
      <c r="K723" s="140">
        <v>1</v>
      </c>
      <c r="L723" s="140">
        <v>3</v>
      </c>
      <c r="M723" s="140">
        <v>2</v>
      </c>
      <c r="N723" s="140">
        <v>3</v>
      </c>
      <c r="O723" s="140">
        <v>2</v>
      </c>
      <c r="Q723" s="89" t="s">
        <v>2027</v>
      </c>
      <c r="R723" s="43" t="s">
        <v>316</v>
      </c>
      <c r="S723" s="125">
        <v>42395</v>
      </c>
      <c r="T723" s="117">
        <v>42570</v>
      </c>
      <c r="V723" s="43" t="s">
        <v>317</v>
      </c>
      <c r="X723" s="43" t="s">
        <v>318</v>
      </c>
      <c r="Y723" s="43" t="s">
        <v>319</v>
      </c>
      <c r="Z723" s="43" t="s">
        <v>320</v>
      </c>
      <c r="AA723" s="43" t="s">
        <v>20</v>
      </c>
      <c r="AB723" s="144">
        <v>1.30000002682209E-2</v>
      </c>
      <c r="AF723" s="43" t="s">
        <v>75</v>
      </c>
      <c r="AG723" s="43" t="s">
        <v>322</v>
      </c>
      <c r="AJ723" s="140">
        <v>0</v>
      </c>
      <c r="AK723" s="140">
        <v>0</v>
      </c>
      <c r="AL723" s="140">
        <v>0</v>
      </c>
      <c r="AM723" s="140">
        <v>0</v>
      </c>
      <c r="AN723" s="140">
        <v>0</v>
      </c>
      <c r="AO723" s="140">
        <v>1</v>
      </c>
      <c r="AP723" s="140">
        <v>0</v>
      </c>
      <c r="AQ723" s="140">
        <v>2</v>
      </c>
      <c r="AR723" s="140">
        <v>0</v>
      </c>
      <c r="AS723" s="140">
        <v>-1</v>
      </c>
      <c r="AT723" s="140">
        <v>0</v>
      </c>
      <c r="AU723" s="140">
        <v>0</v>
      </c>
      <c r="AV723" s="140">
        <v>1</v>
      </c>
      <c r="AW723" s="140">
        <v>0</v>
      </c>
      <c r="AX723" s="140">
        <v>2</v>
      </c>
      <c r="AY723" s="140">
        <v>0</v>
      </c>
      <c r="AZ723" s="140">
        <v>0</v>
      </c>
      <c r="BA723" s="140">
        <v>0</v>
      </c>
      <c r="BB723" s="140">
        <v>0</v>
      </c>
      <c r="BC723" s="140">
        <v>0</v>
      </c>
      <c r="BD723" s="140">
        <v>0</v>
      </c>
      <c r="BE723" s="140">
        <v>0</v>
      </c>
      <c r="BF723" s="140">
        <v>0</v>
      </c>
      <c r="BG723" s="140">
        <v>-1</v>
      </c>
      <c r="BH723" s="140">
        <v>0</v>
      </c>
      <c r="BI723" s="140">
        <v>0</v>
      </c>
      <c r="BJ723" s="140">
        <v>0</v>
      </c>
      <c r="BK723" s="140">
        <v>0</v>
      </c>
      <c r="BL723" s="140">
        <v>0</v>
      </c>
      <c r="BM723" s="140">
        <v>0</v>
      </c>
      <c r="BN723" s="140">
        <v>0</v>
      </c>
      <c r="BO723" s="140">
        <v>0</v>
      </c>
      <c r="BX723" s="43">
        <v>15</v>
      </c>
      <c r="BZ723" s="90">
        <f t="shared" ref="BZ723:CB727" si="87">$M723/3</f>
        <v>0.66666666666666663</v>
      </c>
      <c r="CA723" s="90">
        <f t="shared" si="87"/>
        <v>0.66666666666666663</v>
      </c>
      <c r="CB723" s="90">
        <f t="shared" si="87"/>
        <v>0.66666666666666663</v>
      </c>
      <c r="CT723" s="90">
        <f t="shared" si="82"/>
        <v>2</v>
      </c>
      <c r="CU723" s="90">
        <f t="shared" si="83"/>
        <v>2</v>
      </c>
    </row>
    <row r="724" spans="1:99" ht="12" customHeight="1">
      <c r="A724" s="43">
        <v>6177</v>
      </c>
      <c r="B724" s="89" t="s">
        <v>1515</v>
      </c>
      <c r="C724" s="89" t="s">
        <v>2028</v>
      </c>
      <c r="D724" s="89" t="s">
        <v>2029</v>
      </c>
      <c r="F724" s="43">
        <v>528158</v>
      </c>
      <c r="G724" s="43">
        <v>176681</v>
      </c>
      <c r="H724" s="89" t="s">
        <v>148</v>
      </c>
      <c r="K724" s="140">
        <v>1</v>
      </c>
      <c r="L724" s="140">
        <v>2</v>
      </c>
      <c r="M724" s="140">
        <v>1</v>
      </c>
      <c r="N724" s="140">
        <v>2</v>
      </c>
      <c r="O724" s="140">
        <v>1</v>
      </c>
      <c r="Q724" s="89" t="s">
        <v>2030</v>
      </c>
      <c r="R724" s="43" t="s">
        <v>316</v>
      </c>
      <c r="S724" s="125">
        <v>43126</v>
      </c>
      <c r="T724" s="117">
        <v>43182</v>
      </c>
      <c r="V724" s="43" t="s">
        <v>317</v>
      </c>
      <c r="X724" s="43" t="s">
        <v>318</v>
      </c>
      <c r="Y724" s="43" t="s">
        <v>348</v>
      </c>
      <c r="Z724" s="43" t="s">
        <v>320</v>
      </c>
      <c r="AA724" s="43" t="s">
        <v>321</v>
      </c>
      <c r="AB724" s="144">
        <v>1.30000002682209E-2</v>
      </c>
      <c r="AF724" s="43" t="s">
        <v>75</v>
      </c>
      <c r="AG724" s="43" t="s">
        <v>322</v>
      </c>
      <c r="AJ724" s="140">
        <v>0</v>
      </c>
      <c r="AK724" s="140">
        <v>0</v>
      </c>
      <c r="AL724" s="140">
        <v>0</v>
      </c>
      <c r="AM724" s="140">
        <v>0</v>
      </c>
      <c r="AN724" s="140">
        <v>0</v>
      </c>
      <c r="AO724" s="140">
        <v>0</v>
      </c>
      <c r="AP724" s="140">
        <v>1</v>
      </c>
      <c r="AQ724" s="140">
        <v>0</v>
      </c>
      <c r="AR724" s="140">
        <v>0</v>
      </c>
      <c r="AS724" s="140">
        <v>0</v>
      </c>
      <c r="AT724" s="140">
        <v>0</v>
      </c>
      <c r="AU724" s="140">
        <v>0</v>
      </c>
      <c r="AV724" s="140">
        <v>0</v>
      </c>
      <c r="AW724" s="140">
        <v>1</v>
      </c>
      <c r="AX724" s="140">
        <v>0</v>
      </c>
      <c r="AY724" s="140">
        <v>0</v>
      </c>
      <c r="AZ724" s="140">
        <v>0</v>
      </c>
      <c r="BA724" s="140">
        <v>0</v>
      </c>
      <c r="BB724" s="140">
        <v>0</v>
      </c>
      <c r="BC724" s="140">
        <v>0</v>
      </c>
      <c r="BD724" s="140">
        <v>0</v>
      </c>
      <c r="BE724" s="140">
        <v>0</v>
      </c>
      <c r="BF724" s="140">
        <v>0</v>
      </c>
      <c r="BG724" s="140">
        <v>0</v>
      </c>
      <c r="BH724" s="140">
        <v>0</v>
      </c>
      <c r="BI724" s="140">
        <v>0</v>
      </c>
      <c r="BJ724" s="140">
        <v>0</v>
      </c>
      <c r="BK724" s="140">
        <v>0</v>
      </c>
      <c r="BL724" s="140">
        <v>0</v>
      </c>
      <c r="BM724" s="140">
        <v>0</v>
      </c>
      <c r="BN724" s="140">
        <v>0</v>
      </c>
      <c r="BO724" s="140">
        <v>0</v>
      </c>
      <c r="BX724" s="43">
        <v>15</v>
      </c>
      <c r="BZ724" s="90">
        <f t="shared" si="87"/>
        <v>0.33333333333333331</v>
      </c>
      <c r="CA724" s="90">
        <f t="shared" si="87"/>
        <v>0.33333333333333331</v>
      </c>
      <c r="CB724" s="90">
        <f t="shared" si="87"/>
        <v>0.33333333333333331</v>
      </c>
      <c r="CT724" s="90">
        <f t="shared" si="82"/>
        <v>1</v>
      </c>
      <c r="CU724" s="90">
        <f t="shared" si="83"/>
        <v>1</v>
      </c>
    </row>
    <row r="725" spans="1:99" ht="12" customHeight="1">
      <c r="A725" s="43">
        <v>6180</v>
      </c>
      <c r="B725" s="89" t="s">
        <v>1515</v>
      </c>
      <c r="C725" s="89" t="s">
        <v>2031</v>
      </c>
      <c r="D725" s="89" t="s">
        <v>2032</v>
      </c>
      <c r="F725" s="43">
        <v>527804</v>
      </c>
      <c r="G725" s="43">
        <v>172172</v>
      </c>
      <c r="H725" s="89" t="s">
        <v>141</v>
      </c>
      <c r="K725" s="140">
        <v>0</v>
      </c>
      <c r="L725" s="140">
        <v>1</v>
      </c>
      <c r="M725" s="140">
        <v>1</v>
      </c>
      <c r="N725" s="140">
        <v>1</v>
      </c>
      <c r="O725" s="140">
        <v>1</v>
      </c>
      <c r="Q725" s="89" t="s">
        <v>2033</v>
      </c>
      <c r="R725" s="43" t="s">
        <v>316</v>
      </c>
      <c r="S725" s="125">
        <v>42409</v>
      </c>
      <c r="T725" s="117">
        <v>42535</v>
      </c>
      <c r="V725" s="43" t="s">
        <v>317</v>
      </c>
      <c r="X725" s="43" t="s">
        <v>318</v>
      </c>
      <c r="Y725" s="43" t="s">
        <v>319</v>
      </c>
      <c r="Z725" s="43" t="s">
        <v>320</v>
      </c>
      <c r="AA725" s="43" t="s">
        <v>30</v>
      </c>
      <c r="AB725" s="144">
        <v>6.0000000521540598E-3</v>
      </c>
      <c r="AF725" s="43" t="s">
        <v>75</v>
      </c>
      <c r="AG725" s="43" t="s">
        <v>322</v>
      </c>
      <c r="AJ725" s="140">
        <v>0</v>
      </c>
      <c r="AK725" s="140">
        <v>0</v>
      </c>
      <c r="AL725" s="140">
        <v>0</v>
      </c>
      <c r="AM725" s="140">
        <v>0</v>
      </c>
      <c r="AN725" s="140">
        <v>0</v>
      </c>
      <c r="AO725" s="140">
        <v>0</v>
      </c>
      <c r="AP725" s="140">
        <v>1</v>
      </c>
      <c r="AQ725" s="140">
        <v>0</v>
      </c>
      <c r="AR725" s="140">
        <v>0</v>
      </c>
      <c r="AS725" s="140">
        <v>0</v>
      </c>
      <c r="AT725" s="140">
        <v>0</v>
      </c>
      <c r="AU725" s="140">
        <v>0</v>
      </c>
      <c r="AV725" s="140">
        <v>0</v>
      </c>
      <c r="AW725" s="140">
        <v>1</v>
      </c>
      <c r="AX725" s="140">
        <v>0</v>
      </c>
      <c r="AY725" s="140">
        <v>0</v>
      </c>
      <c r="AZ725" s="140">
        <v>0</v>
      </c>
      <c r="BA725" s="140">
        <v>0</v>
      </c>
      <c r="BB725" s="140">
        <v>0</v>
      </c>
      <c r="BC725" s="140">
        <v>0</v>
      </c>
      <c r="BD725" s="140">
        <v>0</v>
      </c>
      <c r="BE725" s="140">
        <v>0</v>
      </c>
      <c r="BF725" s="140">
        <v>0</v>
      </c>
      <c r="BG725" s="140">
        <v>0</v>
      </c>
      <c r="BH725" s="140">
        <v>0</v>
      </c>
      <c r="BI725" s="140">
        <v>0</v>
      </c>
      <c r="BJ725" s="140">
        <v>0</v>
      </c>
      <c r="BK725" s="140">
        <v>0</v>
      </c>
      <c r="BL725" s="140">
        <v>0</v>
      </c>
      <c r="BM725" s="140">
        <v>0</v>
      </c>
      <c r="BN725" s="140">
        <v>0</v>
      </c>
      <c r="BO725" s="140">
        <v>0</v>
      </c>
      <c r="BX725" s="43">
        <v>15</v>
      </c>
      <c r="BZ725" s="90">
        <f t="shared" si="87"/>
        <v>0.33333333333333331</v>
      </c>
      <c r="CA725" s="90">
        <f t="shared" si="87"/>
        <v>0.33333333333333331</v>
      </c>
      <c r="CB725" s="90">
        <f t="shared" si="87"/>
        <v>0.33333333333333331</v>
      </c>
      <c r="CT725" s="90">
        <f t="shared" si="82"/>
        <v>1</v>
      </c>
      <c r="CU725" s="90">
        <f t="shared" si="83"/>
        <v>1</v>
      </c>
    </row>
    <row r="726" spans="1:99" ht="12" customHeight="1">
      <c r="A726" s="43">
        <v>6188</v>
      </c>
      <c r="B726" s="89" t="s">
        <v>1515</v>
      </c>
      <c r="C726" s="89" t="s">
        <v>2034</v>
      </c>
      <c r="D726" s="89" t="s">
        <v>2035</v>
      </c>
      <c r="F726" s="43">
        <v>525924</v>
      </c>
      <c r="G726" s="43">
        <v>173800</v>
      </c>
      <c r="H726" s="89" t="s">
        <v>168</v>
      </c>
      <c r="K726" s="140">
        <v>0</v>
      </c>
      <c r="L726" s="140">
        <v>4</v>
      </c>
      <c r="M726" s="140">
        <v>4</v>
      </c>
      <c r="N726" s="140">
        <v>5</v>
      </c>
      <c r="O726" s="140">
        <v>5</v>
      </c>
      <c r="Q726" s="89" t="s">
        <v>2036</v>
      </c>
      <c r="R726" s="43" t="s">
        <v>316</v>
      </c>
      <c r="S726" s="125">
        <v>42961</v>
      </c>
      <c r="T726" s="117">
        <v>43027</v>
      </c>
      <c r="V726" s="43" t="s">
        <v>317</v>
      </c>
      <c r="X726" s="43" t="s">
        <v>318</v>
      </c>
      <c r="Y726" s="43" t="s">
        <v>319</v>
      </c>
      <c r="Z726" s="43" t="s">
        <v>320</v>
      </c>
      <c r="AA726" s="43" t="s">
        <v>33</v>
      </c>
      <c r="AB726" s="144">
        <v>2.60000005364418E-2</v>
      </c>
      <c r="AF726" s="43" t="s">
        <v>75</v>
      </c>
      <c r="AG726" s="43" t="s">
        <v>322</v>
      </c>
      <c r="AJ726" s="140">
        <v>0</v>
      </c>
      <c r="AK726" s="140">
        <v>0</v>
      </c>
      <c r="AL726" s="140">
        <v>0</v>
      </c>
      <c r="AM726" s="140">
        <v>0</v>
      </c>
      <c r="AN726" s="140">
        <v>0</v>
      </c>
      <c r="AO726" s="140">
        <v>0</v>
      </c>
      <c r="AP726" s="140">
        <v>4</v>
      </c>
      <c r="AQ726" s="140">
        <v>0</v>
      </c>
      <c r="AR726" s="140">
        <v>0</v>
      </c>
      <c r="AS726" s="140">
        <v>0</v>
      </c>
      <c r="AT726" s="140">
        <v>0</v>
      </c>
      <c r="AU726" s="140">
        <v>0</v>
      </c>
      <c r="AV726" s="140">
        <v>0</v>
      </c>
      <c r="AW726" s="140">
        <v>4</v>
      </c>
      <c r="AX726" s="140">
        <v>0</v>
      </c>
      <c r="AY726" s="140">
        <v>0</v>
      </c>
      <c r="AZ726" s="140">
        <v>0</v>
      </c>
      <c r="BA726" s="140">
        <v>0</v>
      </c>
      <c r="BB726" s="140">
        <v>0</v>
      </c>
      <c r="BC726" s="140">
        <v>0</v>
      </c>
      <c r="BD726" s="140">
        <v>0</v>
      </c>
      <c r="BE726" s="140">
        <v>0</v>
      </c>
      <c r="BF726" s="140">
        <v>0</v>
      </c>
      <c r="BG726" s="140">
        <v>0</v>
      </c>
      <c r="BH726" s="140">
        <v>0</v>
      </c>
      <c r="BI726" s="140">
        <v>0</v>
      </c>
      <c r="BJ726" s="140">
        <v>0</v>
      </c>
      <c r="BK726" s="140">
        <v>0</v>
      </c>
      <c r="BL726" s="140">
        <v>0</v>
      </c>
      <c r="BM726" s="140">
        <v>0</v>
      </c>
      <c r="BN726" s="140">
        <v>0</v>
      </c>
      <c r="BO726" s="140">
        <v>0</v>
      </c>
      <c r="BW726" s="43" t="s">
        <v>329</v>
      </c>
      <c r="BX726" s="43">
        <v>15</v>
      </c>
      <c r="BZ726" s="90">
        <f t="shared" si="87"/>
        <v>1.3333333333333333</v>
      </c>
      <c r="CA726" s="90">
        <f t="shared" si="87"/>
        <v>1.3333333333333333</v>
      </c>
      <c r="CB726" s="90">
        <f t="shared" si="87"/>
        <v>1.3333333333333333</v>
      </c>
      <c r="CT726" s="90">
        <f t="shared" si="82"/>
        <v>4</v>
      </c>
      <c r="CU726" s="90">
        <f t="shared" si="83"/>
        <v>4</v>
      </c>
    </row>
    <row r="727" spans="1:99" ht="12" customHeight="1">
      <c r="A727" s="43">
        <v>6188</v>
      </c>
      <c r="B727" s="89" t="s">
        <v>1515</v>
      </c>
      <c r="C727" s="89" t="s">
        <v>2034</v>
      </c>
      <c r="D727" s="89" t="s">
        <v>2035</v>
      </c>
      <c r="F727" s="43">
        <v>525924</v>
      </c>
      <c r="G727" s="43">
        <v>173800</v>
      </c>
      <c r="H727" s="89" t="s">
        <v>168</v>
      </c>
      <c r="K727" s="140">
        <v>0</v>
      </c>
      <c r="L727" s="140">
        <v>1</v>
      </c>
      <c r="M727" s="140">
        <v>1</v>
      </c>
      <c r="N727" s="140">
        <v>5</v>
      </c>
      <c r="O727" s="140">
        <v>5</v>
      </c>
      <c r="Q727" s="89" t="s">
        <v>2036</v>
      </c>
      <c r="R727" s="43" t="s">
        <v>316</v>
      </c>
      <c r="S727" s="125">
        <v>42961</v>
      </c>
      <c r="T727" s="117">
        <v>43027</v>
      </c>
      <c r="V727" s="43" t="s">
        <v>317</v>
      </c>
      <c r="X727" s="43" t="s">
        <v>318</v>
      </c>
      <c r="Y727" s="43" t="s">
        <v>319</v>
      </c>
      <c r="Z727" s="43" t="s">
        <v>320</v>
      </c>
      <c r="AA727" s="43" t="s">
        <v>353</v>
      </c>
      <c r="AB727" s="144">
        <v>1.2000000104308101E-2</v>
      </c>
      <c r="AF727" s="43" t="s">
        <v>75</v>
      </c>
      <c r="AG727" s="43" t="s">
        <v>322</v>
      </c>
      <c r="AJ727" s="140">
        <v>0</v>
      </c>
      <c r="AK727" s="140">
        <v>0</v>
      </c>
      <c r="AL727" s="140">
        <v>0</v>
      </c>
      <c r="AM727" s="140">
        <v>0</v>
      </c>
      <c r="AN727" s="140">
        <v>0</v>
      </c>
      <c r="AO727" s="140">
        <v>0</v>
      </c>
      <c r="AP727" s="140">
        <v>0</v>
      </c>
      <c r="AQ727" s="140">
        <v>1</v>
      </c>
      <c r="AR727" s="140">
        <v>0</v>
      </c>
      <c r="AS727" s="140">
        <v>0</v>
      </c>
      <c r="AT727" s="140">
        <v>0</v>
      </c>
      <c r="AU727" s="140">
        <v>0</v>
      </c>
      <c r="AV727" s="140">
        <v>0</v>
      </c>
      <c r="AW727" s="140">
        <v>0</v>
      </c>
      <c r="AX727" s="140">
        <v>0</v>
      </c>
      <c r="AY727" s="140">
        <v>0</v>
      </c>
      <c r="AZ727" s="140">
        <v>0</v>
      </c>
      <c r="BA727" s="140">
        <v>0</v>
      </c>
      <c r="BB727" s="140">
        <v>0</v>
      </c>
      <c r="BC727" s="140">
        <v>0</v>
      </c>
      <c r="BD727" s="140">
        <v>0</v>
      </c>
      <c r="BE727" s="140">
        <v>1</v>
      </c>
      <c r="BF727" s="140">
        <v>0</v>
      </c>
      <c r="BG727" s="140">
        <v>0</v>
      </c>
      <c r="BH727" s="140">
        <v>0</v>
      </c>
      <c r="BI727" s="140">
        <v>0</v>
      </c>
      <c r="BJ727" s="140">
        <v>0</v>
      </c>
      <c r="BK727" s="140">
        <v>0</v>
      </c>
      <c r="BL727" s="140">
        <v>0</v>
      </c>
      <c r="BM727" s="140">
        <v>0</v>
      </c>
      <c r="BN727" s="140">
        <v>0</v>
      </c>
      <c r="BO727" s="140">
        <v>0</v>
      </c>
      <c r="BW727" s="43" t="s">
        <v>329</v>
      </c>
      <c r="BX727" s="43">
        <v>15</v>
      </c>
      <c r="BZ727" s="90">
        <f t="shared" si="87"/>
        <v>0.33333333333333331</v>
      </c>
      <c r="CA727" s="90">
        <f t="shared" si="87"/>
        <v>0.33333333333333331</v>
      </c>
      <c r="CB727" s="90">
        <f t="shared" si="87"/>
        <v>0.33333333333333331</v>
      </c>
      <c r="CT727" s="90">
        <f t="shared" si="82"/>
        <v>1</v>
      </c>
      <c r="CU727" s="90">
        <f t="shared" si="83"/>
        <v>1</v>
      </c>
    </row>
    <row r="728" spans="1:99" ht="12" customHeight="1">
      <c r="A728" s="43">
        <v>6196</v>
      </c>
      <c r="B728" s="89" t="s">
        <v>1515</v>
      </c>
      <c r="C728" s="89" t="s">
        <v>2037</v>
      </c>
      <c r="D728" s="89" t="s">
        <v>2038</v>
      </c>
      <c r="F728" s="43">
        <v>528701</v>
      </c>
      <c r="G728" s="43">
        <v>172342</v>
      </c>
      <c r="H728" s="89" t="s">
        <v>167</v>
      </c>
      <c r="K728" s="140">
        <v>0</v>
      </c>
      <c r="L728" s="140">
        <v>1</v>
      </c>
      <c r="M728" s="140">
        <v>1</v>
      </c>
      <c r="N728" s="140">
        <v>1</v>
      </c>
      <c r="O728" s="140">
        <v>1</v>
      </c>
      <c r="Q728" s="89" t="s">
        <v>2039</v>
      </c>
      <c r="R728" s="43" t="s">
        <v>316</v>
      </c>
      <c r="S728" s="125">
        <v>43165</v>
      </c>
      <c r="T728" s="117">
        <v>43250</v>
      </c>
      <c r="V728" s="43" t="s">
        <v>317</v>
      </c>
      <c r="X728" s="43" t="s">
        <v>318</v>
      </c>
      <c r="Y728" s="43" t="s">
        <v>361</v>
      </c>
      <c r="Z728" s="43" t="s">
        <v>320</v>
      </c>
      <c r="AA728" s="43" t="s">
        <v>353</v>
      </c>
      <c r="AB728" s="144">
        <v>8.9999996125698107E-3</v>
      </c>
      <c r="AF728" s="43" t="s">
        <v>75</v>
      </c>
      <c r="AG728" s="43" t="s">
        <v>322</v>
      </c>
      <c r="AJ728" s="140">
        <v>0</v>
      </c>
      <c r="AK728" s="140">
        <v>0</v>
      </c>
      <c r="AL728" s="140">
        <v>0</v>
      </c>
      <c r="AM728" s="140">
        <v>0</v>
      </c>
      <c r="AN728" s="140">
        <v>0</v>
      </c>
      <c r="AO728" s="140">
        <v>0</v>
      </c>
      <c r="AP728" s="140">
        <v>0</v>
      </c>
      <c r="AQ728" s="140">
        <v>1</v>
      </c>
      <c r="AR728" s="140">
        <v>0</v>
      </c>
      <c r="AS728" s="140">
        <v>0</v>
      </c>
      <c r="AT728" s="140">
        <v>0</v>
      </c>
      <c r="AU728" s="140">
        <v>0</v>
      </c>
      <c r="AV728" s="140">
        <v>0</v>
      </c>
      <c r="AW728" s="140">
        <v>0</v>
      </c>
      <c r="AX728" s="140">
        <v>0</v>
      </c>
      <c r="AY728" s="140">
        <v>0</v>
      </c>
      <c r="AZ728" s="140">
        <v>0</v>
      </c>
      <c r="BA728" s="140">
        <v>0</v>
      </c>
      <c r="BB728" s="140">
        <v>0</v>
      </c>
      <c r="BC728" s="140">
        <v>0</v>
      </c>
      <c r="BD728" s="140">
        <v>0</v>
      </c>
      <c r="BE728" s="140">
        <v>1</v>
      </c>
      <c r="BF728" s="140">
        <v>0</v>
      </c>
      <c r="BG728" s="140">
        <v>0</v>
      </c>
      <c r="BH728" s="140">
        <v>0</v>
      </c>
      <c r="BI728" s="140">
        <v>0</v>
      </c>
      <c r="BJ728" s="140">
        <v>0</v>
      </c>
      <c r="BK728" s="140">
        <v>0</v>
      </c>
      <c r="BL728" s="140">
        <v>0</v>
      </c>
      <c r="BM728" s="140">
        <v>0</v>
      </c>
      <c r="BN728" s="140">
        <v>0</v>
      </c>
      <c r="BO728" s="140">
        <v>0</v>
      </c>
      <c r="BX728" s="43">
        <v>6</v>
      </c>
      <c r="CA728" s="90">
        <f t="shared" ref="CA728:CD729" si="88">$M728/4</f>
        <v>0.25</v>
      </c>
      <c r="CB728" s="90">
        <f t="shared" si="88"/>
        <v>0.25</v>
      </c>
      <c r="CC728" s="90">
        <f t="shared" si="88"/>
        <v>0.25</v>
      </c>
      <c r="CD728" s="90">
        <f t="shared" si="88"/>
        <v>0.25</v>
      </c>
      <c r="CT728" s="90">
        <f t="shared" si="82"/>
        <v>1</v>
      </c>
      <c r="CU728" s="90">
        <f t="shared" si="83"/>
        <v>1</v>
      </c>
    </row>
    <row r="729" spans="1:99" ht="12" customHeight="1">
      <c r="A729" s="43">
        <v>6198</v>
      </c>
      <c r="B729" s="89" t="s">
        <v>1515</v>
      </c>
      <c r="C729" s="89" t="s">
        <v>2040</v>
      </c>
      <c r="D729" s="89" t="s">
        <v>2041</v>
      </c>
      <c r="F729" s="43">
        <v>521202</v>
      </c>
      <c r="G729" s="43">
        <v>174373</v>
      </c>
      <c r="H729" s="89" t="s">
        <v>149</v>
      </c>
      <c r="K729" s="140">
        <v>1</v>
      </c>
      <c r="L729" s="140">
        <v>1</v>
      </c>
      <c r="M729" s="140">
        <v>0</v>
      </c>
      <c r="N729" s="140">
        <v>1</v>
      </c>
      <c r="O729" s="140">
        <v>0</v>
      </c>
      <c r="Q729" s="89" t="s">
        <v>2042</v>
      </c>
      <c r="R729" s="43" t="s">
        <v>316</v>
      </c>
      <c r="S729" s="125">
        <v>43423</v>
      </c>
      <c r="T729" s="117">
        <v>43486</v>
      </c>
      <c r="V729" s="43" t="s">
        <v>317</v>
      </c>
      <c r="X729" s="43" t="s">
        <v>318</v>
      </c>
      <c r="Y729" s="43" t="s">
        <v>361</v>
      </c>
      <c r="Z729" s="43" t="s">
        <v>320</v>
      </c>
      <c r="AA729" s="43" t="s">
        <v>353</v>
      </c>
      <c r="AB729" s="144">
        <v>6.4999997615814195E-2</v>
      </c>
      <c r="AF729" s="43" t="s">
        <v>75</v>
      </c>
      <c r="AG729" s="43" t="s">
        <v>322</v>
      </c>
      <c r="AJ729" s="140">
        <v>0</v>
      </c>
      <c r="AK729" s="140">
        <v>0</v>
      </c>
      <c r="AL729" s="140">
        <v>0</v>
      </c>
      <c r="AM729" s="140">
        <v>0</v>
      </c>
      <c r="AN729" s="140">
        <v>0</v>
      </c>
      <c r="AO729" s="140">
        <v>0</v>
      </c>
      <c r="AP729" s="140">
        <v>0</v>
      </c>
      <c r="AQ729" s="140">
        <v>0</v>
      </c>
      <c r="AR729" s="140">
        <v>-1</v>
      </c>
      <c r="AS729" s="140">
        <v>1</v>
      </c>
      <c r="AT729" s="140">
        <v>0</v>
      </c>
      <c r="AU729" s="140">
        <v>0</v>
      </c>
      <c r="AV729" s="140">
        <v>0</v>
      </c>
      <c r="AW729" s="140">
        <v>0</v>
      </c>
      <c r="AX729" s="140">
        <v>0</v>
      </c>
      <c r="AY729" s="140">
        <v>0</v>
      </c>
      <c r="AZ729" s="140">
        <v>0</v>
      </c>
      <c r="BA729" s="140">
        <v>0</v>
      </c>
      <c r="BB729" s="140">
        <v>0</v>
      </c>
      <c r="BC729" s="140">
        <v>0</v>
      </c>
      <c r="BD729" s="140">
        <v>0</v>
      </c>
      <c r="BE729" s="140">
        <v>0</v>
      </c>
      <c r="BF729" s="140">
        <v>-1</v>
      </c>
      <c r="BG729" s="140">
        <v>1</v>
      </c>
      <c r="BH729" s="140">
        <v>0</v>
      </c>
      <c r="BI729" s="140">
        <v>0</v>
      </c>
      <c r="BJ729" s="140">
        <v>0</v>
      </c>
      <c r="BK729" s="140">
        <v>0</v>
      </c>
      <c r="BL729" s="140">
        <v>0</v>
      </c>
      <c r="BM729" s="140">
        <v>0</v>
      </c>
      <c r="BN729" s="140">
        <v>0</v>
      </c>
      <c r="BO729" s="140">
        <v>0</v>
      </c>
      <c r="BX729" s="43">
        <v>6</v>
      </c>
      <c r="CA729" s="90">
        <f t="shared" si="88"/>
        <v>0</v>
      </c>
      <c r="CB729" s="90">
        <f t="shared" si="88"/>
        <v>0</v>
      </c>
      <c r="CC729" s="90">
        <f t="shared" si="88"/>
        <v>0</v>
      </c>
      <c r="CD729" s="90">
        <f t="shared" si="88"/>
        <v>0</v>
      </c>
      <c r="CT729" s="90">
        <f t="shared" si="82"/>
        <v>0</v>
      </c>
      <c r="CU729" s="90">
        <f t="shared" si="83"/>
        <v>0</v>
      </c>
    </row>
    <row r="730" spans="1:99" ht="12" customHeight="1">
      <c r="A730" s="43">
        <v>6212</v>
      </c>
      <c r="B730" s="89" t="s">
        <v>1515</v>
      </c>
      <c r="C730" s="89" t="s">
        <v>2043</v>
      </c>
      <c r="D730" s="89" t="s">
        <v>2044</v>
      </c>
      <c r="F730" s="43">
        <v>529084</v>
      </c>
      <c r="G730" s="43">
        <v>173102</v>
      </c>
      <c r="H730" s="89" t="s">
        <v>138</v>
      </c>
      <c r="K730" s="140">
        <v>1</v>
      </c>
      <c r="L730" s="140">
        <v>3</v>
      </c>
      <c r="M730" s="140">
        <v>2</v>
      </c>
      <c r="N730" s="140">
        <v>3</v>
      </c>
      <c r="O730" s="140">
        <v>2</v>
      </c>
      <c r="Q730" s="89" t="s">
        <v>2045</v>
      </c>
      <c r="R730" s="43" t="s">
        <v>316</v>
      </c>
      <c r="S730" s="125">
        <v>42486</v>
      </c>
      <c r="T730" s="117">
        <v>42542</v>
      </c>
      <c r="V730" s="43" t="s">
        <v>317</v>
      </c>
      <c r="X730" s="43" t="s">
        <v>318</v>
      </c>
      <c r="Y730" s="43" t="s">
        <v>319</v>
      </c>
      <c r="Z730" s="43" t="s">
        <v>320</v>
      </c>
      <c r="AA730" s="43" t="s">
        <v>20</v>
      </c>
      <c r="AB730" s="144">
        <v>2.5000000372528999E-2</v>
      </c>
      <c r="AF730" s="43" t="s">
        <v>75</v>
      </c>
      <c r="AG730" s="43" t="s">
        <v>322</v>
      </c>
      <c r="AJ730" s="140">
        <v>0</v>
      </c>
      <c r="AK730" s="140">
        <v>0</v>
      </c>
      <c r="AL730" s="140">
        <v>0</v>
      </c>
      <c r="AM730" s="140">
        <v>0</v>
      </c>
      <c r="AN730" s="140">
        <v>0</v>
      </c>
      <c r="AO730" s="140">
        <v>1</v>
      </c>
      <c r="AP730" s="140">
        <v>1</v>
      </c>
      <c r="AQ730" s="140">
        <v>1</v>
      </c>
      <c r="AR730" s="140">
        <v>-1</v>
      </c>
      <c r="AS730" s="140">
        <v>0</v>
      </c>
      <c r="AT730" s="140">
        <v>0</v>
      </c>
      <c r="AU730" s="140">
        <v>0</v>
      </c>
      <c r="AV730" s="140">
        <v>1</v>
      </c>
      <c r="AW730" s="140">
        <v>1</v>
      </c>
      <c r="AX730" s="140">
        <v>1</v>
      </c>
      <c r="AY730" s="140">
        <v>0</v>
      </c>
      <c r="AZ730" s="140">
        <v>0</v>
      </c>
      <c r="BA730" s="140">
        <v>0</v>
      </c>
      <c r="BB730" s="140">
        <v>0</v>
      </c>
      <c r="BC730" s="140">
        <v>0</v>
      </c>
      <c r="BD730" s="140">
        <v>0</v>
      </c>
      <c r="BE730" s="140">
        <v>0</v>
      </c>
      <c r="BF730" s="140">
        <v>-1</v>
      </c>
      <c r="BG730" s="140">
        <v>0</v>
      </c>
      <c r="BH730" s="140">
        <v>0</v>
      </c>
      <c r="BI730" s="140">
        <v>0</v>
      </c>
      <c r="BJ730" s="140">
        <v>0</v>
      </c>
      <c r="BK730" s="140">
        <v>0</v>
      </c>
      <c r="BL730" s="140">
        <v>0</v>
      </c>
      <c r="BM730" s="140">
        <v>0</v>
      </c>
      <c r="BN730" s="140">
        <v>0</v>
      </c>
      <c r="BO730" s="140">
        <v>0</v>
      </c>
      <c r="BX730" s="43">
        <v>15</v>
      </c>
      <c r="BZ730" s="90">
        <f>$M730/3</f>
        <v>0.66666666666666663</v>
      </c>
      <c r="CA730" s="90">
        <f>$M730/3</f>
        <v>0.66666666666666663</v>
      </c>
      <c r="CB730" s="90">
        <f>$M730/3</f>
        <v>0.66666666666666663</v>
      </c>
      <c r="CT730" s="90">
        <f t="shared" si="82"/>
        <v>2</v>
      </c>
      <c r="CU730" s="90">
        <f t="shared" si="83"/>
        <v>2</v>
      </c>
    </row>
    <row r="731" spans="1:99" ht="12" customHeight="1">
      <c r="A731" s="43">
        <v>6212</v>
      </c>
      <c r="B731" s="89" t="s">
        <v>1515</v>
      </c>
      <c r="C731" s="89" t="s">
        <v>2046</v>
      </c>
      <c r="D731" s="89" t="s">
        <v>2044</v>
      </c>
      <c r="F731" s="43">
        <v>529084</v>
      </c>
      <c r="G731" s="43">
        <v>173102</v>
      </c>
      <c r="H731" s="89" t="s">
        <v>138</v>
      </c>
      <c r="K731" s="140">
        <v>0</v>
      </c>
      <c r="L731" s="140">
        <v>1</v>
      </c>
      <c r="M731" s="140">
        <v>1</v>
      </c>
      <c r="N731" s="140">
        <v>1</v>
      </c>
      <c r="O731" s="140">
        <v>1</v>
      </c>
      <c r="Q731" s="89" t="s">
        <v>2047</v>
      </c>
      <c r="R731" s="43" t="s">
        <v>316</v>
      </c>
      <c r="S731" s="125">
        <v>43160</v>
      </c>
      <c r="T731" s="117">
        <v>43210</v>
      </c>
      <c r="V731" s="43" t="s">
        <v>317</v>
      </c>
      <c r="X731" s="43" t="s">
        <v>318</v>
      </c>
      <c r="Y731" s="43" t="s">
        <v>361</v>
      </c>
      <c r="Z731" s="43" t="s">
        <v>320</v>
      </c>
      <c r="AA731" s="43" t="s">
        <v>353</v>
      </c>
      <c r="AB731" s="144">
        <v>2.5000000372528999E-2</v>
      </c>
      <c r="AF731" s="43" t="s">
        <v>75</v>
      </c>
      <c r="AG731" s="43" t="s">
        <v>322</v>
      </c>
      <c r="AJ731" s="140">
        <v>0</v>
      </c>
      <c r="AK731" s="140">
        <v>0</v>
      </c>
      <c r="AL731" s="140">
        <v>0</v>
      </c>
      <c r="AM731" s="140">
        <v>0</v>
      </c>
      <c r="AN731" s="140">
        <v>0</v>
      </c>
      <c r="AO731" s="140">
        <v>0</v>
      </c>
      <c r="AP731" s="140">
        <v>1</v>
      </c>
      <c r="AQ731" s="140">
        <v>0</v>
      </c>
      <c r="AR731" s="140">
        <v>0</v>
      </c>
      <c r="AS731" s="140">
        <v>0</v>
      </c>
      <c r="AT731" s="140">
        <v>0</v>
      </c>
      <c r="AU731" s="140">
        <v>0</v>
      </c>
      <c r="AV731" s="140">
        <v>0</v>
      </c>
      <c r="AW731" s="140">
        <v>0</v>
      </c>
      <c r="AX731" s="140">
        <v>0</v>
      </c>
      <c r="AY731" s="140">
        <v>0</v>
      </c>
      <c r="AZ731" s="140">
        <v>0</v>
      </c>
      <c r="BA731" s="140">
        <v>0</v>
      </c>
      <c r="BB731" s="140">
        <v>0</v>
      </c>
      <c r="BC731" s="140">
        <v>0</v>
      </c>
      <c r="BD731" s="140">
        <v>1</v>
      </c>
      <c r="BE731" s="140">
        <v>0</v>
      </c>
      <c r="BF731" s="140">
        <v>0</v>
      </c>
      <c r="BG731" s="140">
        <v>0</v>
      </c>
      <c r="BH731" s="140">
        <v>0</v>
      </c>
      <c r="BI731" s="140">
        <v>0</v>
      </c>
      <c r="BJ731" s="140">
        <v>0</v>
      </c>
      <c r="BK731" s="140">
        <v>0</v>
      </c>
      <c r="BL731" s="140">
        <v>0</v>
      </c>
      <c r="BM731" s="140">
        <v>0</v>
      </c>
      <c r="BN731" s="140">
        <v>0</v>
      </c>
      <c r="BO731" s="140">
        <v>0</v>
      </c>
      <c r="BX731" s="43">
        <v>6</v>
      </c>
      <c r="CA731" s="90">
        <f t="shared" ref="CA731:CD735" si="89">$M731/4</f>
        <v>0.25</v>
      </c>
      <c r="CB731" s="90">
        <f t="shared" si="89"/>
        <v>0.25</v>
      </c>
      <c r="CC731" s="90">
        <f t="shared" si="89"/>
        <v>0.25</v>
      </c>
      <c r="CD731" s="90">
        <f t="shared" si="89"/>
        <v>0.25</v>
      </c>
      <c r="CT731" s="90">
        <f t="shared" si="82"/>
        <v>1</v>
      </c>
      <c r="CU731" s="90">
        <f t="shared" si="83"/>
        <v>1</v>
      </c>
    </row>
    <row r="732" spans="1:99" ht="12" customHeight="1">
      <c r="A732" s="43">
        <v>6214</v>
      </c>
      <c r="B732" s="89" t="s">
        <v>1515</v>
      </c>
      <c r="C732" s="89" t="s">
        <v>2048</v>
      </c>
      <c r="D732" s="89" t="s">
        <v>2049</v>
      </c>
      <c r="F732" s="43">
        <v>521143</v>
      </c>
      <c r="G732" s="43">
        <v>174601</v>
      </c>
      <c r="H732" s="89" t="s">
        <v>149</v>
      </c>
      <c r="K732" s="140">
        <v>1</v>
      </c>
      <c r="L732" s="140">
        <v>1</v>
      </c>
      <c r="M732" s="140">
        <v>0</v>
      </c>
      <c r="N732" s="140">
        <v>1</v>
      </c>
      <c r="O732" s="140">
        <v>0</v>
      </c>
      <c r="Q732" s="89" t="s">
        <v>2050</v>
      </c>
      <c r="R732" s="43" t="s">
        <v>316</v>
      </c>
      <c r="S732" s="125">
        <v>42488</v>
      </c>
      <c r="T732" s="117">
        <v>42544</v>
      </c>
      <c r="V732" s="43" t="s">
        <v>317</v>
      </c>
      <c r="X732" s="43" t="s">
        <v>318</v>
      </c>
      <c r="Y732" s="43" t="s">
        <v>361</v>
      </c>
      <c r="Z732" s="43" t="s">
        <v>320</v>
      </c>
      <c r="AA732" s="43" t="s">
        <v>353</v>
      </c>
      <c r="AB732" s="144">
        <v>0.125</v>
      </c>
      <c r="AF732" s="43" t="s">
        <v>75</v>
      </c>
      <c r="AG732" s="43" t="s">
        <v>322</v>
      </c>
      <c r="AJ732" s="140">
        <v>1</v>
      </c>
      <c r="AK732" s="140">
        <v>0</v>
      </c>
      <c r="AL732" s="140">
        <v>0</v>
      </c>
      <c r="AM732" s="140">
        <v>0</v>
      </c>
      <c r="AN732" s="140">
        <v>0</v>
      </c>
      <c r="AO732" s="140">
        <v>0</v>
      </c>
      <c r="AP732" s="140">
        <v>0</v>
      </c>
      <c r="AQ732" s="140">
        <v>0</v>
      </c>
      <c r="AR732" s="140">
        <v>0</v>
      </c>
      <c r="AS732" s="140">
        <v>0</v>
      </c>
      <c r="AT732" s="140">
        <v>0</v>
      </c>
      <c r="AU732" s="140">
        <v>0</v>
      </c>
      <c r="AV732" s="140">
        <v>0</v>
      </c>
      <c r="AW732" s="140">
        <v>0</v>
      </c>
      <c r="AX732" s="140">
        <v>0</v>
      </c>
      <c r="AY732" s="140">
        <v>0</v>
      </c>
      <c r="AZ732" s="140">
        <v>0</v>
      </c>
      <c r="BA732" s="140">
        <v>0</v>
      </c>
      <c r="BB732" s="140">
        <v>0</v>
      </c>
      <c r="BC732" s="140">
        <v>0</v>
      </c>
      <c r="BD732" s="140">
        <v>0</v>
      </c>
      <c r="BE732" s="140">
        <v>0</v>
      </c>
      <c r="BF732" s="140">
        <v>0</v>
      </c>
      <c r="BG732" s="140">
        <v>0</v>
      </c>
      <c r="BH732" s="140">
        <v>0</v>
      </c>
      <c r="BI732" s="140">
        <v>0</v>
      </c>
      <c r="BJ732" s="140">
        <v>0</v>
      </c>
      <c r="BK732" s="140">
        <v>0</v>
      </c>
      <c r="BL732" s="140">
        <v>0</v>
      </c>
      <c r="BM732" s="140">
        <v>0</v>
      </c>
      <c r="BN732" s="140">
        <v>0</v>
      </c>
      <c r="BO732" s="140">
        <v>0</v>
      </c>
      <c r="BX732" s="43">
        <v>6</v>
      </c>
      <c r="CA732" s="90">
        <f t="shared" si="89"/>
        <v>0</v>
      </c>
      <c r="CB732" s="90">
        <f t="shared" si="89"/>
        <v>0</v>
      </c>
      <c r="CC732" s="90">
        <f t="shared" si="89"/>
        <v>0</v>
      </c>
      <c r="CD732" s="90">
        <f t="shared" si="89"/>
        <v>0</v>
      </c>
      <c r="CT732" s="90">
        <f t="shared" si="82"/>
        <v>0</v>
      </c>
      <c r="CU732" s="90">
        <f t="shared" si="83"/>
        <v>0</v>
      </c>
    </row>
    <row r="733" spans="1:99" ht="12" customHeight="1">
      <c r="A733" s="43">
        <v>6218</v>
      </c>
      <c r="B733" s="89" t="s">
        <v>1515</v>
      </c>
      <c r="C733" s="89" t="s">
        <v>2051</v>
      </c>
      <c r="D733" s="89" t="s">
        <v>2052</v>
      </c>
      <c r="F733" s="43">
        <v>528378</v>
      </c>
      <c r="G733" s="43">
        <v>175632</v>
      </c>
      <c r="H733" s="89" t="s">
        <v>175</v>
      </c>
      <c r="K733" s="140">
        <v>0</v>
      </c>
      <c r="L733" s="140">
        <v>1</v>
      </c>
      <c r="M733" s="140">
        <v>1</v>
      </c>
      <c r="N733" s="140">
        <v>1</v>
      </c>
      <c r="O733" s="140">
        <v>1</v>
      </c>
      <c r="Q733" s="89" t="s">
        <v>2053</v>
      </c>
      <c r="R733" s="43" t="s">
        <v>316</v>
      </c>
      <c r="S733" s="125">
        <v>43804</v>
      </c>
      <c r="T733" s="117">
        <v>43854</v>
      </c>
      <c r="U733" s="43" t="s">
        <v>329</v>
      </c>
      <c r="V733" s="43" t="s">
        <v>317</v>
      </c>
      <c r="X733" s="43" t="s">
        <v>318</v>
      </c>
      <c r="Y733" s="43" t="s">
        <v>361</v>
      </c>
      <c r="Z733" s="43" t="s">
        <v>320</v>
      </c>
      <c r="AA733" s="43" t="s">
        <v>353</v>
      </c>
      <c r="AB733" s="144">
        <v>5.2999999374151202E-2</v>
      </c>
      <c r="AF733" s="43" t="s">
        <v>75</v>
      </c>
      <c r="AG733" s="43" t="s">
        <v>322</v>
      </c>
      <c r="AJ733" s="140">
        <v>1</v>
      </c>
      <c r="AK733" s="140">
        <v>0</v>
      </c>
      <c r="AL733" s="140">
        <v>0</v>
      </c>
      <c r="AM733" s="140">
        <v>0</v>
      </c>
      <c r="AN733" s="140">
        <v>0</v>
      </c>
      <c r="AO733" s="140">
        <v>0</v>
      </c>
      <c r="AP733" s="140">
        <v>0</v>
      </c>
      <c r="AQ733" s="140">
        <v>0</v>
      </c>
      <c r="AR733" s="140">
        <v>0</v>
      </c>
      <c r="AS733" s="140">
        <v>1</v>
      </c>
      <c r="AT733" s="140">
        <v>0</v>
      </c>
      <c r="AU733" s="140">
        <v>0</v>
      </c>
      <c r="AV733" s="140">
        <v>0</v>
      </c>
      <c r="AW733" s="140">
        <v>0</v>
      </c>
      <c r="AX733" s="140">
        <v>0</v>
      </c>
      <c r="AY733" s="140">
        <v>0</v>
      </c>
      <c r="AZ733" s="140">
        <v>0</v>
      </c>
      <c r="BA733" s="140">
        <v>0</v>
      </c>
      <c r="BB733" s="140">
        <v>0</v>
      </c>
      <c r="BC733" s="140">
        <v>0</v>
      </c>
      <c r="BD733" s="140">
        <v>0</v>
      </c>
      <c r="BE733" s="140">
        <v>0</v>
      </c>
      <c r="BF733" s="140">
        <v>0</v>
      </c>
      <c r="BG733" s="140">
        <v>1</v>
      </c>
      <c r="BH733" s="140">
        <v>0</v>
      </c>
      <c r="BI733" s="140">
        <v>0</v>
      </c>
      <c r="BJ733" s="140">
        <v>0</v>
      </c>
      <c r="BK733" s="140">
        <v>0</v>
      </c>
      <c r="BL733" s="140">
        <v>0</v>
      </c>
      <c r="BM733" s="140">
        <v>0</v>
      </c>
      <c r="BN733" s="140">
        <v>0</v>
      </c>
      <c r="BO733" s="140">
        <v>0</v>
      </c>
      <c r="BX733" s="43">
        <v>6</v>
      </c>
      <c r="CA733" s="90">
        <f t="shared" si="89"/>
        <v>0.25</v>
      </c>
      <c r="CB733" s="90">
        <f t="shared" si="89"/>
        <v>0.25</v>
      </c>
      <c r="CC733" s="90">
        <f t="shared" si="89"/>
        <v>0.25</v>
      </c>
      <c r="CD733" s="90">
        <f t="shared" si="89"/>
        <v>0.25</v>
      </c>
      <c r="CT733" s="90">
        <f t="shared" si="82"/>
        <v>1</v>
      </c>
      <c r="CU733" s="90">
        <f t="shared" si="83"/>
        <v>1</v>
      </c>
    </row>
    <row r="734" spans="1:99" ht="12" customHeight="1">
      <c r="A734" s="43">
        <v>6221</v>
      </c>
      <c r="B734" s="89" t="s">
        <v>1515</v>
      </c>
      <c r="C734" s="89" t="s">
        <v>2054</v>
      </c>
      <c r="D734" s="89" t="s">
        <v>2055</v>
      </c>
      <c r="F734" s="43">
        <v>526099</v>
      </c>
      <c r="G734" s="43">
        <v>173957</v>
      </c>
      <c r="H734" s="89" t="s">
        <v>179</v>
      </c>
      <c r="K734" s="140">
        <v>0</v>
      </c>
      <c r="L734" s="140">
        <v>7</v>
      </c>
      <c r="M734" s="140">
        <v>7</v>
      </c>
      <c r="N734" s="140">
        <v>11</v>
      </c>
      <c r="O734" s="140">
        <v>7</v>
      </c>
      <c r="P734" s="43" t="s">
        <v>329</v>
      </c>
      <c r="Q734" s="89" t="s">
        <v>2056</v>
      </c>
      <c r="R734" s="43" t="s">
        <v>316</v>
      </c>
      <c r="S734" s="125">
        <v>43643</v>
      </c>
      <c r="T734" s="117">
        <v>43700</v>
      </c>
      <c r="U734" s="43" t="s">
        <v>329</v>
      </c>
      <c r="V734" s="43" t="s">
        <v>317</v>
      </c>
      <c r="X734" s="43" t="s">
        <v>318</v>
      </c>
      <c r="Y734" s="43" t="s">
        <v>319</v>
      </c>
      <c r="Z734" s="43" t="s">
        <v>320</v>
      </c>
      <c r="AA734" s="43" t="s">
        <v>340</v>
      </c>
      <c r="AB734" s="144">
        <v>3.20000015199184E-2</v>
      </c>
      <c r="AF734" s="43" t="s">
        <v>75</v>
      </c>
      <c r="AG734" s="43" t="s">
        <v>322</v>
      </c>
      <c r="AJ734" s="140">
        <v>0</v>
      </c>
      <c r="AK734" s="140">
        <v>0</v>
      </c>
      <c r="AL734" s="140">
        <v>0</v>
      </c>
      <c r="AM734" s="140">
        <v>0</v>
      </c>
      <c r="AN734" s="140">
        <v>0</v>
      </c>
      <c r="AO734" s="140">
        <v>0</v>
      </c>
      <c r="AP734" s="140">
        <v>7</v>
      </c>
      <c r="AQ734" s="140">
        <v>0</v>
      </c>
      <c r="AR734" s="140">
        <v>0</v>
      </c>
      <c r="AS734" s="140">
        <v>0</v>
      </c>
      <c r="AT734" s="140">
        <v>0</v>
      </c>
      <c r="AU734" s="140">
        <v>0</v>
      </c>
      <c r="AV734" s="140">
        <v>0</v>
      </c>
      <c r="AW734" s="140">
        <v>7</v>
      </c>
      <c r="AX734" s="140">
        <v>0</v>
      </c>
      <c r="AY734" s="140">
        <v>0</v>
      </c>
      <c r="AZ734" s="140">
        <v>0</v>
      </c>
      <c r="BA734" s="140">
        <v>0</v>
      </c>
      <c r="BB734" s="140">
        <v>0</v>
      </c>
      <c r="BC734" s="140">
        <v>0</v>
      </c>
      <c r="BD734" s="140">
        <v>0</v>
      </c>
      <c r="BE734" s="140">
        <v>0</v>
      </c>
      <c r="BF734" s="140">
        <v>0</v>
      </c>
      <c r="BG734" s="140">
        <v>0</v>
      </c>
      <c r="BH734" s="140">
        <v>0</v>
      </c>
      <c r="BI734" s="140">
        <v>0</v>
      </c>
      <c r="BJ734" s="140">
        <v>0</v>
      </c>
      <c r="BK734" s="140">
        <v>0</v>
      </c>
      <c r="BL734" s="140">
        <v>0</v>
      </c>
      <c r="BM734" s="140">
        <v>0</v>
      </c>
      <c r="BN734" s="140">
        <v>0</v>
      </c>
      <c r="BO734" s="140">
        <v>0</v>
      </c>
      <c r="BX734" s="43">
        <v>18</v>
      </c>
      <c r="CA734" s="90">
        <f t="shared" si="89"/>
        <v>1.75</v>
      </c>
      <c r="CB734" s="90">
        <f t="shared" si="89"/>
        <v>1.75</v>
      </c>
      <c r="CC734" s="90">
        <f t="shared" si="89"/>
        <v>1.75</v>
      </c>
      <c r="CD734" s="90">
        <f t="shared" si="89"/>
        <v>1.75</v>
      </c>
      <c r="CT734" s="90">
        <f t="shared" si="82"/>
        <v>7</v>
      </c>
      <c r="CU734" s="90">
        <f t="shared" si="83"/>
        <v>7</v>
      </c>
    </row>
    <row r="735" spans="1:99" ht="12" customHeight="1">
      <c r="A735" s="43">
        <v>6221</v>
      </c>
      <c r="B735" s="89" t="s">
        <v>1515</v>
      </c>
      <c r="C735" s="89" t="s">
        <v>2054</v>
      </c>
      <c r="D735" s="89" t="s">
        <v>2055</v>
      </c>
      <c r="F735" s="43">
        <v>526099</v>
      </c>
      <c r="G735" s="43">
        <v>173957</v>
      </c>
      <c r="H735" s="89" t="s">
        <v>179</v>
      </c>
      <c r="K735" s="140">
        <v>4</v>
      </c>
      <c r="L735" s="140">
        <v>4</v>
      </c>
      <c r="M735" s="140">
        <v>0</v>
      </c>
      <c r="N735" s="140">
        <v>11</v>
      </c>
      <c r="O735" s="140">
        <v>7</v>
      </c>
      <c r="P735" s="43" t="s">
        <v>329</v>
      </c>
      <c r="Q735" s="89" t="s">
        <v>2056</v>
      </c>
      <c r="R735" s="43" t="s">
        <v>316</v>
      </c>
      <c r="S735" s="125">
        <v>43643</v>
      </c>
      <c r="T735" s="117">
        <v>43700</v>
      </c>
      <c r="U735" s="43" t="s">
        <v>329</v>
      </c>
      <c r="V735" s="43" t="s">
        <v>317</v>
      </c>
      <c r="X735" s="43" t="s">
        <v>318</v>
      </c>
      <c r="Y735" s="43" t="s">
        <v>319</v>
      </c>
      <c r="Z735" s="43" t="s">
        <v>320</v>
      </c>
      <c r="AA735" s="43" t="s">
        <v>636</v>
      </c>
      <c r="AB735" s="144">
        <v>1.8999999389052401E-2</v>
      </c>
      <c r="AF735" s="43" t="s">
        <v>75</v>
      </c>
      <c r="AG735" s="43" t="s">
        <v>322</v>
      </c>
      <c r="AJ735" s="140">
        <v>0</v>
      </c>
      <c r="AK735" s="140">
        <v>0</v>
      </c>
      <c r="AL735" s="140">
        <v>0</v>
      </c>
      <c r="AM735" s="140">
        <v>0</v>
      </c>
      <c r="AN735" s="140">
        <v>4</v>
      </c>
      <c r="AO735" s="140">
        <v>-4</v>
      </c>
      <c r="AP735" s="140">
        <v>0</v>
      </c>
      <c r="AQ735" s="140">
        <v>0</v>
      </c>
      <c r="AR735" s="140">
        <v>0</v>
      </c>
      <c r="AS735" s="140">
        <v>0</v>
      </c>
      <c r="AT735" s="140">
        <v>0</v>
      </c>
      <c r="AU735" s="140">
        <v>4</v>
      </c>
      <c r="AV735" s="140">
        <v>-4</v>
      </c>
      <c r="AW735" s="140">
        <v>0</v>
      </c>
      <c r="AX735" s="140">
        <v>0</v>
      </c>
      <c r="AY735" s="140">
        <v>0</v>
      </c>
      <c r="AZ735" s="140">
        <v>0</v>
      </c>
      <c r="BA735" s="140">
        <v>0</v>
      </c>
      <c r="BB735" s="140">
        <v>0</v>
      </c>
      <c r="BC735" s="140">
        <v>0</v>
      </c>
      <c r="BD735" s="140">
        <v>0</v>
      </c>
      <c r="BE735" s="140">
        <v>0</v>
      </c>
      <c r="BF735" s="140">
        <v>0</v>
      </c>
      <c r="BG735" s="140">
        <v>0</v>
      </c>
      <c r="BH735" s="140">
        <v>0</v>
      </c>
      <c r="BI735" s="140">
        <v>0</v>
      </c>
      <c r="BJ735" s="140">
        <v>0</v>
      </c>
      <c r="BK735" s="140">
        <v>0</v>
      </c>
      <c r="BL735" s="140">
        <v>0</v>
      </c>
      <c r="BM735" s="140">
        <v>0</v>
      </c>
      <c r="BN735" s="140">
        <v>0</v>
      </c>
      <c r="BO735" s="140">
        <v>0</v>
      </c>
      <c r="BX735" s="43">
        <v>18</v>
      </c>
      <c r="CA735" s="90">
        <f t="shared" si="89"/>
        <v>0</v>
      </c>
      <c r="CB735" s="90">
        <f t="shared" si="89"/>
        <v>0</v>
      </c>
      <c r="CC735" s="90">
        <f t="shared" si="89"/>
        <v>0</v>
      </c>
      <c r="CD735" s="90">
        <f t="shared" si="89"/>
        <v>0</v>
      </c>
      <c r="CT735" s="90">
        <f t="shared" si="82"/>
        <v>0</v>
      </c>
      <c r="CU735" s="90">
        <f t="shared" si="83"/>
        <v>0</v>
      </c>
    </row>
    <row r="736" spans="1:99" ht="12" customHeight="1">
      <c r="A736" s="43">
        <v>6223</v>
      </c>
      <c r="B736" s="89" t="s">
        <v>1515</v>
      </c>
      <c r="C736" s="89" t="s">
        <v>2057</v>
      </c>
      <c r="D736" s="89" t="s">
        <v>2058</v>
      </c>
      <c r="F736" s="43">
        <v>527302</v>
      </c>
      <c r="G736" s="43">
        <v>177164</v>
      </c>
      <c r="H736" s="89" t="s">
        <v>177</v>
      </c>
      <c r="K736" s="140">
        <v>0</v>
      </c>
      <c r="L736" s="140">
        <v>4</v>
      </c>
      <c r="M736" s="140">
        <v>4</v>
      </c>
      <c r="N736" s="140">
        <v>4</v>
      </c>
      <c r="O736" s="140">
        <v>4</v>
      </c>
      <c r="Q736" s="89" t="s">
        <v>2059</v>
      </c>
      <c r="R736" s="43" t="s">
        <v>620</v>
      </c>
      <c r="S736" s="125">
        <v>42600</v>
      </c>
      <c r="T736" s="117">
        <v>42656</v>
      </c>
      <c r="V736" s="43" t="s">
        <v>317</v>
      </c>
      <c r="X736" s="43" t="s">
        <v>318</v>
      </c>
      <c r="Y736" s="43" t="s">
        <v>336</v>
      </c>
      <c r="Z736" s="43" t="s">
        <v>320</v>
      </c>
      <c r="AA736" s="43" t="s">
        <v>33</v>
      </c>
      <c r="AB736" s="144">
        <v>2.19999998807907E-2</v>
      </c>
      <c r="AF736" s="43" t="s">
        <v>75</v>
      </c>
      <c r="AG736" s="43" t="s">
        <v>322</v>
      </c>
      <c r="AJ736" s="140">
        <v>0</v>
      </c>
      <c r="AK736" s="140">
        <v>0</v>
      </c>
      <c r="AL736" s="140">
        <v>0</v>
      </c>
      <c r="AM736" s="140">
        <v>0</v>
      </c>
      <c r="AN736" s="140">
        <v>0</v>
      </c>
      <c r="AO736" s="140">
        <v>2</v>
      </c>
      <c r="AP736" s="140">
        <v>2</v>
      </c>
      <c r="AQ736" s="140">
        <v>0</v>
      </c>
      <c r="AR736" s="140">
        <v>0</v>
      </c>
      <c r="AS736" s="140">
        <v>0</v>
      </c>
      <c r="AT736" s="140">
        <v>0</v>
      </c>
      <c r="AU736" s="140">
        <v>0</v>
      </c>
      <c r="AV736" s="140">
        <v>2</v>
      </c>
      <c r="AW736" s="140">
        <v>2</v>
      </c>
      <c r="AX736" s="140">
        <v>0</v>
      </c>
      <c r="AY736" s="140">
        <v>0</v>
      </c>
      <c r="AZ736" s="140">
        <v>0</v>
      </c>
      <c r="BA736" s="140">
        <v>0</v>
      </c>
      <c r="BB736" s="140">
        <v>0</v>
      </c>
      <c r="BC736" s="140">
        <v>0</v>
      </c>
      <c r="BD736" s="140">
        <v>0</v>
      </c>
      <c r="BE736" s="140">
        <v>0</v>
      </c>
      <c r="BF736" s="140">
        <v>0</v>
      </c>
      <c r="BG736" s="140">
        <v>0</v>
      </c>
      <c r="BH736" s="140">
        <v>0</v>
      </c>
      <c r="BI736" s="140">
        <v>0</v>
      </c>
      <c r="BJ736" s="140">
        <v>0</v>
      </c>
      <c r="BK736" s="140">
        <v>0</v>
      </c>
      <c r="BL736" s="140">
        <v>0</v>
      </c>
      <c r="BM736" s="140">
        <v>0</v>
      </c>
      <c r="BN736" s="140">
        <v>0</v>
      </c>
      <c r="BO736" s="140">
        <v>0</v>
      </c>
      <c r="BV736" s="43" t="s">
        <v>329</v>
      </c>
      <c r="BX736" s="43">
        <v>15</v>
      </c>
      <c r="BZ736" s="90">
        <f>$M736/3</f>
        <v>1.3333333333333333</v>
      </c>
      <c r="CA736" s="90">
        <f>$M736/3</f>
        <v>1.3333333333333333</v>
      </c>
      <c r="CB736" s="90">
        <f>$M736/3</f>
        <v>1.3333333333333333</v>
      </c>
      <c r="CT736" s="90">
        <f t="shared" si="82"/>
        <v>4</v>
      </c>
      <c r="CU736" s="90">
        <f t="shared" si="83"/>
        <v>4</v>
      </c>
    </row>
    <row r="737" spans="1:99" ht="12" customHeight="1">
      <c r="A737" s="43">
        <v>6251</v>
      </c>
      <c r="B737" s="89" t="s">
        <v>1515</v>
      </c>
      <c r="C737" s="89" t="s">
        <v>2060</v>
      </c>
      <c r="D737" s="89" t="s">
        <v>2061</v>
      </c>
      <c r="F737" s="43">
        <v>522836</v>
      </c>
      <c r="G737" s="43">
        <v>174659</v>
      </c>
      <c r="H737" s="89" t="s">
        <v>181</v>
      </c>
      <c r="K737" s="140">
        <v>1</v>
      </c>
      <c r="L737" s="140">
        <v>1</v>
      </c>
      <c r="M737" s="140">
        <v>0</v>
      </c>
      <c r="N737" s="140">
        <v>1</v>
      </c>
      <c r="O737" s="140">
        <v>0</v>
      </c>
      <c r="Q737" s="89" t="s">
        <v>2062</v>
      </c>
      <c r="R737" s="43" t="s">
        <v>316</v>
      </c>
      <c r="S737" s="125">
        <v>42506</v>
      </c>
      <c r="T737" s="117">
        <v>42562</v>
      </c>
      <c r="V737" s="43" t="s">
        <v>317</v>
      </c>
      <c r="X737" s="43" t="s">
        <v>318</v>
      </c>
      <c r="Y737" s="43" t="s">
        <v>361</v>
      </c>
      <c r="Z737" s="43" t="s">
        <v>320</v>
      </c>
      <c r="AA737" s="43" t="s">
        <v>353</v>
      </c>
      <c r="AB737" s="144">
        <v>5.0999999046325697E-2</v>
      </c>
      <c r="AF737" s="43" t="s">
        <v>75</v>
      </c>
      <c r="AG737" s="43" t="s">
        <v>322</v>
      </c>
      <c r="AJ737" s="140">
        <v>0</v>
      </c>
      <c r="AK737" s="140">
        <v>0</v>
      </c>
      <c r="AL737" s="140">
        <v>1</v>
      </c>
      <c r="AM737" s="140">
        <v>0</v>
      </c>
      <c r="AN737" s="140">
        <v>0</v>
      </c>
      <c r="AO737" s="140">
        <v>0</v>
      </c>
      <c r="AP737" s="140">
        <v>0</v>
      </c>
      <c r="AQ737" s="140">
        <v>-1</v>
      </c>
      <c r="AR737" s="140">
        <v>0</v>
      </c>
      <c r="AS737" s="140">
        <v>1</v>
      </c>
      <c r="AT737" s="140">
        <v>0</v>
      </c>
      <c r="AU737" s="140">
        <v>0</v>
      </c>
      <c r="AV737" s="140">
        <v>0</v>
      </c>
      <c r="AW737" s="140">
        <v>0</v>
      </c>
      <c r="AX737" s="140">
        <v>0</v>
      </c>
      <c r="AY737" s="140">
        <v>0</v>
      </c>
      <c r="AZ737" s="140">
        <v>0</v>
      </c>
      <c r="BA737" s="140">
        <v>0</v>
      </c>
      <c r="BB737" s="140">
        <v>0</v>
      </c>
      <c r="BC737" s="140">
        <v>0</v>
      </c>
      <c r="BD737" s="140">
        <v>0</v>
      </c>
      <c r="BE737" s="140">
        <v>-1</v>
      </c>
      <c r="BF737" s="140">
        <v>0</v>
      </c>
      <c r="BG737" s="140">
        <v>1</v>
      </c>
      <c r="BH737" s="140">
        <v>0</v>
      </c>
      <c r="BI737" s="140">
        <v>0</v>
      </c>
      <c r="BJ737" s="140">
        <v>0</v>
      </c>
      <c r="BK737" s="140">
        <v>0</v>
      </c>
      <c r="BL737" s="140">
        <v>0</v>
      </c>
      <c r="BM737" s="140">
        <v>0</v>
      </c>
      <c r="BN737" s="140">
        <v>0</v>
      </c>
      <c r="BO737" s="140">
        <v>0</v>
      </c>
      <c r="BX737" s="43">
        <v>6</v>
      </c>
      <c r="CA737" s="90">
        <f t="shared" ref="CA737:CD738" si="90">$M737/4</f>
        <v>0</v>
      </c>
      <c r="CB737" s="90">
        <f t="shared" si="90"/>
        <v>0</v>
      </c>
      <c r="CC737" s="90">
        <f t="shared" si="90"/>
        <v>0</v>
      </c>
      <c r="CD737" s="90">
        <f t="shared" si="90"/>
        <v>0</v>
      </c>
      <c r="CT737" s="90">
        <f t="shared" si="82"/>
        <v>0</v>
      </c>
      <c r="CU737" s="90">
        <f t="shared" si="83"/>
        <v>0</v>
      </c>
    </row>
    <row r="738" spans="1:99" ht="12" customHeight="1">
      <c r="A738" s="43">
        <v>6256</v>
      </c>
      <c r="B738" s="89" t="s">
        <v>1515</v>
      </c>
      <c r="C738" s="89" t="s">
        <v>2063</v>
      </c>
      <c r="D738" s="89" t="s">
        <v>2064</v>
      </c>
      <c r="F738" s="43">
        <v>528092</v>
      </c>
      <c r="G738" s="43">
        <v>176612</v>
      </c>
      <c r="H738" s="89" t="s">
        <v>147</v>
      </c>
      <c r="K738" s="140">
        <v>0</v>
      </c>
      <c r="L738" s="140">
        <v>3</v>
      </c>
      <c r="M738" s="140">
        <v>3</v>
      </c>
      <c r="N738" s="140">
        <v>3</v>
      </c>
      <c r="O738" s="140">
        <v>3</v>
      </c>
      <c r="Q738" s="89" t="s">
        <v>2065</v>
      </c>
      <c r="R738" s="43" t="s">
        <v>316</v>
      </c>
      <c r="S738" s="125">
        <v>42752</v>
      </c>
      <c r="T738" s="117">
        <v>42793</v>
      </c>
      <c r="V738" s="43" t="s">
        <v>317</v>
      </c>
      <c r="X738" s="43" t="s">
        <v>318</v>
      </c>
      <c r="Y738" s="43" t="s">
        <v>361</v>
      </c>
      <c r="Z738" s="43" t="s">
        <v>320</v>
      </c>
      <c r="AA738" s="43" t="s">
        <v>353</v>
      </c>
      <c r="AB738" s="144">
        <v>1.4000000432133701E-2</v>
      </c>
      <c r="AF738" s="43" t="s">
        <v>75</v>
      </c>
      <c r="AG738" s="43" t="s">
        <v>322</v>
      </c>
      <c r="AJ738" s="140">
        <v>0</v>
      </c>
      <c r="AK738" s="140">
        <v>0</v>
      </c>
      <c r="AL738" s="140">
        <v>0</v>
      </c>
      <c r="AM738" s="140">
        <v>0</v>
      </c>
      <c r="AN738" s="140">
        <v>0</v>
      </c>
      <c r="AO738" s="140">
        <v>0</v>
      </c>
      <c r="AP738" s="140">
        <v>3</v>
      </c>
      <c r="AQ738" s="140">
        <v>0</v>
      </c>
      <c r="AR738" s="140">
        <v>0</v>
      </c>
      <c r="AS738" s="140">
        <v>0</v>
      </c>
      <c r="AT738" s="140">
        <v>0</v>
      </c>
      <c r="AU738" s="140">
        <v>0</v>
      </c>
      <c r="AV738" s="140">
        <v>0</v>
      </c>
      <c r="AW738" s="140">
        <v>3</v>
      </c>
      <c r="AX738" s="140">
        <v>0</v>
      </c>
      <c r="AY738" s="140">
        <v>0</v>
      </c>
      <c r="AZ738" s="140">
        <v>0</v>
      </c>
      <c r="BA738" s="140">
        <v>0</v>
      </c>
      <c r="BB738" s="140">
        <v>0</v>
      </c>
      <c r="BC738" s="140">
        <v>0</v>
      </c>
      <c r="BD738" s="140">
        <v>0</v>
      </c>
      <c r="BE738" s="140">
        <v>0</v>
      </c>
      <c r="BF738" s="140">
        <v>0</v>
      </c>
      <c r="BG738" s="140">
        <v>0</v>
      </c>
      <c r="BH738" s="140">
        <v>0</v>
      </c>
      <c r="BI738" s="140">
        <v>0</v>
      </c>
      <c r="BJ738" s="140">
        <v>0</v>
      </c>
      <c r="BK738" s="140">
        <v>0</v>
      </c>
      <c r="BL738" s="140">
        <v>0</v>
      </c>
      <c r="BM738" s="140">
        <v>0</v>
      </c>
      <c r="BN738" s="140">
        <v>0</v>
      </c>
      <c r="BO738" s="140">
        <v>0</v>
      </c>
      <c r="BX738" s="43">
        <v>6</v>
      </c>
      <c r="CA738" s="90">
        <f t="shared" si="90"/>
        <v>0.75</v>
      </c>
      <c r="CB738" s="90">
        <f t="shared" si="90"/>
        <v>0.75</v>
      </c>
      <c r="CC738" s="90">
        <f t="shared" si="90"/>
        <v>0.75</v>
      </c>
      <c r="CD738" s="90">
        <f t="shared" si="90"/>
        <v>0.75</v>
      </c>
      <c r="CT738" s="90">
        <f t="shared" si="82"/>
        <v>3</v>
      </c>
      <c r="CU738" s="90">
        <f t="shared" si="83"/>
        <v>3</v>
      </c>
    </row>
    <row r="739" spans="1:99" ht="12" customHeight="1">
      <c r="A739" s="43">
        <v>6279</v>
      </c>
      <c r="B739" s="89" t="s">
        <v>1515</v>
      </c>
      <c r="C739" s="89" t="s">
        <v>2066</v>
      </c>
      <c r="D739" s="89" t="s">
        <v>2067</v>
      </c>
      <c r="F739" s="43">
        <v>523783</v>
      </c>
      <c r="G739" s="43">
        <v>173677</v>
      </c>
      <c r="H739" s="89" t="s">
        <v>180</v>
      </c>
      <c r="K739" s="140">
        <v>0</v>
      </c>
      <c r="L739" s="140">
        <v>1</v>
      </c>
      <c r="M739" s="140">
        <v>1</v>
      </c>
      <c r="N739" s="140">
        <v>1</v>
      </c>
      <c r="O739" s="140">
        <v>1</v>
      </c>
      <c r="Q739" s="89" t="s">
        <v>2068</v>
      </c>
      <c r="R739" s="43" t="s">
        <v>316</v>
      </c>
      <c r="S739" s="125">
        <v>42646</v>
      </c>
      <c r="T739" s="117">
        <v>42719</v>
      </c>
      <c r="V739" s="43" t="s">
        <v>317</v>
      </c>
      <c r="X739" s="43" t="s">
        <v>318</v>
      </c>
      <c r="Y739" s="43" t="s">
        <v>379</v>
      </c>
      <c r="Z739" s="43" t="s">
        <v>320</v>
      </c>
      <c r="AA739" s="43" t="s">
        <v>340</v>
      </c>
      <c r="AB739" s="144">
        <v>7.0000002160668399E-3</v>
      </c>
      <c r="AF739" s="43" t="s">
        <v>75</v>
      </c>
      <c r="AG739" s="43" t="s">
        <v>322</v>
      </c>
      <c r="AJ739" s="140">
        <v>0</v>
      </c>
      <c r="AK739" s="140">
        <v>0</v>
      </c>
      <c r="AL739" s="140">
        <v>0</v>
      </c>
      <c r="AM739" s="140">
        <v>0</v>
      </c>
      <c r="AN739" s="140">
        <v>0</v>
      </c>
      <c r="AO739" s="140">
        <v>1</v>
      </c>
      <c r="AP739" s="140">
        <v>0</v>
      </c>
      <c r="AQ739" s="140">
        <v>0</v>
      </c>
      <c r="AR739" s="140">
        <v>0</v>
      </c>
      <c r="AS739" s="140">
        <v>0</v>
      </c>
      <c r="AT739" s="140">
        <v>0</v>
      </c>
      <c r="AU739" s="140">
        <v>0</v>
      </c>
      <c r="AV739" s="140">
        <v>1</v>
      </c>
      <c r="AW739" s="140">
        <v>0</v>
      </c>
      <c r="AX739" s="140">
        <v>0</v>
      </c>
      <c r="AY739" s="140">
        <v>0</v>
      </c>
      <c r="AZ739" s="140">
        <v>0</v>
      </c>
      <c r="BA739" s="140">
        <v>0</v>
      </c>
      <c r="BB739" s="140">
        <v>0</v>
      </c>
      <c r="BC739" s="140">
        <v>0</v>
      </c>
      <c r="BD739" s="140">
        <v>0</v>
      </c>
      <c r="BE739" s="140">
        <v>0</v>
      </c>
      <c r="BF739" s="140">
        <v>0</v>
      </c>
      <c r="BG739" s="140">
        <v>0</v>
      </c>
      <c r="BH739" s="140">
        <v>0</v>
      </c>
      <c r="BI739" s="140">
        <v>0</v>
      </c>
      <c r="BJ739" s="140">
        <v>0</v>
      </c>
      <c r="BK739" s="140">
        <v>0</v>
      </c>
      <c r="BL739" s="140">
        <v>0</v>
      </c>
      <c r="BM739" s="140">
        <v>0</v>
      </c>
      <c r="BN739" s="140">
        <v>0</v>
      </c>
      <c r="BO739" s="140">
        <v>0</v>
      </c>
      <c r="BX739" s="43">
        <v>15</v>
      </c>
      <c r="BZ739" s="90">
        <f>$M739/3</f>
        <v>0.33333333333333331</v>
      </c>
      <c r="CA739" s="90">
        <f>$M739/3</f>
        <v>0.33333333333333331</v>
      </c>
      <c r="CB739" s="90">
        <f>$M739/3</f>
        <v>0.33333333333333331</v>
      </c>
      <c r="CT739" s="90">
        <f t="shared" si="82"/>
        <v>1</v>
      </c>
      <c r="CU739" s="90">
        <f t="shared" si="83"/>
        <v>1</v>
      </c>
    </row>
    <row r="740" spans="1:99" ht="12" customHeight="1">
      <c r="A740" s="43">
        <v>6284</v>
      </c>
      <c r="B740" s="89" t="s">
        <v>1515</v>
      </c>
      <c r="C740" s="89" t="s">
        <v>2069</v>
      </c>
      <c r="D740" s="89" t="s">
        <v>2070</v>
      </c>
      <c r="F740" s="43">
        <v>525537</v>
      </c>
      <c r="G740" s="43">
        <v>174739</v>
      </c>
      <c r="H740" s="89" t="s">
        <v>170</v>
      </c>
      <c r="K740" s="140">
        <v>0</v>
      </c>
      <c r="L740" s="140">
        <v>34</v>
      </c>
      <c r="M740" s="140">
        <v>34</v>
      </c>
      <c r="N740" s="140">
        <v>50</v>
      </c>
      <c r="O740" s="140">
        <v>50</v>
      </c>
      <c r="P740" s="43" t="s">
        <v>329</v>
      </c>
      <c r="Q740" s="89" t="s">
        <v>2071</v>
      </c>
      <c r="R740" s="43" t="s">
        <v>392</v>
      </c>
      <c r="S740" s="125">
        <v>42804</v>
      </c>
      <c r="T740" s="117">
        <v>43069</v>
      </c>
      <c r="V740" s="43" t="s">
        <v>317</v>
      </c>
      <c r="X740" s="43" t="s">
        <v>318</v>
      </c>
      <c r="Y740" s="43" t="s">
        <v>361</v>
      </c>
      <c r="Z740" s="43" t="s">
        <v>361</v>
      </c>
      <c r="AA740" s="43" t="s">
        <v>320</v>
      </c>
      <c r="AB740" s="144">
        <v>0.17499999701976801</v>
      </c>
      <c r="AF740" s="43" t="s">
        <v>75</v>
      </c>
      <c r="AG740" s="43" t="s">
        <v>322</v>
      </c>
      <c r="AH740" s="43" t="s">
        <v>1755</v>
      </c>
      <c r="AJ740" s="140">
        <v>50</v>
      </c>
      <c r="AK740" s="140">
        <v>27</v>
      </c>
      <c r="AL740" s="140">
        <v>5</v>
      </c>
      <c r="AM740" s="140">
        <v>5</v>
      </c>
      <c r="AN740" s="140">
        <v>8</v>
      </c>
      <c r="AO740" s="140">
        <v>26</v>
      </c>
      <c r="AP740" s="140">
        <v>0</v>
      </c>
      <c r="AQ740" s="140">
        <v>0</v>
      </c>
      <c r="AR740" s="140">
        <v>0</v>
      </c>
      <c r="AS740" s="140">
        <v>0</v>
      </c>
      <c r="AT740" s="140">
        <v>0</v>
      </c>
      <c r="AU740" s="140">
        <v>6</v>
      </c>
      <c r="AV740" s="140">
        <v>26</v>
      </c>
      <c r="AW740" s="140">
        <v>0</v>
      </c>
      <c r="AX740" s="140">
        <v>0</v>
      </c>
      <c r="AY740" s="140">
        <v>0</v>
      </c>
      <c r="AZ740" s="140">
        <v>0</v>
      </c>
      <c r="BA740" s="140">
        <v>0</v>
      </c>
      <c r="BB740" s="140">
        <v>0</v>
      </c>
      <c r="BC740" s="140">
        <v>0</v>
      </c>
      <c r="BD740" s="140">
        <v>0</v>
      </c>
      <c r="BE740" s="140">
        <v>0</v>
      </c>
      <c r="BF740" s="140">
        <v>0</v>
      </c>
      <c r="BG740" s="140">
        <v>0</v>
      </c>
      <c r="BH740" s="140">
        <v>0</v>
      </c>
      <c r="BI740" s="140">
        <v>2</v>
      </c>
      <c r="BJ740" s="140">
        <v>0</v>
      </c>
      <c r="BK740" s="140">
        <v>0</v>
      </c>
      <c r="BL740" s="140">
        <v>0</v>
      </c>
      <c r="BM740" s="140">
        <v>0</v>
      </c>
      <c r="BN740" s="140">
        <v>0</v>
      </c>
      <c r="BO740" s="140">
        <v>0</v>
      </c>
      <c r="BP740" s="43" t="s">
        <v>142</v>
      </c>
      <c r="BR740" s="43" t="s">
        <v>329</v>
      </c>
      <c r="BX740" s="43">
        <v>9</v>
      </c>
      <c r="CC740" s="90">
        <f t="shared" ref="CC740:CE741" si="91">$M740/3</f>
        <v>11.333333333333334</v>
      </c>
      <c r="CD740" s="90">
        <f t="shared" si="91"/>
        <v>11.333333333333334</v>
      </c>
      <c r="CE740" s="90">
        <f t="shared" si="91"/>
        <v>11.333333333333334</v>
      </c>
      <c r="CT740" s="90">
        <f t="shared" si="82"/>
        <v>22.666666666666668</v>
      </c>
      <c r="CU740" s="90">
        <f t="shared" si="83"/>
        <v>34</v>
      </c>
    </row>
    <row r="741" spans="1:99" ht="12" customHeight="1">
      <c r="A741" s="43">
        <v>6284</v>
      </c>
      <c r="B741" s="89" t="s">
        <v>1515</v>
      </c>
      <c r="C741" s="89" t="s">
        <v>2069</v>
      </c>
      <c r="D741" s="89" t="s">
        <v>2070</v>
      </c>
      <c r="F741" s="43">
        <v>525537</v>
      </c>
      <c r="G741" s="43">
        <v>174739</v>
      </c>
      <c r="H741" s="89" t="s">
        <v>170</v>
      </c>
      <c r="K741" s="140">
        <v>0</v>
      </c>
      <c r="L741" s="140">
        <v>16</v>
      </c>
      <c r="M741" s="140">
        <v>16</v>
      </c>
      <c r="N741" s="140">
        <v>50</v>
      </c>
      <c r="O741" s="140">
        <v>50</v>
      </c>
      <c r="P741" s="43" t="s">
        <v>329</v>
      </c>
      <c r="Q741" s="89" t="s">
        <v>2071</v>
      </c>
      <c r="R741" s="43" t="s">
        <v>392</v>
      </c>
      <c r="S741" s="125">
        <v>42804</v>
      </c>
      <c r="T741" s="117">
        <v>43069</v>
      </c>
      <c r="V741" s="43" t="s">
        <v>317</v>
      </c>
      <c r="X741" s="43" t="s">
        <v>318</v>
      </c>
      <c r="Y741" s="43" t="s">
        <v>361</v>
      </c>
      <c r="Z741" s="43" t="s">
        <v>444</v>
      </c>
      <c r="AA741" s="43" t="s">
        <v>320</v>
      </c>
      <c r="AB741" s="144">
        <v>8.2999996840953799E-2</v>
      </c>
      <c r="AF741" s="43" t="s">
        <v>75</v>
      </c>
      <c r="AG741" s="43" t="s">
        <v>322</v>
      </c>
      <c r="AH741" s="43" t="s">
        <v>1755</v>
      </c>
      <c r="AJ741" s="140">
        <v>0</v>
      </c>
      <c r="AK741" s="140">
        <v>16</v>
      </c>
      <c r="AL741" s="140">
        <v>0</v>
      </c>
      <c r="AM741" s="140">
        <v>0</v>
      </c>
      <c r="AN741" s="140">
        <v>0</v>
      </c>
      <c r="AO741" s="140">
        <v>0</v>
      </c>
      <c r="AP741" s="140">
        <v>12</v>
      </c>
      <c r="AQ741" s="140">
        <v>4</v>
      </c>
      <c r="AR741" s="140">
        <v>0</v>
      </c>
      <c r="AS741" s="140">
        <v>0</v>
      </c>
      <c r="AT741" s="140">
        <v>0</v>
      </c>
      <c r="AU741" s="140">
        <v>0</v>
      </c>
      <c r="AV741" s="140">
        <v>0</v>
      </c>
      <c r="AW741" s="140">
        <v>12</v>
      </c>
      <c r="AX741" s="140">
        <v>3</v>
      </c>
      <c r="AY741" s="140">
        <v>0</v>
      </c>
      <c r="AZ741" s="140">
        <v>0</v>
      </c>
      <c r="BA741" s="140">
        <v>0</v>
      </c>
      <c r="BB741" s="140">
        <v>0</v>
      </c>
      <c r="BC741" s="140">
        <v>0</v>
      </c>
      <c r="BD741" s="140">
        <v>0</v>
      </c>
      <c r="BE741" s="140">
        <v>1</v>
      </c>
      <c r="BF741" s="140">
        <v>0</v>
      </c>
      <c r="BG741" s="140">
        <v>0</v>
      </c>
      <c r="BH741" s="140">
        <v>0</v>
      </c>
      <c r="BI741" s="140">
        <v>0</v>
      </c>
      <c r="BJ741" s="140">
        <v>0</v>
      </c>
      <c r="BK741" s="140">
        <v>0</v>
      </c>
      <c r="BL741" s="140">
        <v>0</v>
      </c>
      <c r="BM741" s="140">
        <v>0</v>
      </c>
      <c r="BN741" s="140">
        <v>0</v>
      </c>
      <c r="BO741" s="140">
        <v>0</v>
      </c>
      <c r="BP741" s="43" t="s">
        <v>142</v>
      </c>
      <c r="BR741" s="43" t="s">
        <v>329</v>
      </c>
      <c r="BX741" s="43">
        <v>9</v>
      </c>
      <c r="CC741" s="90">
        <f t="shared" si="91"/>
        <v>5.333333333333333</v>
      </c>
      <c r="CD741" s="90">
        <f t="shared" si="91"/>
        <v>5.333333333333333</v>
      </c>
      <c r="CE741" s="90">
        <f t="shared" si="91"/>
        <v>5.333333333333333</v>
      </c>
      <c r="CT741" s="90">
        <f t="shared" si="82"/>
        <v>10.666666666666666</v>
      </c>
      <c r="CU741" s="90">
        <f t="shared" si="83"/>
        <v>16</v>
      </c>
    </row>
    <row r="742" spans="1:99" ht="12" customHeight="1">
      <c r="A742" s="43">
        <v>6293</v>
      </c>
      <c r="B742" s="89" t="s">
        <v>1515</v>
      </c>
      <c r="C742" s="89" t="s">
        <v>2072</v>
      </c>
      <c r="D742" s="89" t="s">
        <v>2073</v>
      </c>
      <c r="F742" s="43">
        <v>529372</v>
      </c>
      <c r="G742" s="43">
        <v>171169</v>
      </c>
      <c r="H742" s="89" t="s">
        <v>171</v>
      </c>
      <c r="K742" s="140">
        <v>0</v>
      </c>
      <c r="L742" s="140">
        <v>1</v>
      </c>
      <c r="M742" s="140">
        <v>1</v>
      </c>
      <c r="N742" s="140">
        <v>1</v>
      </c>
      <c r="O742" s="140">
        <v>1</v>
      </c>
      <c r="Q742" s="89" t="s">
        <v>2074</v>
      </c>
      <c r="R742" s="43" t="s">
        <v>316</v>
      </c>
      <c r="S742" s="125">
        <v>42550</v>
      </c>
      <c r="T742" s="117">
        <v>42606</v>
      </c>
      <c r="V742" s="43" t="s">
        <v>317</v>
      </c>
      <c r="X742" s="43" t="s">
        <v>318</v>
      </c>
      <c r="Y742" s="43" t="s">
        <v>336</v>
      </c>
      <c r="Z742" s="43" t="s">
        <v>320</v>
      </c>
      <c r="AA742" s="43" t="s">
        <v>30</v>
      </c>
      <c r="AB742" s="144">
        <v>8.9999996125698107E-3</v>
      </c>
      <c r="AF742" s="43" t="s">
        <v>75</v>
      </c>
      <c r="AG742" s="43" t="s">
        <v>322</v>
      </c>
      <c r="AJ742" s="140">
        <v>0</v>
      </c>
      <c r="AK742" s="140">
        <v>0</v>
      </c>
      <c r="AL742" s="140">
        <v>0</v>
      </c>
      <c r="AM742" s="140">
        <v>0</v>
      </c>
      <c r="AN742" s="140">
        <v>0</v>
      </c>
      <c r="AO742" s="140">
        <v>1</v>
      </c>
      <c r="AP742" s="140">
        <v>0</v>
      </c>
      <c r="AQ742" s="140">
        <v>0</v>
      </c>
      <c r="AR742" s="140">
        <v>0</v>
      </c>
      <c r="AS742" s="140">
        <v>0</v>
      </c>
      <c r="AT742" s="140">
        <v>0</v>
      </c>
      <c r="AU742" s="140">
        <v>0</v>
      </c>
      <c r="AV742" s="140">
        <v>1</v>
      </c>
      <c r="AW742" s="140">
        <v>0</v>
      </c>
      <c r="AX742" s="140">
        <v>0</v>
      </c>
      <c r="AY742" s="140">
        <v>0</v>
      </c>
      <c r="AZ742" s="140">
        <v>0</v>
      </c>
      <c r="BA742" s="140">
        <v>0</v>
      </c>
      <c r="BB742" s="140">
        <v>0</v>
      </c>
      <c r="BC742" s="140">
        <v>0</v>
      </c>
      <c r="BD742" s="140">
        <v>0</v>
      </c>
      <c r="BE742" s="140">
        <v>0</v>
      </c>
      <c r="BF742" s="140">
        <v>0</v>
      </c>
      <c r="BG742" s="140">
        <v>0</v>
      </c>
      <c r="BH742" s="140">
        <v>0</v>
      </c>
      <c r="BI742" s="140">
        <v>0</v>
      </c>
      <c r="BJ742" s="140">
        <v>0</v>
      </c>
      <c r="BK742" s="140">
        <v>0</v>
      </c>
      <c r="BL742" s="140">
        <v>0</v>
      </c>
      <c r="BM742" s="140">
        <v>0</v>
      </c>
      <c r="BN742" s="140">
        <v>0</v>
      </c>
      <c r="BO742" s="140">
        <v>0</v>
      </c>
      <c r="BX742" s="43">
        <v>15</v>
      </c>
      <c r="BZ742" s="90">
        <f>$M742/3</f>
        <v>0.33333333333333331</v>
      </c>
      <c r="CA742" s="90">
        <f>$M742/3</f>
        <v>0.33333333333333331</v>
      </c>
      <c r="CB742" s="90">
        <f>$M742/3</f>
        <v>0.33333333333333331</v>
      </c>
      <c r="CT742" s="90">
        <f t="shared" si="82"/>
        <v>1</v>
      </c>
      <c r="CU742" s="90">
        <f t="shared" si="83"/>
        <v>1</v>
      </c>
    </row>
    <row r="743" spans="1:99" ht="12" customHeight="1">
      <c r="A743" s="43">
        <v>6304</v>
      </c>
      <c r="B743" s="89" t="s">
        <v>1515</v>
      </c>
      <c r="C743" s="89" t="s">
        <v>2075</v>
      </c>
      <c r="D743" s="89" t="s">
        <v>2076</v>
      </c>
      <c r="F743" s="43">
        <v>526579</v>
      </c>
      <c r="G743" s="43">
        <v>173879</v>
      </c>
      <c r="H743" s="89" t="s">
        <v>179</v>
      </c>
      <c r="K743" s="140">
        <v>0</v>
      </c>
      <c r="L743" s="140">
        <v>1</v>
      </c>
      <c r="M743" s="140">
        <v>1</v>
      </c>
      <c r="N743" s="140">
        <v>1</v>
      </c>
      <c r="O743" s="140">
        <v>1</v>
      </c>
      <c r="Q743" s="89" t="s">
        <v>2077</v>
      </c>
      <c r="R743" s="43" t="s">
        <v>383</v>
      </c>
      <c r="S743" s="125">
        <v>42569</v>
      </c>
      <c r="T743" s="117">
        <v>42795</v>
      </c>
      <c r="V743" s="43" t="s">
        <v>384</v>
      </c>
      <c r="W743" s="117">
        <v>43048</v>
      </c>
      <c r="X743" s="43" t="s">
        <v>413</v>
      </c>
      <c r="Y743" s="43" t="s">
        <v>361</v>
      </c>
      <c r="Z743" s="43" t="s">
        <v>320</v>
      </c>
      <c r="AA743" s="43" t="s">
        <v>353</v>
      </c>
      <c r="AB743" s="144">
        <v>1.7999999225139601E-2</v>
      </c>
      <c r="AF743" s="43" t="s">
        <v>75</v>
      </c>
      <c r="AG743" s="43" t="s">
        <v>322</v>
      </c>
      <c r="AJ743" s="140">
        <v>1</v>
      </c>
      <c r="AK743" s="140">
        <v>0</v>
      </c>
      <c r="AL743" s="140">
        <v>0</v>
      </c>
      <c r="AM743" s="140">
        <v>0</v>
      </c>
      <c r="AN743" s="140">
        <v>0</v>
      </c>
      <c r="AO743" s="140">
        <v>0</v>
      </c>
      <c r="AP743" s="140">
        <v>0</v>
      </c>
      <c r="AQ743" s="140">
        <v>0</v>
      </c>
      <c r="AR743" s="140">
        <v>0</v>
      </c>
      <c r="AS743" s="140">
        <v>1</v>
      </c>
      <c r="AT743" s="140">
        <v>0</v>
      </c>
      <c r="AU743" s="140">
        <v>0</v>
      </c>
      <c r="AV743" s="140">
        <v>0</v>
      </c>
      <c r="AW743" s="140">
        <v>0</v>
      </c>
      <c r="AX743" s="140">
        <v>0</v>
      </c>
      <c r="AY743" s="140">
        <v>0</v>
      </c>
      <c r="AZ743" s="140">
        <v>0</v>
      </c>
      <c r="BA743" s="140">
        <v>0</v>
      </c>
      <c r="BB743" s="140">
        <v>0</v>
      </c>
      <c r="BC743" s="140">
        <v>0</v>
      </c>
      <c r="BD743" s="140">
        <v>0</v>
      </c>
      <c r="BE743" s="140">
        <v>0</v>
      </c>
      <c r="BF743" s="140">
        <v>0</v>
      </c>
      <c r="BG743" s="140">
        <v>1</v>
      </c>
      <c r="BH743" s="140">
        <v>0</v>
      </c>
      <c r="BI743" s="140">
        <v>0</v>
      </c>
      <c r="BJ743" s="140">
        <v>0</v>
      </c>
      <c r="BK743" s="140">
        <v>0</v>
      </c>
      <c r="BL743" s="140">
        <v>0</v>
      </c>
      <c r="BM743" s="140">
        <v>0</v>
      </c>
      <c r="BN743" s="140">
        <v>0</v>
      </c>
      <c r="BO743" s="140">
        <v>0</v>
      </c>
      <c r="BX743" s="43">
        <v>6</v>
      </c>
      <c r="CA743" s="90">
        <f>$M743/4</f>
        <v>0.25</v>
      </c>
      <c r="CB743" s="90">
        <f>$M743/4</f>
        <v>0.25</v>
      </c>
      <c r="CC743" s="90">
        <f>$M743/4</f>
        <v>0.25</v>
      </c>
      <c r="CD743" s="90">
        <f>$M743/4</f>
        <v>0.25</v>
      </c>
      <c r="CT743" s="90">
        <f t="shared" si="82"/>
        <v>1</v>
      </c>
      <c r="CU743" s="90">
        <f t="shared" si="83"/>
        <v>1</v>
      </c>
    </row>
    <row r="744" spans="1:99" ht="12" customHeight="1">
      <c r="A744" s="43">
        <v>6305</v>
      </c>
      <c r="B744" s="89" t="s">
        <v>1515</v>
      </c>
      <c r="C744" s="89" t="s">
        <v>2078</v>
      </c>
      <c r="D744" s="89" t="s">
        <v>2079</v>
      </c>
      <c r="F744" s="43">
        <v>522122</v>
      </c>
      <c r="G744" s="43">
        <v>175335</v>
      </c>
      <c r="H744" s="89" t="s">
        <v>181</v>
      </c>
      <c r="K744" s="140">
        <v>0</v>
      </c>
      <c r="L744" s="140">
        <v>4</v>
      </c>
      <c r="M744" s="140">
        <v>4</v>
      </c>
      <c r="N744" s="140">
        <v>4</v>
      </c>
      <c r="O744" s="140">
        <v>4</v>
      </c>
      <c r="Q744" s="89" t="s">
        <v>2080</v>
      </c>
      <c r="R744" s="43" t="s">
        <v>316</v>
      </c>
      <c r="S744" s="125">
        <v>42556</v>
      </c>
      <c r="T744" s="117">
        <v>42626</v>
      </c>
      <c r="V744" s="43" t="s">
        <v>317</v>
      </c>
      <c r="X744" s="43" t="s">
        <v>318</v>
      </c>
      <c r="Y744" s="43" t="s">
        <v>319</v>
      </c>
      <c r="Z744" s="43" t="s">
        <v>320</v>
      </c>
      <c r="AA744" s="43" t="s">
        <v>20</v>
      </c>
      <c r="AB744" s="144">
        <v>4.39999997615814E-2</v>
      </c>
      <c r="AF744" s="43" t="s">
        <v>75</v>
      </c>
      <c r="AG744" s="43" t="s">
        <v>322</v>
      </c>
      <c r="AJ744" s="140">
        <v>0</v>
      </c>
      <c r="AK744" s="140">
        <v>0</v>
      </c>
      <c r="AL744" s="140">
        <v>0</v>
      </c>
      <c r="AM744" s="140">
        <v>0</v>
      </c>
      <c r="AN744" s="140">
        <v>0</v>
      </c>
      <c r="AO744" s="140">
        <v>1</v>
      </c>
      <c r="AP744" s="140">
        <v>1</v>
      </c>
      <c r="AQ744" s="140">
        <v>2</v>
      </c>
      <c r="AR744" s="140">
        <v>0</v>
      </c>
      <c r="AS744" s="140">
        <v>0</v>
      </c>
      <c r="AT744" s="140">
        <v>0</v>
      </c>
      <c r="AU744" s="140">
        <v>0</v>
      </c>
      <c r="AV744" s="140">
        <v>1</v>
      </c>
      <c r="AW744" s="140">
        <v>1</v>
      </c>
      <c r="AX744" s="140">
        <v>2</v>
      </c>
      <c r="AY744" s="140">
        <v>0</v>
      </c>
      <c r="AZ744" s="140">
        <v>0</v>
      </c>
      <c r="BA744" s="140">
        <v>0</v>
      </c>
      <c r="BB744" s="140">
        <v>0</v>
      </c>
      <c r="BC744" s="140">
        <v>0</v>
      </c>
      <c r="BD744" s="140">
        <v>0</v>
      </c>
      <c r="BE744" s="140">
        <v>0</v>
      </c>
      <c r="BF744" s="140">
        <v>0</v>
      </c>
      <c r="BG744" s="140">
        <v>0</v>
      </c>
      <c r="BH744" s="140">
        <v>0</v>
      </c>
      <c r="BI744" s="140">
        <v>0</v>
      </c>
      <c r="BJ744" s="140">
        <v>0</v>
      </c>
      <c r="BK744" s="140">
        <v>0</v>
      </c>
      <c r="BL744" s="140">
        <v>0</v>
      </c>
      <c r="BM744" s="140">
        <v>0</v>
      </c>
      <c r="BN744" s="140">
        <v>0</v>
      </c>
      <c r="BO744" s="140">
        <v>0</v>
      </c>
      <c r="BX744" s="43">
        <v>15</v>
      </c>
      <c r="BZ744" s="90">
        <f t="shared" ref="BZ744:CB745" si="92">$M744/3</f>
        <v>1.3333333333333333</v>
      </c>
      <c r="CA744" s="90">
        <f t="shared" si="92"/>
        <v>1.3333333333333333</v>
      </c>
      <c r="CB744" s="90">
        <f t="shared" si="92"/>
        <v>1.3333333333333333</v>
      </c>
      <c r="CT744" s="90">
        <f t="shared" si="82"/>
        <v>4</v>
      </c>
      <c r="CU744" s="90">
        <f t="shared" si="83"/>
        <v>4</v>
      </c>
    </row>
    <row r="745" spans="1:99" ht="12" customHeight="1">
      <c r="A745" s="43">
        <v>6307</v>
      </c>
      <c r="B745" s="89" t="s">
        <v>1515</v>
      </c>
      <c r="C745" s="89" t="s">
        <v>2081</v>
      </c>
      <c r="D745" s="89" t="s">
        <v>2082</v>
      </c>
      <c r="F745" s="43">
        <v>528749</v>
      </c>
      <c r="G745" s="43">
        <v>173608</v>
      </c>
      <c r="H745" s="89" t="s">
        <v>138</v>
      </c>
      <c r="K745" s="140">
        <v>0</v>
      </c>
      <c r="L745" s="140">
        <v>1</v>
      </c>
      <c r="M745" s="140">
        <v>1</v>
      </c>
      <c r="N745" s="140">
        <v>1</v>
      </c>
      <c r="O745" s="140">
        <v>1</v>
      </c>
      <c r="Q745" s="89" t="s">
        <v>2083</v>
      </c>
      <c r="R745" s="43" t="s">
        <v>620</v>
      </c>
      <c r="S745" s="125">
        <v>43664</v>
      </c>
      <c r="T745" s="117">
        <v>43718</v>
      </c>
      <c r="U745" s="43" t="s">
        <v>329</v>
      </c>
      <c r="V745" s="43" t="s">
        <v>317</v>
      </c>
      <c r="X745" s="43" t="s">
        <v>318</v>
      </c>
      <c r="Y745" s="43" t="s">
        <v>336</v>
      </c>
      <c r="Z745" s="43" t="s">
        <v>320</v>
      </c>
      <c r="AA745" s="43" t="s">
        <v>30</v>
      </c>
      <c r="AB745" s="144">
        <v>1.20000005699694E-3</v>
      </c>
      <c r="AF745" s="43" t="s">
        <v>75</v>
      </c>
      <c r="AG745" s="43" t="s">
        <v>322</v>
      </c>
      <c r="AJ745" s="140">
        <v>0</v>
      </c>
      <c r="AK745" s="140">
        <v>0</v>
      </c>
      <c r="AL745" s="140">
        <v>0</v>
      </c>
      <c r="AM745" s="140">
        <v>0</v>
      </c>
      <c r="AN745" s="140">
        <v>1</v>
      </c>
      <c r="AO745" s="140">
        <v>0</v>
      </c>
      <c r="AP745" s="140">
        <v>0</v>
      </c>
      <c r="AQ745" s="140">
        <v>0</v>
      </c>
      <c r="AR745" s="140">
        <v>0</v>
      </c>
      <c r="AS745" s="140">
        <v>0</v>
      </c>
      <c r="AT745" s="140">
        <v>0</v>
      </c>
      <c r="AU745" s="140">
        <v>1</v>
      </c>
      <c r="AV745" s="140">
        <v>0</v>
      </c>
      <c r="AW745" s="140">
        <v>0</v>
      </c>
      <c r="AX745" s="140">
        <v>0</v>
      </c>
      <c r="AY745" s="140">
        <v>0</v>
      </c>
      <c r="AZ745" s="140">
        <v>0</v>
      </c>
      <c r="BA745" s="140">
        <v>0</v>
      </c>
      <c r="BB745" s="140">
        <v>0</v>
      </c>
      <c r="BC745" s="140">
        <v>0</v>
      </c>
      <c r="BD745" s="140">
        <v>0</v>
      </c>
      <c r="BE745" s="140">
        <v>0</v>
      </c>
      <c r="BF745" s="140">
        <v>0</v>
      </c>
      <c r="BG745" s="140">
        <v>0</v>
      </c>
      <c r="BH745" s="140">
        <v>0</v>
      </c>
      <c r="BI745" s="140">
        <v>0</v>
      </c>
      <c r="BJ745" s="140">
        <v>0</v>
      </c>
      <c r="BK745" s="140">
        <v>0</v>
      </c>
      <c r="BL745" s="140">
        <v>0</v>
      </c>
      <c r="BM745" s="140">
        <v>0</v>
      </c>
      <c r="BN745" s="140">
        <v>0</v>
      </c>
      <c r="BO745" s="140">
        <v>0</v>
      </c>
      <c r="BP745" s="43" t="s">
        <v>138</v>
      </c>
      <c r="BX745" s="43">
        <v>15</v>
      </c>
      <c r="BZ745" s="90">
        <f t="shared" si="92"/>
        <v>0.33333333333333331</v>
      </c>
      <c r="CA745" s="90">
        <f t="shared" si="92"/>
        <v>0.33333333333333331</v>
      </c>
      <c r="CB745" s="90">
        <f t="shared" si="92"/>
        <v>0.33333333333333331</v>
      </c>
      <c r="CT745" s="90">
        <f t="shared" si="82"/>
        <v>1</v>
      </c>
      <c r="CU745" s="90">
        <f t="shared" si="83"/>
        <v>1</v>
      </c>
    </row>
    <row r="746" spans="1:99" ht="12" customHeight="1">
      <c r="A746" s="43">
        <v>6317</v>
      </c>
      <c r="B746" s="89" t="s">
        <v>1515</v>
      </c>
      <c r="C746" s="89" t="s">
        <v>2084</v>
      </c>
      <c r="D746" s="89" t="s">
        <v>2085</v>
      </c>
      <c r="F746" s="43">
        <v>522879</v>
      </c>
      <c r="G746" s="43">
        <v>174549</v>
      </c>
      <c r="H746" s="89" t="s">
        <v>181</v>
      </c>
      <c r="K746" s="140">
        <v>0</v>
      </c>
      <c r="L746" s="140">
        <v>4</v>
      </c>
      <c r="M746" s="140">
        <v>4</v>
      </c>
      <c r="N746" s="140">
        <v>4</v>
      </c>
      <c r="O746" s="140">
        <v>4</v>
      </c>
      <c r="Q746" s="89" t="s">
        <v>2086</v>
      </c>
      <c r="R746" s="43" t="s">
        <v>316</v>
      </c>
      <c r="S746" s="125">
        <v>43276</v>
      </c>
      <c r="T746" s="117">
        <v>43396</v>
      </c>
      <c r="V746" s="43" t="s">
        <v>317</v>
      </c>
      <c r="X746" s="43" t="s">
        <v>318</v>
      </c>
      <c r="Y746" s="43" t="s">
        <v>361</v>
      </c>
      <c r="Z746" s="43" t="s">
        <v>320</v>
      </c>
      <c r="AA746" s="43" t="s">
        <v>353</v>
      </c>
      <c r="AB746" s="144">
        <v>5.6000001728534698E-2</v>
      </c>
      <c r="AF746" s="43" t="s">
        <v>75</v>
      </c>
      <c r="AG746" s="43" t="s">
        <v>322</v>
      </c>
      <c r="AJ746" s="140">
        <v>0</v>
      </c>
      <c r="AK746" s="140">
        <v>0</v>
      </c>
      <c r="AL746" s="140">
        <v>0</v>
      </c>
      <c r="AM746" s="140">
        <v>0</v>
      </c>
      <c r="AN746" s="140">
        <v>0</v>
      </c>
      <c r="AO746" s="140">
        <v>0</v>
      </c>
      <c r="AP746" s="140">
        <v>4</v>
      </c>
      <c r="AQ746" s="140">
        <v>0</v>
      </c>
      <c r="AR746" s="140">
        <v>0</v>
      </c>
      <c r="AS746" s="140">
        <v>0</v>
      </c>
      <c r="AT746" s="140">
        <v>0</v>
      </c>
      <c r="AU746" s="140">
        <v>0</v>
      </c>
      <c r="AV746" s="140">
        <v>0</v>
      </c>
      <c r="AW746" s="140">
        <v>0</v>
      </c>
      <c r="AX746" s="140">
        <v>0</v>
      </c>
      <c r="AY746" s="140">
        <v>0</v>
      </c>
      <c r="AZ746" s="140">
        <v>0</v>
      </c>
      <c r="BA746" s="140">
        <v>0</v>
      </c>
      <c r="BB746" s="140">
        <v>0</v>
      </c>
      <c r="BC746" s="140">
        <v>0</v>
      </c>
      <c r="BD746" s="140">
        <v>4</v>
      </c>
      <c r="BE746" s="140">
        <v>0</v>
      </c>
      <c r="BF746" s="140">
        <v>0</v>
      </c>
      <c r="BG746" s="140">
        <v>0</v>
      </c>
      <c r="BH746" s="140">
        <v>0</v>
      </c>
      <c r="BI746" s="140">
        <v>0</v>
      </c>
      <c r="BJ746" s="140">
        <v>0</v>
      </c>
      <c r="BK746" s="140">
        <v>0</v>
      </c>
      <c r="BL746" s="140">
        <v>0</v>
      </c>
      <c r="BM746" s="140">
        <v>0</v>
      </c>
      <c r="BN746" s="140">
        <v>0</v>
      </c>
      <c r="BO746" s="140">
        <v>0</v>
      </c>
      <c r="BX746" s="43">
        <v>6</v>
      </c>
      <c r="CA746" s="90">
        <f t="shared" ref="CA746:CD747" si="93">$M746/4</f>
        <v>1</v>
      </c>
      <c r="CB746" s="90">
        <f t="shared" si="93"/>
        <v>1</v>
      </c>
      <c r="CC746" s="90">
        <f t="shared" si="93"/>
        <v>1</v>
      </c>
      <c r="CD746" s="90">
        <f t="shared" si="93"/>
        <v>1</v>
      </c>
      <c r="CT746" s="90">
        <f t="shared" si="82"/>
        <v>4</v>
      </c>
      <c r="CU746" s="90">
        <f t="shared" si="83"/>
        <v>4</v>
      </c>
    </row>
    <row r="747" spans="1:99" ht="12" customHeight="1">
      <c r="A747" s="43">
        <v>6318</v>
      </c>
      <c r="B747" s="89" t="s">
        <v>1515</v>
      </c>
      <c r="C747" s="89" t="s">
        <v>2087</v>
      </c>
      <c r="D747" s="89" t="s">
        <v>2088</v>
      </c>
      <c r="F747" s="43">
        <v>528567</v>
      </c>
      <c r="G747" s="43">
        <v>173770</v>
      </c>
      <c r="H747" s="89" t="s">
        <v>138</v>
      </c>
      <c r="K747" s="140">
        <v>1</v>
      </c>
      <c r="L747" s="140">
        <v>5</v>
      </c>
      <c r="M747" s="140">
        <v>4</v>
      </c>
      <c r="N747" s="140">
        <v>5</v>
      </c>
      <c r="O747" s="140">
        <v>4</v>
      </c>
      <c r="Q747" s="89" t="s">
        <v>2089</v>
      </c>
      <c r="R747" s="43" t="s">
        <v>316</v>
      </c>
      <c r="S747" s="125">
        <v>42891</v>
      </c>
      <c r="T747" s="117">
        <v>43032</v>
      </c>
      <c r="V747" s="43" t="s">
        <v>317</v>
      </c>
      <c r="X747" s="43" t="s">
        <v>318</v>
      </c>
      <c r="Y747" s="43" t="s">
        <v>361</v>
      </c>
      <c r="Z747" s="43" t="s">
        <v>320</v>
      </c>
      <c r="AA747" s="43" t="s">
        <v>353</v>
      </c>
      <c r="AB747" s="144">
        <v>9.9999997764825804E-3</v>
      </c>
      <c r="AF747" s="43" t="s">
        <v>75</v>
      </c>
      <c r="AG747" s="43" t="s">
        <v>322</v>
      </c>
      <c r="AJ747" s="140">
        <v>0</v>
      </c>
      <c r="AK747" s="140">
        <v>0</v>
      </c>
      <c r="AL747" s="140">
        <v>0</v>
      </c>
      <c r="AM747" s="140">
        <v>0</v>
      </c>
      <c r="AN747" s="140">
        <v>1</v>
      </c>
      <c r="AO747" s="140">
        <v>2</v>
      </c>
      <c r="AP747" s="140">
        <v>1</v>
      </c>
      <c r="AQ747" s="140">
        <v>0</v>
      </c>
      <c r="AR747" s="140">
        <v>0</v>
      </c>
      <c r="AS747" s="140">
        <v>0</v>
      </c>
      <c r="AT747" s="140">
        <v>0</v>
      </c>
      <c r="AU747" s="140">
        <v>1</v>
      </c>
      <c r="AV747" s="140">
        <v>1</v>
      </c>
      <c r="AW747" s="140">
        <v>2</v>
      </c>
      <c r="AX747" s="140">
        <v>0</v>
      </c>
      <c r="AY747" s="140">
        <v>0</v>
      </c>
      <c r="AZ747" s="140">
        <v>0</v>
      </c>
      <c r="BA747" s="140">
        <v>0</v>
      </c>
      <c r="BB747" s="140">
        <v>0</v>
      </c>
      <c r="BC747" s="140">
        <v>1</v>
      </c>
      <c r="BD747" s="140">
        <v>-1</v>
      </c>
      <c r="BE747" s="140">
        <v>0</v>
      </c>
      <c r="BF747" s="140">
        <v>0</v>
      </c>
      <c r="BG747" s="140">
        <v>0</v>
      </c>
      <c r="BH747" s="140">
        <v>0</v>
      </c>
      <c r="BI747" s="140">
        <v>0</v>
      </c>
      <c r="BJ747" s="140">
        <v>0</v>
      </c>
      <c r="BK747" s="140">
        <v>0</v>
      </c>
      <c r="BL747" s="140">
        <v>0</v>
      </c>
      <c r="BM747" s="140">
        <v>0</v>
      </c>
      <c r="BN747" s="140">
        <v>0</v>
      </c>
      <c r="BO747" s="140">
        <v>0</v>
      </c>
      <c r="BX747" s="43">
        <v>6</v>
      </c>
      <c r="CA747" s="90">
        <f t="shared" si="93"/>
        <v>1</v>
      </c>
      <c r="CB747" s="90">
        <f t="shared" si="93"/>
        <v>1</v>
      </c>
      <c r="CC747" s="90">
        <f t="shared" si="93"/>
        <v>1</v>
      </c>
      <c r="CD747" s="90">
        <f t="shared" si="93"/>
        <v>1</v>
      </c>
      <c r="CT747" s="90">
        <f t="shared" si="82"/>
        <v>4</v>
      </c>
      <c r="CU747" s="90">
        <f t="shared" si="83"/>
        <v>4</v>
      </c>
    </row>
    <row r="748" spans="1:99" ht="12" customHeight="1">
      <c r="A748" s="43">
        <v>6326</v>
      </c>
      <c r="B748" s="89" t="s">
        <v>1515</v>
      </c>
      <c r="C748" s="89" t="s">
        <v>2090</v>
      </c>
      <c r="D748" s="89" t="s">
        <v>2091</v>
      </c>
      <c r="F748" s="43">
        <v>522791</v>
      </c>
      <c r="G748" s="43">
        <v>175064</v>
      </c>
      <c r="H748" s="89" t="s">
        <v>181</v>
      </c>
      <c r="K748" s="140">
        <v>4</v>
      </c>
      <c r="L748" s="140">
        <v>4</v>
      </c>
      <c r="M748" s="140">
        <v>0</v>
      </c>
      <c r="N748" s="140">
        <v>4</v>
      </c>
      <c r="O748" s="140">
        <v>0</v>
      </c>
      <c r="Q748" s="89" t="s">
        <v>2092</v>
      </c>
      <c r="R748" s="43" t="s">
        <v>316</v>
      </c>
      <c r="S748" s="125">
        <v>42564</v>
      </c>
      <c r="T748" s="117">
        <v>42689</v>
      </c>
      <c r="V748" s="43" t="s">
        <v>317</v>
      </c>
      <c r="X748" s="43" t="s">
        <v>318</v>
      </c>
      <c r="Y748" s="43" t="s">
        <v>319</v>
      </c>
      <c r="Z748" s="43" t="s">
        <v>320</v>
      </c>
      <c r="AA748" s="43" t="s">
        <v>636</v>
      </c>
      <c r="AB748" s="144">
        <v>6.1000000685453401E-2</v>
      </c>
      <c r="AF748" s="43" t="s">
        <v>75</v>
      </c>
      <c r="AG748" s="43" t="s">
        <v>322</v>
      </c>
      <c r="AJ748" s="140">
        <v>0</v>
      </c>
      <c r="AK748" s="140">
        <v>0</v>
      </c>
      <c r="AL748" s="140">
        <v>0</v>
      </c>
      <c r="AM748" s="140">
        <v>0</v>
      </c>
      <c r="AN748" s="140">
        <v>0</v>
      </c>
      <c r="AO748" s="140">
        <v>1</v>
      </c>
      <c r="AP748" s="140">
        <v>-2</v>
      </c>
      <c r="AQ748" s="140">
        <v>2</v>
      </c>
      <c r="AR748" s="140">
        <v>-1</v>
      </c>
      <c r="AS748" s="140">
        <v>0</v>
      </c>
      <c r="AT748" s="140">
        <v>0</v>
      </c>
      <c r="AU748" s="140">
        <v>0</v>
      </c>
      <c r="AV748" s="140">
        <v>1</v>
      </c>
      <c r="AW748" s="140">
        <v>-2</v>
      </c>
      <c r="AX748" s="140">
        <v>2</v>
      </c>
      <c r="AY748" s="140">
        <v>-1</v>
      </c>
      <c r="AZ748" s="140">
        <v>0</v>
      </c>
      <c r="BA748" s="140">
        <v>0</v>
      </c>
      <c r="BB748" s="140">
        <v>0</v>
      </c>
      <c r="BC748" s="140">
        <v>0</v>
      </c>
      <c r="BD748" s="140">
        <v>0</v>
      </c>
      <c r="BE748" s="140">
        <v>0</v>
      </c>
      <c r="BF748" s="140">
        <v>0</v>
      </c>
      <c r="BG748" s="140">
        <v>0</v>
      </c>
      <c r="BH748" s="140">
        <v>0</v>
      </c>
      <c r="BI748" s="140">
        <v>0</v>
      </c>
      <c r="BJ748" s="140">
        <v>0</v>
      </c>
      <c r="BK748" s="140">
        <v>0</v>
      </c>
      <c r="BL748" s="140">
        <v>0</v>
      </c>
      <c r="BM748" s="140">
        <v>0</v>
      </c>
      <c r="BN748" s="140">
        <v>0</v>
      </c>
      <c r="BO748" s="140">
        <v>0</v>
      </c>
      <c r="BX748" s="43">
        <v>15</v>
      </c>
      <c r="BZ748" s="90">
        <f>$M748/3</f>
        <v>0</v>
      </c>
      <c r="CA748" s="90">
        <f>$M748/3</f>
        <v>0</v>
      </c>
      <c r="CB748" s="90">
        <f>$M748/3</f>
        <v>0</v>
      </c>
      <c r="CT748" s="90">
        <f t="shared" si="82"/>
        <v>0</v>
      </c>
      <c r="CU748" s="90">
        <f t="shared" si="83"/>
        <v>0</v>
      </c>
    </row>
    <row r="749" spans="1:99" ht="12" customHeight="1">
      <c r="A749" s="43">
        <v>6332</v>
      </c>
      <c r="B749" s="89" t="s">
        <v>1515</v>
      </c>
      <c r="C749" s="89" t="s">
        <v>2093</v>
      </c>
      <c r="D749" s="89" t="s">
        <v>2094</v>
      </c>
      <c r="F749" s="43">
        <v>524599</v>
      </c>
      <c r="G749" s="43">
        <v>175302</v>
      </c>
      <c r="H749" s="89" t="s">
        <v>178</v>
      </c>
      <c r="K749" s="140">
        <v>0</v>
      </c>
      <c r="L749" s="140">
        <v>6</v>
      </c>
      <c r="M749" s="140">
        <v>6</v>
      </c>
      <c r="N749" s="140">
        <v>6</v>
      </c>
      <c r="O749" s="140">
        <v>6</v>
      </c>
      <c r="Q749" s="89" t="s">
        <v>2095</v>
      </c>
      <c r="R749" s="43" t="s">
        <v>443</v>
      </c>
      <c r="S749" s="125">
        <v>42573</v>
      </c>
      <c r="T749" s="117">
        <v>42629</v>
      </c>
      <c r="V749" s="43" t="s">
        <v>317</v>
      </c>
      <c r="X749" s="43" t="s">
        <v>318</v>
      </c>
      <c r="Y749" s="43" t="s">
        <v>336</v>
      </c>
      <c r="Z749" s="43" t="s">
        <v>320</v>
      </c>
      <c r="AA749" s="43" t="s">
        <v>33</v>
      </c>
      <c r="AB749" s="144">
        <v>2.0999999716877899E-2</v>
      </c>
      <c r="AF749" s="43" t="s">
        <v>75</v>
      </c>
      <c r="AG749" s="43" t="s">
        <v>322</v>
      </c>
      <c r="AJ749" s="140">
        <v>0</v>
      </c>
      <c r="AK749" s="140">
        <v>0</v>
      </c>
      <c r="AL749" s="140">
        <v>0</v>
      </c>
      <c r="AM749" s="140">
        <v>0</v>
      </c>
      <c r="AN749" s="140">
        <v>0</v>
      </c>
      <c r="AO749" s="140">
        <v>0</v>
      </c>
      <c r="AP749" s="140">
        <v>6</v>
      </c>
      <c r="AQ749" s="140">
        <v>0</v>
      </c>
      <c r="AR749" s="140">
        <v>0</v>
      </c>
      <c r="AS749" s="140">
        <v>0</v>
      </c>
      <c r="AT749" s="140">
        <v>0</v>
      </c>
      <c r="AU749" s="140">
        <v>0</v>
      </c>
      <c r="AV749" s="140">
        <v>0</v>
      </c>
      <c r="AW749" s="140">
        <v>6</v>
      </c>
      <c r="AX749" s="140">
        <v>0</v>
      </c>
      <c r="AY749" s="140">
        <v>0</v>
      </c>
      <c r="AZ749" s="140">
        <v>0</v>
      </c>
      <c r="BA749" s="140">
        <v>0</v>
      </c>
      <c r="BB749" s="140">
        <v>0</v>
      </c>
      <c r="BC749" s="140">
        <v>0</v>
      </c>
      <c r="BD749" s="140">
        <v>0</v>
      </c>
      <c r="BE749" s="140">
        <v>0</v>
      </c>
      <c r="BF749" s="140">
        <v>0</v>
      </c>
      <c r="BG749" s="140">
        <v>0</v>
      </c>
      <c r="BH749" s="140">
        <v>0</v>
      </c>
      <c r="BI749" s="140">
        <v>0</v>
      </c>
      <c r="BJ749" s="140">
        <v>0</v>
      </c>
      <c r="BK749" s="140">
        <v>0</v>
      </c>
      <c r="BL749" s="140">
        <v>0</v>
      </c>
      <c r="BM749" s="140">
        <v>0</v>
      </c>
      <c r="BN749" s="140">
        <v>0</v>
      </c>
      <c r="BO749" s="140">
        <v>0</v>
      </c>
      <c r="BV749" s="43" t="s">
        <v>329</v>
      </c>
      <c r="BX749" s="43">
        <v>18</v>
      </c>
      <c r="CA749" s="90">
        <f>$M749/4</f>
        <v>1.5</v>
      </c>
      <c r="CB749" s="90">
        <f>$M749/4</f>
        <v>1.5</v>
      </c>
      <c r="CC749" s="90">
        <f>$M749/4</f>
        <v>1.5</v>
      </c>
      <c r="CD749" s="90">
        <f>$M749/4</f>
        <v>1.5</v>
      </c>
      <c r="CT749" s="90">
        <f t="shared" si="82"/>
        <v>6</v>
      </c>
      <c r="CU749" s="90">
        <f t="shared" si="83"/>
        <v>6</v>
      </c>
    </row>
    <row r="750" spans="1:99" ht="12" customHeight="1">
      <c r="A750" s="43">
        <v>6335</v>
      </c>
      <c r="B750" s="89" t="s">
        <v>1515</v>
      </c>
      <c r="C750" s="89" t="s">
        <v>2096</v>
      </c>
      <c r="D750" s="89" t="s">
        <v>2097</v>
      </c>
      <c r="F750" s="43">
        <v>527310</v>
      </c>
      <c r="G750" s="43">
        <v>177196</v>
      </c>
      <c r="H750" s="89" t="s">
        <v>177</v>
      </c>
      <c r="K750" s="140">
        <v>0</v>
      </c>
      <c r="L750" s="140">
        <v>2</v>
      </c>
      <c r="M750" s="140">
        <v>2</v>
      </c>
      <c r="N750" s="140">
        <v>2</v>
      </c>
      <c r="O750" s="140">
        <v>2</v>
      </c>
      <c r="Q750" s="89" t="s">
        <v>2098</v>
      </c>
      <c r="R750" s="43" t="s">
        <v>620</v>
      </c>
      <c r="S750" s="125">
        <v>43151</v>
      </c>
      <c r="T750" s="117">
        <v>43195</v>
      </c>
      <c r="V750" s="43" t="s">
        <v>317</v>
      </c>
      <c r="X750" s="43" t="s">
        <v>318</v>
      </c>
      <c r="Y750" s="43" t="s">
        <v>336</v>
      </c>
      <c r="Z750" s="43" t="s">
        <v>320</v>
      </c>
      <c r="AA750" s="43" t="s">
        <v>33</v>
      </c>
      <c r="AB750" s="144">
        <v>6.0000000521540598E-3</v>
      </c>
      <c r="AF750" s="43" t="s">
        <v>75</v>
      </c>
      <c r="AG750" s="43" t="s">
        <v>322</v>
      </c>
      <c r="AH750" s="43" t="s">
        <v>1642</v>
      </c>
      <c r="AJ750" s="140">
        <v>0</v>
      </c>
      <c r="AK750" s="140">
        <v>0</v>
      </c>
      <c r="AL750" s="140">
        <v>0</v>
      </c>
      <c r="AM750" s="140">
        <v>0</v>
      </c>
      <c r="AN750" s="140">
        <v>0</v>
      </c>
      <c r="AO750" s="140">
        <v>0</v>
      </c>
      <c r="AP750" s="140">
        <v>0</v>
      </c>
      <c r="AQ750" s="140">
        <v>2</v>
      </c>
      <c r="AR750" s="140">
        <v>0</v>
      </c>
      <c r="AS750" s="140">
        <v>0</v>
      </c>
      <c r="AT750" s="140">
        <v>0</v>
      </c>
      <c r="AU750" s="140">
        <v>0</v>
      </c>
      <c r="AV750" s="140">
        <v>0</v>
      </c>
      <c r="AW750" s="140">
        <v>0</v>
      </c>
      <c r="AX750" s="140">
        <v>2</v>
      </c>
      <c r="AY750" s="140">
        <v>0</v>
      </c>
      <c r="AZ750" s="140">
        <v>0</v>
      </c>
      <c r="BA750" s="140">
        <v>0</v>
      </c>
      <c r="BB750" s="140">
        <v>0</v>
      </c>
      <c r="BC750" s="140">
        <v>0</v>
      </c>
      <c r="BD750" s="140">
        <v>0</v>
      </c>
      <c r="BE750" s="140">
        <v>0</v>
      </c>
      <c r="BF750" s="140">
        <v>0</v>
      </c>
      <c r="BG750" s="140">
        <v>0</v>
      </c>
      <c r="BH750" s="140">
        <v>0</v>
      </c>
      <c r="BI750" s="140">
        <v>0</v>
      </c>
      <c r="BJ750" s="140">
        <v>0</v>
      </c>
      <c r="BK750" s="140">
        <v>0</v>
      </c>
      <c r="BL750" s="140">
        <v>0</v>
      </c>
      <c r="BM750" s="140">
        <v>0</v>
      </c>
      <c r="BN750" s="140">
        <v>0</v>
      </c>
      <c r="BO750" s="140">
        <v>0</v>
      </c>
      <c r="BV750" s="43" t="s">
        <v>329</v>
      </c>
      <c r="BX750" s="43">
        <v>15</v>
      </c>
      <c r="BZ750" s="90">
        <f t="shared" ref="BZ750:CB766" si="94">$M750/3</f>
        <v>0.66666666666666663</v>
      </c>
      <c r="CA750" s="90">
        <f t="shared" si="94"/>
        <v>0.66666666666666663</v>
      </c>
      <c r="CB750" s="90">
        <f t="shared" si="94"/>
        <v>0.66666666666666663</v>
      </c>
      <c r="CT750" s="90">
        <f t="shared" si="82"/>
        <v>2</v>
      </c>
      <c r="CU750" s="90">
        <f t="shared" si="83"/>
        <v>2</v>
      </c>
    </row>
    <row r="751" spans="1:99" ht="12" customHeight="1">
      <c r="A751" s="43">
        <v>6337</v>
      </c>
      <c r="B751" s="89" t="s">
        <v>1515</v>
      </c>
      <c r="C751" s="89" t="s">
        <v>2099</v>
      </c>
      <c r="D751" s="89" t="s">
        <v>2100</v>
      </c>
      <c r="F751" s="43">
        <v>527649</v>
      </c>
      <c r="G751" s="43">
        <v>176406</v>
      </c>
      <c r="H751" s="89" t="s">
        <v>147</v>
      </c>
      <c r="K751" s="140">
        <v>0</v>
      </c>
      <c r="L751" s="140">
        <v>1</v>
      </c>
      <c r="M751" s="140">
        <v>1</v>
      </c>
      <c r="N751" s="140">
        <v>1</v>
      </c>
      <c r="O751" s="140">
        <v>1</v>
      </c>
      <c r="Q751" s="89" t="s">
        <v>2101</v>
      </c>
      <c r="R751" s="43" t="s">
        <v>443</v>
      </c>
      <c r="S751" s="125">
        <v>42627</v>
      </c>
      <c r="T751" s="117">
        <v>42683</v>
      </c>
      <c r="V751" s="43" t="s">
        <v>317</v>
      </c>
      <c r="X751" s="43" t="s">
        <v>318</v>
      </c>
      <c r="Y751" s="43" t="s">
        <v>336</v>
      </c>
      <c r="Z751" s="43" t="s">
        <v>320</v>
      </c>
      <c r="AA751" s="43" t="s">
        <v>33</v>
      </c>
      <c r="AB751" s="144">
        <v>9.9999997764825804E-3</v>
      </c>
      <c r="AF751" s="43" t="s">
        <v>75</v>
      </c>
      <c r="AG751" s="43" t="s">
        <v>322</v>
      </c>
      <c r="AJ751" s="140">
        <v>0</v>
      </c>
      <c r="AK751" s="140">
        <v>0</v>
      </c>
      <c r="AL751" s="140">
        <v>0</v>
      </c>
      <c r="AM751" s="140">
        <v>0</v>
      </c>
      <c r="AN751" s="140">
        <v>0</v>
      </c>
      <c r="AO751" s="140">
        <v>0</v>
      </c>
      <c r="AP751" s="140">
        <v>0</v>
      </c>
      <c r="AQ751" s="140">
        <v>1</v>
      </c>
      <c r="AR751" s="140">
        <v>0</v>
      </c>
      <c r="AS751" s="140">
        <v>0</v>
      </c>
      <c r="AT751" s="140">
        <v>0</v>
      </c>
      <c r="AU751" s="140">
        <v>0</v>
      </c>
      <c r="AV751" s="140">
        <v>0</v>
      </c>
      <c r="AW751" s="140">
        <v>0</v>
      </c>
      <c r="AX751" s="140">
        <v>1</v>
      </c>
      <c r="AY751" s="140">
        <v>0</v>
      </c>
      <c r="AZ751" s="140">
        <v>0</v>
      </c>
      <c r="BA751" s="140">
        <v>0</v>
      </c>
      <c r="BB751" s="140">
        <v>0</v>
      </c>
      <c r="BC751" s="140">
        <v>0</v>
      </c>
      <c r="BD751" s="140">
        <v>0</v>
      </c>
      <c r="BE751" s="140">
        <v>0</v>
      </c>
      <c r="BF751" s="140">
        <v>0</v>
      </c>
      <c r="BG751" s="140">
        <v>0</v>
      </c>
      <c r="BH751" s="140">
        <v>0</v>
      </c>
      <c r="BI751" s="140">
        <v>0</v>
      </c>
      <c r="BJ751" s="140">
        <v>0</v>
      </c>
      <c r="BK751" s="140">
        <v>0</v>
      </c>
      <c r="BL751" s="140">
        <v>0</v>
      </c>
      <c r="BM751" s="140">
        <v>0</v>
      </c>
      <c r="BN751" s="140">
        <v>0</v>
      </c>
      <c r="BO751" s="140">
        <v>0</v>
      </c>
      <c r="BX751" s="43">
        <v>15</v>
      </c>
      <c r="BZ751" s="90">
        <f t="shared" si="94"/>
        <v>0.33333333333333331</v>
      </c>
      <c r="CA751" s="90">
        <f t="shared" si="94"/>
        <v>0.33333333333333331</v>
      </c>
      <c r="CB751" s="90">
        <f t="shared" si="94"/>
        <v>0.33333333333333331</v>
      </c>
      <c r="CT751" s="90">
        <f t="shared" si="82"/>
        <v>1</v>
      </c>
      <c r="CU751" s="90">
        <f t="shared" si="83"/>
        <v>1</v>
      </c>
    </row>
    <row r="752" spans="1:99" ht="12" customHeight="1">
      <c r="A752" s="43">
        <v>6338</v>
      </c>
      <c r="B752" s="89" t="s">
        <v>1515</v>
      </c>
      <c r="C752" s="89" t="s">
        <v>2102</v>
      </c>
      <c r="D752" s="89" t="s">
        <v>2103</v>
      </c>
      <c r="F752" s="43">
        <v>527649</v>
      </c>
      <c r="G752" s="43">
        <v>176406</v>
      </c>
      <c r="H752" s="89" t="s">
        <v>147</v>
      </c>
      <c r="K752" s="140">
        <v>0</v>
      </c>
      <c r="L752" s="140">
        <v>1</v>
      </c>
      <c r="M752" s="140">
        <v>1</v>
      </c>
      <c r="N752" s="140">
        <v>1</v>
      </c>
      <c r="O752" s="140">
        <v>1</v>
      </c>
      <c r="Q752" s="89" t="s">
        <v>2104</v>
      </c>
      <c r="R752" s="43" t="s">
        <v>443</v>
      </c>
      <c r="S752" s="125">
        <v>42627</v>
      </c>
      <c r="T752" s="117">
        <v>42683</v>
      </c>
      <c r="V752" s="43" t="s">
        <v>317</v>
      </c>
      <c r="X752" s="43" t="s">
        <v>318</v>
      </c>
      <c r="Y752" s="43" t="s">
        <v>336</v>
      </c>
      <c r="Z752" s="43" t="s">
        <v>320</v>
      </c>
      <c r="AA752" s="43" t="s">
        <v>33</v>
      </c>
      <c r="AB752" s="144">
        <v>6.0000000521540598E-3</v>
      </c>
      <c r="AF752" s="43" t="s">
        <v>75</v>
      </c>
      <c r="AG752" s="43" t="s">
        <v>322</v>
      </c>
      <c r="AJ752" s="140">
        <v>0</v>
      </c>
      <c r="AK752" s="140">
        <v>0</v>
      </c>
      <c r="AL752" s="140">
        <v>0</v>
      </c>
      <c r="AM752" s="140">
        <v>0</v>
      </c>
      <c r="AN752" s="140">
        <v>0</v>
      </c>
      <c r="AO752" s="140">
        <v>0</v>
      </c>
      <c r="AP752" s="140">
        <v>1</v>
      </c>
      <c r="AQ752" s="140">
        <v>0</v>
      </c>
      <c r="AR752" s="140">
        <v>0</v>
      </c>
      <c r="AS752" s="140">
        <v>0</v>
      </c>
      <c r="AT752" s="140">
        <v>0</v>
      </c>
      <c r="AU752" s="140">
        <v>0</v>
      </c>
      <c r="AV752" s="140">
        <v>0</v>
      </c>
      <c r="AW752" s="140">
        <v>1</v>
      </c>
      <c r="AX752" s="140">
        <v>0</v>
      </c>
      <c r="AY752" s="140">
        <v>0</v>
      </c>
      <c r="AZ752" s="140">
        <v>0</v>
      </c>
      <c r="BA752" s="140">
        <v>0</v>
      </c>
      <c r="BB752" s="140">
        <v>0</v>
      </c>
      <c r="BC752" s="140">
        <v>0</v>
      </c>
      <c r="BD752" s="140">
        <v>0</v>
      </c>
      <c r="BE752" s="140">
        <v>0</v>
      </c>
      <c r="BF752" s="140">
        <v>0</v>
      </c>
      <c r="BG752" s="140">
        <v>0</v>
      </c>
      <c r="BH752" s="140">
        <v>0</v>
      </c>
      <c r="BI752" s="140">
        <v>0</v>
      </c>
      <c r="BJ752" s="140">
        <v>0</v>
      </c>
      <c r="BK752" s="140">
        <v>0</v>
      </c>
      <c r="BL752" s="140">
        <v>0</v>
      </c>
      <c r="BM752" s="140">
        <v>0</v>
      </c>
      <c r="BN752" s="140">
        <v>0</v>
      </c>
      <c r="BO752" s="140">
        <v>0</v>
      </c>
      <c r="BX752" s="43">
        <v>15</v>
      </c>
      <c r="BZ752" s="90">
        <f t="shared" si="94"/>
        <v>0.33333333333333331</v>
      </c>
      <c r="CA752" s="90">
        <f t="shared" si="94"/>
        <v>0.33333333333333331</v>
      </c>
      <c r="CB752" s="90">
        <f t="shared" si="94"/>
        <v>0.33333333333333331</v>
      </c>
      <c r="CT752" s="90">
        <f t="shared" si="82"/>
        <v>1</v>
      </c>
      <c r="CU752" s="90">
        <f t="shared" si="83"/>
        <v>1</v>
      </c>
    </row>
    <row r="753" spans="1:99" ht="12" customHeight="1">
      <c r="A753" s="43">
        <v>6339</v>
      </c>
      <c r="B753" s="89" t="s">
        <v>1515</v>
      </c>
      <c r="C753" s="89" t="s">
        <v>2105</v>
      </c>
      <c r="D753" s="89" t="s">
        <v>2106</v>
      </c>
      <c r="F753" s="43">
        <v>527649</v>
      </c>
      <c r="G753" s="43">
        <v>176406</v>
      </c>
      <c r="H753" s="89" t="s">
        <v>147</v>
      </c>
      <c r="K753" s="140">
        <v>0</v>
      </c>
      <c r="L753" s="140">
        <v>1</v>
      </c>
      <c r="M753" s="140">
        <v>1</v>
      </c>
      <c r="N753" s="140">
        <v>1</v>
      </c>
      <c r="O753" s="140">
        <v>1</v>
      </c>
      <c r="Q753" s="89" t="s">
        <v>2104</v>
      </c>
      <c r="R753" s="43" t="s">
        <v>443</v>
      </c>
      <c r="S753" s="125">
        <v>42627</v>
      </c>
      <c r="T753" s="117">
        <v>42683</v>
      </c>
      <c r="V753" s="43" t="s">
        <v>317</v>
      </c>
      <c r="X753" s="43" t="s">
        <v>318</v>
      </c>
      <c r="Y753" s="43" t="s">
        <v>336</v>
      </c>
      <c r="Z753" s="43" t="s">
        <v>320</v>
      </c>
      <c r="AA753" s="43" t="s">
        <v>33</v>
      </c>
      <c r="AB753" s="144">
        <v>6.0000000521540598E-3</v>
      </c>
      <c r="AF753" s="43" t="s">
        <v>75</v>
      </c>
      <c r="AG753" s="43" t="s">
        <v>322</v>
      </c>
      <c r="AJ753" s="140">
        <v>0</v>
      </c>
      <c r="AK753" s="140">
        <v>0</v>
      </c>
      <c r="AL753" s="140">
        <v>0</v>
      </c>
      <c r="AM753" s="140">
        <v>0</v>
      </c>
      <c r="AN753" s="140">
        <v>0</v>
      </c>
      <c r="AO753" s="140">
        <v>0</v>
      </c>
      <c r="AP753" s="140">
        <v>1</v>
      </c>
      <c r="AQ753" s="140">
        <v>0</v>
      </c>
      <c r="AR753" s="140">
        <v>0</v>
      </c>
      <c r="AS753" s="140">
        <v>0</v>
      </c>
      <c r="AT753" s="140">
        <v>0</v>
      </c>
      <c r="AU753" s="140">
        <v>0</v>
      </c>
      <c r="AV753" s="140">
        <v>0</v>
      </c>
      <c r="AW753" s="140">
        <v>1</v>
      </c>
      <c r="AX753" s="140">
        <v>0</v>
      </c>
      <c r="AY753" s="140">
        <v>0</v>
      </c>
      <c r="AZ753" s="140">
        <v>0</v>
      </c>
      <c r="BA753" s="140">
        <v>0</v>
      </c>
      <c r="BB753" s="140">
        <v>0</v>
      </c>
      <c r="BC753" s="140">
        <v>0</v>
      </c>
      <c r="BD753" s="140">
        <v>0</v>
      </c>
      <c r="BE753" s="140">
        <v>0</v>
      </c>
      <c r="BF753" s="140">
        <v>0</v>
      </c>
      <c r="BG753" s="140">
        <v>0</v>
      </c>
      <c r="BH753" s="140">
        <v>0</v>
      </c>
      <c r="BI753" s="140">
        <v>0</v>
      </c>
      <c r="BJ753" s="140">
        <v>0</v>
      </c>
      <c r="BK753" s="140">
        <v>0</v>
      </c>
      <c r="BL753" s="140">
        <v>0</v>
      </c>
      <c r="BM753" s="140">
        <v>0</v>
      </c>
      <c r="BN753" s="140">
        <v>0</v>
      </c>
      <c r="BO753" s="140">
        <v>0</v>
      </c>
      <c r="BX753" s="43">
        <v>15</v>
      </c>
      <c r="BZ753" s="90">
        <f t="shared" si="94"/>
        <v>0.33333333333333331</v>
      </c>
      <c r="CA753" s="90">
        <f t="shared" si="94"/>
        <v>0.33333333333333331</v>
      </c>
      <c r="CB753" s="90">
        <f t="shared" si="94"/>
        <v>0.33333333333333331</v>
      </c>
      <c r="CT753" s="90">
        <f t="shared" si="82"/>
        <v>1</v>
      </c>
      <c r="CU753" s="90">
        <f t="shared" si="83"/>
        <v>1</v>
      </c>
    </row>
    <row r="754" spans="1:99" ht="12" customHeight="1">
      <c r="A754" s="43">
        <v>6357</v>
      </c>
      <c r="B754" s="89" t="s">
        <v>1515</v>
      </c>
      <c r="C754" s="89" t="s">
        <v>2107</v>
      </c>
      <c r="D754" s="89" t="s">
        <v>2108</v>
      </c>
      <c r="F754" s="43">
        <v>526523</v>
      </c>
      <c r="G754" s="43">
        <v>174841</v>
      </c>
      <c r="H754" s="89" t="s">
        <v>170</v>
      </c>
      <c r="K754" s="140">
        <v>1</v>
      </c>
      <c r="L754" s="140">
        <v>2</v>
      </c>
      <c r="M754" s="140">
        <v>1</v>
      </c>
      <c r="N754" s="140">
        <v>2</v>
      </c>
      <c r="O754" s="140">
        <v>1</v>
      </c>
      <c r="Q754" s="89" t="s">
        <v>2109</v>
      </c>
      <c r="R754" s="43" t="s">
        <v>316</v>
      </c>
      <c r="S754" s="125">
        <v>42607</v>
      </c>
      <c r="T754" s="117">
        <v>42661</v>
      </c>
      <c r="V754" s="43" t="s">
        <v>317</v>
      </c>
      <c r="X754" s="43" t="s">
        <v>318</v>
      </c>
      <c r="Y754" s="43" t="s">
        <v>348</v>
      </c>
      <c r="Z754" s="43" t="s">
        <v>320</v>
      </c>
      <c r="AA754" s="43" t="s">
        <v>20</v>
      </c>
      <c r="AB754" s="144">
        <v>6.0000000521540598E-3</v>
      </c>
      <c r="AF754" s="43" t="s">
        <v>75</v>
      </c>
      <c r="AG754" s="43" t="s">
        <v>322</v>
      </c>
      <c r="AJ754" s="140">
        <v>0</v>
      </c>
      <c r="AK754" s="140">
        <v>0</v>
      </c>
      <c r="AL754" s="140">
        <v>0</v>
      </c>
      <c r="AM754" s="140">
        <v>0</v>
      </c>
      <c r="AN754" s="140">
        <v>0</v>
      </c>
      <c r="AO754" s="140">
        <v>1</v>
      </c>
      <c r="AP754" s="140">
        <v>0</v>
      </c>
      <c r="AQ754" s="140">
        <v>0</v>
      </c>
      <c r="AR754" s="140">
        <v>0</v>
      </c>
      <c r="AS754" s="140">
        <v>0</v>
      </c>
      <c r="AT754" s="140">
        <v>0</v>
      </c>
      <c r="AU754" s="140">
        <v>0</v>
      </c>
      <c r="AV754" s="140">
        <v>1</v>
      </c>
      <c r="AW754" s="140">
        <v>0</v>
      </c>
      <c r="AX754" s="140">
        <v>0</v>
      </c>
      <c r="AY754" s="140">
        <v>0</v>
      </c>
      <c r="AZ754" s="140">
        <v>1</v>
      </c>
      <c r="BA754" s="140">
        <v>0</v>
      </c>
      <c r="BB754" s="140">
        <v>0</v>
      </c>
      <c r="BC754" s="140">
        <v>0</v>
      </c>
      <c r="BD754" s="140">
        <v>0</v>
      </c>
      <c r="BE754" s="140">
        <v>0</v>
      </c>
      <c r="BF754" s="140">
        <v>0</v>
      </c>
      <c r="BG754" s="140">
        <v>-1</v>
      </c>
      <c r="BH754" s="140">
        <v>0</v>
      </c>
      <c r="BI754" s="140">
        <v>0</v>
      </c>
      <c r="BJ754" s="140">
        <v>0</v>
      </c>
      <c r="BK754" s="140">
        <v>0</v>
      </c>
      <c r="BL754" s="140">
        <v>0</v>
      </c>
      <c r="BM754" s="140">
        <v>0</v>
      </c>
      <c r="BN754" s="140">
        <v>0</v>
      </c>
      <c r="BO754" s="140">
        <v>0</v>
      </c>
      <c r="BX754" s="43">
        <v>15</v>
      </c>
      <c r="BZ754" s="90">
        <f t="shared" si="94"/>
        <v>0.33333333333333331</v>
      </c>
      <c r="CA754" s="90">
        <f t="shared" si="94"/>
        <v>0.33333333333333331</v>
      </c>
      <c r="CB754" s="90">
        <f t="shared" si="94"/>
        <v>0.33333333333333331</v>
      </c>
      <c r="CT754" s="90">
        <f t="shared" si="82"/>
        <v>1</v>
      </c>
      <c r="CU754" s="90">
        <f t="shared" si="83"/>
        <v>1</v>
      </c>
    </row>
    <row r="755" spans="1:99" ht="12" customHeight="1">
      <c r="A755" s="43">
        <v>6365</v>
      </c>
      <c r="B755" s="89" t="s">
        <v>1515</v>
      </c>
      <c r="C755" s="89" t="s">
        <v>2110</v>
      </c>
      <c r="D755" s="89" t="s">
        <v>2111</v>
      </c>
      <c r="F755" s="43">
        <v>527536</v>
      </c>
      <c r="G755" s="43">
        <v>176382</v>
      </c>
      <c r="H755" s="89" t="s">
        <v>147</v>
      </c>
      <c r="K755" s="140">
        <v>1</v>
      </c>
      <c r="L755" s="140">
        <v>5</v>
      </c>
      <c r="M755" s="140">
        <v>4</v>
      </c>
      <c r="N755" s="140">
        <v>5</v>
      </c>
      <c r="O755" s="140">
        <v>4</v>
      </c>
      <c r="Q755" s="89" t="s">
        <v>2112</v>
      </c>
      <c r="R755" s="43" t="s">
        <v>316</v>
      </c>
      <c r="S755" s="125">
        <v>42824</v>
      </c>
      <c r="T755" s="117">
        <v>43003</v>
      </c>
      <c r="V755" s="43" t="s">
        <v>317</v>
      </c>
      <c r="X755" s="43" t="s">
        <v>318</v>
      </c>
      <c r="Y755" s="43" t="s">
        <v>319</v>
      </c>
      <c r="Z755" s="43" t="s">
        <v>320</v>
      </c>
      <c r="AA755" s="43" t="s">
        <v>353</v>
      </c>
      <c r="AB755" s="144">
        <v>1.09999999403954E-2</v>
      </c>
      <c r="AF755" s="43" t="s">
        <v>75</v>
      </c>
      <c r="AG755" s="43" t="s">
        <v>322</v>
      </c>
      <c r="AJ755" s="140">
        <v>0</v>
      </c>
      <c r="AK755" s="140">
        <v>0</v>
      </c>
      <c r="AL755" s="140">
        <v>0</v>
      </c>
      <c r="AM755" s="140">
        <v>0</v>
      </c>
      <c r="AN755" s="140">
        <v>1</v>
      </c>
      <c r="AO755" s="140">
        <v>2</v>
      </c>
      <c r="AP755" s="140">
        <v>1</v>
      </c>
      <c r="AQ755" s="140">
        <v>0</v>
      </c>
      <c r="AR755" s="140">
        <v>0</v>
      </c>
      <c r="AS755" s="140">
        <v>0</v>
      </c>
      <c r="AT755" s="140">
        <v>0</v>
      </c>
      <c r="AU755" s="140">
        <v>1</v>
      </c>
      <c r="AV755" s="140">
        <v>2</v>
      </c>
      <c r="AW755" s="140">
        <v>1</v>
      </c>
      <c r="AX755" s="140">
        <v>0</v>
      </c>
      <c r="AY755" s="140">
        <v>0</v>
      </c>
      <c r="AZ755" s="140">
        <v>0</v>
      </c>
      <c r="BA755" s="140">
        <v>0</v>
      </c>
      <c r="BB755" s="140">
        <v>0</v>
      </c>
      <c r="BC755" s="140">
        <v>0</v>
      </c>
      <c r="BD755" s="140">
        <v>0</v>
      </c>
      <c r="BE755" s="140">
        <v>0</v>
      </c>
      <c r="BF755" s="140">
        <v>0</v>
      </c>
      <c r="BG755" s="140">
        <v>0</v>
      </c>
      <c r="BH755" s="140">
        <v>0</v>
      </c>
      <c r="BI755" s="140">
        <v>0</v>
      </c>
      <c r="BJ755" s="140">
        <v>0</v>
      </c>
      <c r="BK755" s="140">
        <v>0</v>
      </c>
      <c r="BL755" s="140">
        <v>0</v>
      </c>
      <c r="BM755" s="140">
        <v>0</v>
      </c>
      <c r="BN755" s="140">
        <v>0</v>
      </c>
      <c r="BO755" s="140">
        <v>0</v>
      </c>
      <c r="BX755" s="43">
        <v>15</v>
      </c>
      <c r="BZ755" s="90">
        <f t="shared" si="94"/>
        <v>1.3333333333333333</v>
      </c>
      <c r="CA755" s="90">
        <f t="shared" si="94"/>
        <v>1.3333333333333333</v>
      </c>
      <c r="CB755" s="90">
        <f t="shared" si="94"/>
        <v>1.3333333333333333</v>
      </c>
      <c r="CT755" s="90">
        <f t="shared" si="82"/>
        <v>4</v>
      </c>
      <c r="CU755" s="90">
        <f t="shared" si="83"/>
        <v>4</v>
      </c>
    </row>
    <row r="756" spans="1:99" ht="12" customHeight="1">
      <c r="A756" s="43">
        <v>6379</v>
      </c>
      <c r="B756" s="89" t="s">
        <v>1515</v>
      </c>
      <c r="C756" s="89" t="s">
        <v>2113</v>
      </c>
      <c r="D756" s="89" t="s">
        <v>2114</v>
      </c>
      <c r="F756" s="43">
        <v>528016</v>
      </c>
      <c r="G756" s="43">
        <v>174865</v>
      </c>
      <c r="H756" s="89" t="s">
        <v>174</v>
      </c>
      <c r="K756" s="140">
        <v>2</v>
      </c>
      <c r="L756" s="140">
        <v>1</v>
      </c>
      <c r="M756" s="140">
        <v>-1</v>
      </c>
      <c r="N756" s="140">
        <v>1</v>
      </c>
      <c r="O756" s="140">
        <v>-1</v>
      </c>
      <c r="Q756" s="89" t="s">
        <v>2115</v>
      </c>
      <c r="R756" s="43" t="s">
        <v>316</v>
      </c>
      <c r="S756" s="125">
        <v>42633</v>
      </c>
      <c r="T756" s="117">
        <v>42688</v>
      </c>
      <c r="V756" s="43" t="s">
        <v>317</v>
      </c>
      <c r="X756" s="43" t="s">
        <v>318</v>
      </c>
      <c r="Y756" s="43" t="s">
        <v>348</v>
      </c>
      <c r="Z756" s="43" t="s">
        <v>320</v>
      </c>
      <c r="AA756" s="43" t="s">
        <v>22</v>
      </c>
      <c r="AB756" s="144">
        <v>1.09999999403954E-2</v>
      </c>
      <c r="AF756" s="43" t="s">
        <v>75</v>
      </c>
      <c r="AG756" s="43" t="s">
        <v>322</v>
      </c>
      <c r="AJ756" s="140">
        <v>0</v>
      </c>
      <c r="AK756" s="140">
        <v>0</v>
      </c>
      <c r="AL756" s="140">
        <v>0</v>
      </c>
      <c r="AM756" s="140">
        <v>0</v>
      </c>
      <c r="AN756" s="140">
        <v>0</v>
      </c>
      <c r="AO756" s="140">
        <v>-1</v>
      </c>
      <c r="AP756" s="140">
        <v>-1</v>
      </c>
      <c r="AQ756" s="140">
        <v>0</v>
      </c>
      <c r="AR756" s="140">
        <v>1</v>
      </c>
      <c r="AS756" s="140">
        <v>0</v>
      </c>
      <c r="AT756" s="140">
        <v>0</v>
      </c>
      <c r="AU756" s="140">
        <v>0</v>
      </c>
      <c r="AV756" s="140">
        <v>-1</v>
      </c>
      <c r="AW756" s="140">
        <v>-1</v>
      </c>
      <c r="AX756" s="140">
        <v>0</v>
      </c>
      <c r="AY756" s="140">
        <v>0</v>
      </c>
      <c r="AZ756" s="140">
        <v>0</v>
      </c>
      <c r="BA756" s="140">
        <v>0</v>
      </c>
      <c r="BB756" s="140">
        <v>0</v>
      </c>
      <c r="BC756" s="140">
        <v>0</v>
      </c>
      <c r="BD756" s="140">
        <v>0</v>
      </c>
      <c r="BE756" s="140">
        <v>0</v>
      </c>
      <c r="BF756" s="140">
        <v>1</v>
      </c>
      <c r="BG756" s="140">
        <v>0</v>
      </c>
      <c r="BH756" s="140">
        <v>0</v>
      </c>
      <c r="BI756" s="140">
        <v>0</v>
      </c>
      <c r="BJ756" s="140">
        <v>0</v>
      </c>
      <c r="BK756" s="140">
        <v>0</v>
      </c>
      <c r="BL756" s="140">
        <v>0</v>
      </c>
      <c r="BM756" s="140">
        <v>0</v>
      </c>
      <c r="BN756" s="140">
        <v>0</v>
      </c>
      <c r="BO756" s="140">
        <v>0</v>
      </c>
      <c r="BX756" s="43">
        <v>15</v>
      </c>
      <c r="BZ756" s="90">
        <f t="shared" si="94"/>
        <v>-0.33333333333333331</v>
      </c>
      <c r="CA756" s="90">
        <f t="shared" si="94"/>
        <v>-0.33333333333333331</v>
      </c>
      <c r="CB756" s="90">
        <f t="shared" si="94"/>
        <v>-0.33333333333333331</v>
      </c>
      <c r="CT756" s="90">
        <f t="shared" si="82"/>
        <v>-1</v>
      </c>
      <c r="CU756" s="90">
        <f t="shared" si="83"/>
        <v>-1</v>
      </c>
    </row>
    <row r="757" spans="1:99" ht="12" customHeight="1">
      <c r="A757" s="43">
        <v>6381</v>
      </c>
      <c r="B757" s="89" t="s">
        <v>1515</v>
      </c>
      <c r="C757" s="89" t="s">
        <v>2116</v>
      </c>
      <c r="D757" s="89" t="s">
        <v>2117</v>
      </c>
      <c r="F757" s="43">
        <v>528420</v>
      </c>
      <c r="G757" s="43">
        <v>173036</v>
      </c>
      <c r="H757" s="89" t="s">
        <v>167</v>
      </c>
      <c r="K757" s="140">
        <v>0</v>
      </c>
      <c r="L757" s="140">
        <v>1</v>
      </c>
      <c r="M757" s="140">
        <v>1</v>
      </c>
      <c r="N757" s="140">
        <v>1</v>
      </c>
      <c r="O757" s="140">
        <v>1</v>
      </c>
      <c r="Q757" s="89" t="s">
        <v>2118</v>
      </c>
      <c r="R757" s="43" t="s">
        <v>316</v>
      </c>
      <c r="S757" s="125">
        <v>42648</v>
      </c>
      <c r="T757" s="117">
        <v>42704</v>
      </c>
      <c r="V757" s="43" t="s">
        <v>317</v>
      </c>
      <c r="X757" s="43" t="s">
        <v>318</v>
      </c>
      <c r="Y757" s="43" t="s">
        <v>336</v>
      </c>
      <c r="Z757" s="43" t="s">
        <v>320</v>
      </c>
      <c r="AA757" s="43" t="s">
        <v>36</v>
      </c>
      <c r="AB757" s="144">
        <v>6.0000000521540598E-3</v>
      </c>
      <c r="AF757" s="43" t="s">
        <v>75</v>
      </c>
      <c r="AG757" s="43" t="s">
        <v>322</v>
      </c>
      <c r="AJ757" s="140">
        <v>0</v>
      </c>
      <c r="AK757" s="140">
        <v>0</v>
      </c>
      <c r="AL757" s="140">
        <v>0</v>
      </c>
      <c r="AM757" s="140">
        <v>0</v>
      </c>
      <c r="AN757" s="140">
        <v>0</v>
      </c>
      <c r="AO757" s="140">
        <v>0</v>
      </c>
      <c r="AP757" s="140">
        <v>0</v>
      </c>
      <c r="AQ757" s="140">
        <v>1</v>
      </c>
      <c r="AR757" s="140">
        <v>0</v>
      </c>
      <c r="AS757" s="140">
        <v>0</v>
      </c>
      <c r="AT757" s="140">
        <v>0</v>
      </c>
      <c r="AU757" s="140">
        <v>0</v>
      </c>
      <c r="AV757" s="140">
        <v>0</v>
      </c>
      <c r="AW757" s="140">
        <v>0</v>
      </c>
      <c r="AX757" s="140">
        <v>0</v>
      </c>
      <c r="AY757" s="140">
        <v>0</v>
      </c>
      <c r="AZ757" s="140">
        <v>0</v>
      </c>
      <c r="BA757" s="140">
        <v>0</v>
      </c>
      <c r="BB757" s="140">
        <v>0</v>
      </c>
      <c r="BC757" s="140">
        <v>0</v>
      </c>
      <c r="BD757" s="140">
        <v>0</v>
      </c>
      <c r="BE757" s="140">
        <v>1</v>
      </c>
      <c r="BF757" s="140">
        <v>0</v>
      </c>
      <c r="BG757" s="140">
        <v>0</v>
      </c>
      <c r="BH757" s="140">
        <v>0</v>
      </c>
      <c r="BI757" s="140">
        <v>0</v>
      </c>
      <c r="BJ757" s="140">
        <v>0</v>
      </c>
      <c r="BK757" s="140">
        <v>0</v>
      </c>
      <c r="BL757" s="140">
        <v>0</v>
      </c>
      <c r="BM757" s="140">
        <v>0</v>
      </c>
      <c r="BN757" s="140">
        <v>0</v>
      </c>
      <c r="BO757" s="140">
        <v>0</v>
      </c>
      <c r="BX757" s="43">
        <v>15</v>
      </c>
      <c r="BZ757" s="90">
        <f t="shared" si="94"/>
        <v>0.33333333333333331</v>
      </c>
      <c r="CA757" s="90">
        <f t="shared" si="94"/>
        <v>0.33333333333333331</v>
      </c>
      <c r="CB757" s="90">
        <f t="shared" si="94"/>
        <v>0.33333333333333331</v>
      </c>
      <c r="CT757" s="90">
        <f t="shared" si="82"/>
        <v>1</v>
      </c>
      <c r="CU757" s="90">
        <f t="shared" si="83"/>
        <v>1</v>
      </c>
    </row>
    <row r="758" spans="1:99" ht="12" customHeight="1">
      <c r="A758" s="43">
        <v>6384</v>
      </c>
      <c r="B758" s="89" t="s">
        <v>1515</v>
      </c>
      <c r="C758" s="89" t="s">
        <v>2119</v>
      </c>
      <c r="D758" s="89" t="s">
        <v>2120</v>
      </c>
      <c r="F758" s="43">
        <v>525320</v>
      </c>
      <c r="G758" s="43">
        <v>174642</v>
      </c>
      <c r="H758" s="89" t="s">
        <v>176</v>
      </c>
      <c r="I758" s="125">
        <v>43806</v>
      </c>
      <c r="K758" s="140">
        <v>1</v>
      </c>
      <c r="L758" s="140">
        <v>1</v>
      </c>
      <c r="M758" s="140">
        <v>0</v>
      </c>
      <c r="N758" s="140">
        <v>2</v>
      </c>
      <c r="O758" s="140">
        <v>1</v>
      </c>
      <c r="Q758" s="89" t="s">
        <v>2121</v>
      </c>
      <c r="R758" s="43" t="s">
        <v>316</v>
      </c>
      <c r="S758" s="125">
        <v>42655</v>
      </c>
      <c r="T758" s="117">
        <v>42711</v>
      </c>
      <c r="V758" s="43" t="s">
        <v>317</v>
      </c>
      <c r="X758" s="43" t="s">
        <v>318</v>
      </c>
      <c r="Y758" s="43" t="s">
        <v>319</v>
      </c>
      <c r="Z758" s="43" t="s">
        <v>320</v>
      </c>
      <c r="AA758" s="43" t="s">
        <v>321</v>
      </c>
      <c r="AB758" s="144">
        <v>3.0000000260770299E-3</v>
      </c>
      <c r="AF758" s="43" t="s">
        <v>75</v>
      </c>
      <c r="AG758" s="43" t="s">
        <v>322</v>
      </c>
      <c r="AJ758" s="140">
        <v>0</v>
      </c>
      <c r="AK758" s="140">
        <v>0</v>
      </c>
      <c r="AL758" s="140">
        <v>0</v>
      </c>
      <c r="AM758" s="140">
        <v>0</v>
      </c>
      <c r="AN758" s="140">
        <v>0</v>
      </c>
      <c r="AO758" s="140">
        <v>1</v>
      </c>
      <c r="AP758" s="140">
        <v>-1</v>
      </c>
      <c r="AQ758" s="140">
        <v>0</v>
      </c>
      <c r="AR758" s="140">
        <v>0</v>
      </c>
      <c r="AS758" s="140">
        <v>0</v>
      </c>
      <c r="AT758" s="140">
        <v>0</v>
      </c>
      <c r="AU758" s="140">
        <v>0</v>
      </c>
      <c r="AV758" s="140">
        <v>1</v>
      </c>
      <c r="AW758" s="140">
        <v>-1</v>
      </c>
      <c r="AX758" s="140">
        <v>0</v>
      </c>
      <c r="AY758" s="140">
        <v>0</v>
      </c>
      <c r="AZ758" s="140">
        <v>0</v>
      </c>
      <c r="BA758" s="140">
        <v>0</v>
      </c>
      <c r="BB758" s="140">
        <v>0</v>
      </c>
      <c r="BC758" s="140">
        <v>0</v>
      </c>
      <c r="BD758" s="140">
        <v>0</v>
      </c>
      <c r="BE758" s="140">
        <v>0</v>
      </c>
      <c r="BF758" s="140">
        <v>0</v>
      </c>
      <c r="BG758" s="140">
        <v>0</v>
      </c>
      <c r="BH758" s="140">
        <v>0</v>
      </c>
      <c r="BI758" s="140">
        <v>0</v>
      </c>
      <c r="BJ758" s="140">
        <v>0</v>
      </c>
      <c r="BK758" s="140">
        <v>0</v>
      </c>
      <c r="BL758" s="140">
        <v>0</v>
      </c>
      <c r="BM758" s="140">
        <v>0</v>
      </c>
      <c r="BN758" s="140">
        <v>0</v>
      </c>
      <c r="BO758" s="140">
        <v>0</v>
      </c>
      <c r="BP758" s="43" t="s">
        <v>142</v>
      </c>
      <c r="BR758" s="43" t="s">
        <v>329</v>
      </c>
      <c r="BX758" s="43">
        <v>15</v>
      </c>
      <c r="BZ758" s="90">
        <f t="shared" si="94"/>
        <v>0</v>
      </c>
      <c r="CA758" s="90">
        <f t="shared" si="94"/>
        <v>0</v>
      </c>
      <c r="CB758" s="90">
        <f t="shared" si="94"/>
        <v>0</v>
      </c>
      <c r="CT758" s="90">
        <f t="shared" si="82"/>
        <v>0</v>
      </c>
      <c r="CU758" s="90">
        <f t="shared" si="83"/>
        <v>0</v>
      </c>
    </row>
    <row r="759" spans="1:99" ht="12" customHeight="1">
      <c r="A759" s="43">
        <v>6384</v>
      </c>
      <c r="B759" s="89" t="s">
        <v>1515</v>
      </c>
      <c r="C759" s="89" t="s">
        <v>2119</v>
      </c>
      <c r="D759" s="89" t="s">
        <v>2120</v>
      </c>
      <c r="F759" s="43">
        <v>525320</v>
      </c>
      <c r="G759" s="43">
        <v>174642</v>
      </c>
      <c r="H759" s="89" t="s">
        <v>176</v>
      </c>
      <c r="I759" s="125">
        <v>43806</v>
      </c>
      <c r="K759" s="140">
        <v>0</v>
      </c>
      <c r="L759" s="140">
        <v>1</v>
      </c>
      <c r="M759" s="140">
        <v>1</v>
      </c>
      <c r="N759" s="140">
        <v>2</v>
      </c>
      <c r="O759" s="140">
        <v>1</v>
      </c>
      <c r="Q759" s="89" t="s">
        <v>2121</v>
      </c>
      <c r="R759" s="43" t="s">
        <v>316</v>
      </c>
      <c r="S759" s="125">
        <v>42655</v>
      </c>
      <c r="T759" s="117">
        <v>42711</v>
      </c>
      <c r="V759" s="43" t="s">
        <v>317</v>
      </c>
      <c r="X759" s="43" t="s">
        <v>318</v>
      </c>
      <c r="Y759" s="43" t="s">
        <v>319</v>
      </c>
      <c r="Z759" s="43" t="s">
        <v>320</v>
      </c>
      <c r="AA759" s="43" t="s">
        <v>353</v>
      </c>
      <c r="AB759" s="144">
        <v>2.0000000949949E-3</v>
      </c>
      <c r="AF759" s="43" t="s">
        <v>75</v>
      </c>
      <c r="AG759" s="43" t="s">
        <v>322</v>
      </c>
      <c r="AJ759" s="140">
        <v>0</v>
      </c>
      <c r="AK759" s="140">
        <v>0</v>
      </c>
      <c r="AL759" s="140">
        <v>0</v>
      </c>
      <c r="AM759" s="140">
        <v>0</v>
      </c>
      <c r="AN759" s="140">
        <v>0</v>
      </c>
      <c r="AO759" s="140">
        <v>1</v>
      </c>
      <c r="AP759" s="140">
        <v>0</v>
      </c>
      <c r="AQ759" s="140">
        <v>0</v>
      </c>
      <c r="AR759" s="140">
        <v>0</v>
      </c>
      <c r="AS759" s="140">
        <v>0</v>
      </c>
      <c r="AT759" s="140">
        <v>0</v>
      </c>
      <c r="AU759" s="140">
        <v>0</v>
      </c>
      <c r="AV759" s="140">
        <v>1</v>
      </c>
      <c r="AW759" s="140">
        <v>0</v>
      </c>
      <c r="AX759" s="140">
        <v>0</v>
      </c>
      <c r="AY759" s="140">
        <v>0</v>
      </c>
      <c r="AZ759" s="140">
        <v>0</v>
      </c>
      <c r="BA759" s="140">
        <v>0</v>
      </c>
      <c r="BB759" s="140">
        <v>0</v>
      </c>
      <c r="BC759" s="140">
        <v>0</v>
      </c>
      <c r="BD759" s="140">
        <v>0</v>
      </c>
      <c r="BE759" s="140">
        <v>0</v>
      </c>
      <c r="BF759" s="140">
        <v>0</v>
      </c>
      <c r="BG759" s="140">
        <v>0</v>
      </c>
      <c r="BH759" s="140">
        <v>0</v>
      </c>
      <c r="BI759" s="140">
        <v>0</v>
      </c>
      <c r="BJ759" s="140">
        <v>0</v>
      </c>
      <c r="BK759" s="140">
        <v>0</v>
      </c>
      <c r="BL759" s="140">
        <v>0</v>
      </c>
      <c r="BM759" s="140">
        <v>0</v>
      </c>
      <c r="BN759" s="140">
        <v>0</v>
      </c>
      <c r="BO759" s="140">
        <v>0</v>
      </c>
      <c r="BP759" s="43" t="s">
        <v>142</v>
      </c>
      <c r="BR759" s="43" t="s">
        <v>329</v>
      </c>
      <c r="BX759" s="43">
        <v>15</v>
      </c>
      <c r="BZ759" s="90">
        <f t="shared" si="94"/>
        <v>0.33333333333333331</v>
      </c>
      <c r="CA759" s="90">
        <f t="shared" si="94"/>
        <v>0.33333333333333331</v>
      </c>
      <c r="CB759" s="90">
        <f t="shared" si="94"/>
        <v>0.33333333333333331</v>
      </c>
      <c r="CT759" s="90">
        <f t="shared" si="82"/>
        <v>1</v>
      </c>
      <c r="CU759" s="90">
        <f t="shared" si="83"/>
        <v>1</v>
      </c>
    </row>
    <row r="760" spans="1:99" ht="12" customHeight="1">
      <c r="A760" s="43">
        <v>6390</v>
      </c>
      <c r="B760" s="89" t="s">
        <v>1515</v>
      </c>
      <c r="C760" s="89" t="s">
        <v>2122</v>
      </c>
      <c r="D760" s="89" t="s">
        <v>2123</v>
      </c>
      <c r="F760" s="43">
        <v>526853</v>
      </c>
      <c r="G760" s="43">
        <v>175074</v>
      </c>
      <c r="H760" s="89" t="s">
        <v>170</v>
      </c>
      <c r="K760" s="140">
        <v>1</v>
      </c>
      <c r="L760" s="140">
        <v>2</v>
      </c>
      <c r="M760" s="140">
        <v>1</v>
      </c>
      <c r="N760" s="140">
        <v>2</v>
      </c>
      <c r="O760" s="140">
        <v>1</v>
      </c>
      <c r="Q760" s="89" t="s">
        <v>2124</v>
      </c>
      <c r="R760" s="43" t="s">
        <v>316</v>
      </c>
      <c r="S760" s="125">
        <v>42670</v>
      </c>
      <c r="T760" s="117">
        <v>42725</v>
      </c>
      <c r="V760" s="43" t="s">
        <v>317</v>
      </c>
      <c r="X760" s="43" t="s">
        <v>318</v>
      </c>
      <c r="Y760" s="43" t="s">
        <v>348</v>
      </c>
      <c r="Z760" s="43" t="s">
        <v>320</v>
      </c>
      <c r="AA760" s="43" t="s">
        <v>321</v>
      </c>
      <c r="AB760" s="144">
        <v>8.0000003799796104E-3</v>
      </c>
      <c r="AF760" s="43" t="s">
        <v>75</v>
      </c>
      <c r="AG760" s="43" t="s">
        <v>322</v>
      </c>
      <c r="AJ760" s="140">
        <v>0</v>
      </c>
      <c r="AK760" s="140">
        <v>0</v>
      </c>
      <c r="AL760" s="140">
        <v>0</v>
      </c>
      <c r="AM760" s="140">
        <v>0</v>
      </c>
      <c r="AN760" s="140">
        <v>1</v>
      </c>
      <c r="AO760" s="140">
        <v>1</v>
      </c>
      <c r="AP760" s="140">
        <v>0</v>
      </c>
      <c r="AQ760" s="140">
        <v>0</v>
      </c>
      <c r="AR760" s="140">
        <v>-1</v>
      </c>
      <c r="AS760" s="140">
        <v>0</v>
      </c>
      <c r="AT760" s="140">
        <v>0</v>
      </c>
      <c r="AU760" s="140">
        <v>1</v>
      </c>
      <c r="AV760" s="140">
        <v>1</v>
      </c>
      <c r="AW760" s="140">
        <v>0</v>
      </c>
      <c r="AX760" s="140">
        <v>0</v>
      </c>
      <c r="AY760" s="140">
        <v>-1</v>
      </c>
      <c r="AZ760" s="140">
        <v>0</v>
      </c>
      <c r="BA760" s="140">
        <v>0</v>
      </c>
      <c r="BB760" s="140">
        <v>0</v>
      </c>
      <c r="BC760" s="140">
        <v>0</v>
      </c>
      <c r="BD760" s="140">
        <v>0</v>
      </c>
      <c r="BE760" s="140">
        <v>0</v>
      </c>
      <c r="BF760" s="140">
        <v>0</v>
      </c>
      <c r="BG760" s="140">
        <v>0</v>
      </c>
      <c r="BH760" s="140">
        <v>0</v>
      </c>
      <c r="BI760" s="140">
        <v>0</v>
      </c>
      <c r="BJ760" s="140">
        <v>0</v>
      </c>
      <c r="BK760" s="140">
        <v>0</v>
      </c>
      <c r="BL760" s="140">
        <v>0</v>
      </c>
      <c r="BM760" s="140">
        <v>0</v>
      </c>
      <c r="BN760" s="140">
        <v>0</v>
      </c>
      <c r="BO760" s="140">
        <v>0</v>
      </c>
      <c r="BX760" s="43">
        <v>15</v>
      </c>
      <c r="BZ760" s="90">
        <f t="shared" si="94"/>
        <v>0.33333333333333331</v>
      </c>
      <c r="CA760" s="90">
        <f t="shared" si="94"/>
        <v>0.33333333333333331</v>
      </c>
      <c r="CB760" s="90">
        <f t="shared" si="94"/>
        <v>0.33333333333333331</v>
      </c>
      <c r="CT760" s="90">
        <f t="shared" si="82"/>
        <v>1</v>
      </c>
      <c r="CU760" s="90">
        <f t="shared" si="83"/>
        <v>1</v>
      </c>
    </row>
    <row r="761" spans="1:99" ht="12" customHeight="1">
      <c r="A761" s="43">
        <v>6391</v>
      </c>
      <c r="B761" s="89" t="s">
        <v>1515</v>
      </c>
      <c r="C761" s="89" t="s">
        <v>2125</v>
      </c>
      <c r="D761" s="89" t="s">
        <v>2126</v>
      </c>
      <c r="F761" s="43">
        <v>526853</v>
      </c>
      <c r="G761" s="43">
        <v>175074</v>
      </c>
      <c r="H761" s="89" t="s">
        <v>170</v>
      </c>
      <c r="K761" s="140">
        <v>1</v>
      </c>
      <c r="L761" s="140">
        <v>2</v>
      </c>
      <c r="M761" s="140">
        <v>1</v>
      </c>
      <c r="N761" s="140">
        <v>2</v>
      </c>
      <c r="O761" s="140">
        <v>1</v>
      </c>
      <c r="Q761" s="89" t="s">
        <v>2124</v>
      </c>
      <c r="R761" s="43" t="s">
        <v>316</v>
      </c>
      <c r="S761" s="125">
        <v>42670</v>
      </c>
      <c r="T761" s="117">
        <v>42725</v>
      </c>
      <c r="V761" s="43" t="s">
        <v>317</v>
      </c>
      <c r="X761" s="43" t="s">
        <v>318</v>
      </c>
      <c r="Y761" s="43" t="s">
        <v>348</v>
      </c>
      <c r="Z761" s="43" t="s">
        <v>320</v>
      </c>
      <c r="AA761" s="43" t="s">
        <v>321</v>
      </c>
      <c r="AB761" s="144">
        <v>6.0000000521540598E-3</v>
      </c>
      <c r="AF761" s="43" t="s">
        <v>75</v>
      </c>
      <c r="AG761" s="43" t="s">
        <v>322</v>
      </c>
      <c r="AJ761" s="140">
        <v>0</v>
      </c>
      <c r="AK761" s="140">
        <v>0</v>
      </c>
      <c r="AL761" s="140">
        <v>0</v>
      </c>
      <c r="AM761" s="140">
        <v>0</v>
      </c>
      <c r="AN761" s="140">
        <v>1</v>
      </c>
      <c r="AO761" s="140">
        <v>1</v>
      </c>
      <c r="AP761" s="140">
        <v>0</v>
      </c>
      <c r="AQ761" s="140">
        <v>0</v>
      </c>
      <c r="AR761" s="140">
        <v>-1</v>
      </c>
      <c r="AS761" s="140">
        <v>0</v>
      </c>
      <c r="AT761" s="140">
        <v>0</v>
      </c>
      <c r="AU761" s="140">
        <v>1</v>
      </c>
      <c r="AV761" s="140">
        <v>1</v>
      </c>
      <c r="AW761" s="140">
        <v>0</v>
      </c>
      <c r="AX761" s="140">
        <v>0</v>
      </c>
      <c r="AY761" s="140">
        <v>-1</v>
      </c>
      <c r="AZ761" s="140">
        <v>0</v>
      </c>
      <c r="BA761" s="140">
        <v>0</v>
      </c>
      <c r="BB761" s="140">
        <v>0</v>
      </c>
      <c r="BC761" s="140">
        <v>0</v>
      </c>
      <c r="BD761" s="140">
        <v>0</v>
      </c>
      <c r="BE761" s="140">
        <v>0</v>
      </c>
      <c r="BF761" s="140">
        <v>0</v>
      </c>
      <c r="BG761" s="140">
        <v>0</v>
      </c>
      <c r="BH761" s="140">
        <v>0</v>
      </c>
      <c r="BI761" s="140">
        <v>0</v>
      </c>
      <c r="BJ761" s="140">
        <v>0</v>
      </c>
      <c r="BK761" s="140">
        <v>0</v>
      </c>
      <c r="BL761" s="140">
        <v>0</v>
      </c>
      <c r="BM761" s="140">
        <v>0</v>
      </c>
      <c r="BN761" s="140">
        <v>0</v>
      </c>
      <c r="BO761" s="140">
        <v>0</v>
      </c>
      <c r="BX761" s="43">
        <v>15</v>
      </c>
      <c r="BZ761" s="90">
        <f t="shared" si="94"/>
        <v>0.33333333333333331</v>
      </c>
      <c r="CA761" s="90">
        <f t="shared" si="94"/>
        <v>0.33333333333333331</v>
      </c>
      <c r="CB761" s="90">
        <f t="shared" si="94"/>
        <v>0.33333333333333331</v>
      </c>
      <c r="CT761" s="90">
        <f t="shared" si="82"/>
        <v>1</v>
      </c>
      <c r="CU761" s="90">
        <f t="shared" si="83"/>
        <v>1</v>
      </c>
    </row>
    <row r="762" spans="1:99" ht="12" customHeight="1">
      <c r="A762" s="43">
        <v>6395</v>
      </c>
      <c r="B762" s="89" t="s">
        <v>1515</v>
      </c>
      <c r="C762" s="89" t="s">
        <v>2127</v>
      </c>
      <c r="D762" s="89" t="s">
        <v>2128</v>
      </c>
      <c r="F762" s="43">
        <v>527848</v>
      </c>
      <c r="G762" s="43">
        <v>174152</v>
      </c>
      <c r="H762" s="89" t="s">
        <v>174</v>
      </c>
      <c r="K762" s="140">
        <v>1</v>
      </c>
      <c r="L762" s="140">
        <v>2</v>
      </c>
      <c r="M762" s="140">
        <v>1</v>
      </c>
      <c r="N762" s="140">
        <v>2</v>
      </c>
      <c r="O762" s="140">
        <v>1</v>
      </c>
      <c r="Q762" s="89" t="s">
        <v>2129</v>
      </c>
      <c r="R762" s="43" t="s">
        <v>316</v>
      </c>
      <c r="S762" s="125">
        <v>43006</v>
      </c>
      <c r="T762" s="117">
        <v>43053</v>
      </c>
      <c r="V762" s="43" t="s">
        <v>317</v>
      </c>
      <c r="X762" s="43" t="s">
        <v>318</v>
      </c>
      <c r="Y762" s="43" t="s">
        <v>319</v>
      </c>
      <c r="Z762" s="43" t="s">
        <v>320</v>
      </c>
      <c r="AA762" s="43" t="s">
        <v>20</v>
      </c>
      <c r="AB762" s="144">
        <v>1.30000002682209E-2</v>
      </c>
      <c r="AF762" s="43" t="s">
        <v>75</v>
      </c>
      <c r="AG762" s="43" t="s">
        <v>322</v>
      </c>
      <c r="AJ762" s="140">
        <v>0</v>
      </c>
      <c r="AK762" s="140">
        <v>0</v>
      </c>
      <c r="AL762" s="140">
        <v>0</v>
      </c>
      <c r="AM762" s="140">
        <v>0</v>
      </c>
      <c r="AN762" s="140">
        <v>0</v>
      </c>
      <c r="AO762" s="140">
        <v>0</v>
      </c>
      <c r="AP762" s="140">
        <v>0</v>
      </c>
      <c r="AQ762" s="140">
        <v>2</v>
      </c>
      <c r="AR762" s="140">
        <v>-1</v>
      </c>
      <c r="AS762" s="140">
        <v>0</v>
      </c>
      <c r="AT762" s="140">
        <v>0</v>
      </c>
      <c r="AU762" s="140">
        <v>0</v>
      </c>
      <c r="AV762" s="140">
        <v>0</v>
      </c>
      <c r="AW762" s="140">
        <v>0</v>
      </c>
      <c r="AX762" s="140">
        <v>2</v>
      </c>
      <c r="AY762" s="140">
        <v>0</v>
      </c>
      <c r="AZ762" s="140">
        <v>0</v>
      </c>
      <c r="BA762" s="140">
        <v>0</v>
      </c>
      <c r="BB762" s="140">
        <v>0</v>
      </c>
      <c r="BC762" s="140">
        <v>0</v>
      </c>
      <c r="BD762" s="140">
        <v>0</v>
      </c>
      <c r="BE762" s="140">
        <v>0</v>
      </c>
      <c r="BF762" s="140">
        <v>-1</v>
      </c>
      <c r="BG762" s="140">
        <v>0</v>
      </c>
      <c r="BH762" s="140">
        <v>0</v>
      </c>
      <c r="BI762" s="140">
        <v>0</v>
      </c>
      <c r="BJ762" s="140">
        <v>0</v>
      </c>
      <c r="BK762" s="140">
        <v>0</v>
      </c>
      <c r="BL762" s="140">
        <v>0</v>
      </c>
      <c r="BM762" s="140">
        <v>0</v>
      </c>
      <c r="BN762" s="140">
        <v>0</v>
      </c>
      <c r="BO762" s="140">
        <v>0</v>
      </c>
      <c r="BX762" s="43">
        <v>15</v>
      </c>
      <c r="BZ762" s="90">
        <f t="shared" si="94"/>
        <v>0.33333333333333331</v>
      </c>
      <c r="CA762" s="90">
        <f t="shared" si="94"/>
        <v>0.33333333333333331</v>
      </c>
      <c r="CB762" s="90">
        <f t="shared" si="94"/>
        <v>0.33333333333333331</v>
      </c>
      <c r="CT762" s="90">
        <f t="shared" si="82"/>
        <v>1</v>
      </c>
      <c r="CU762" s="90">
        <f t="shared" si="83"/>
        <v>1</v>
      </c>
    </row>
    <row r="763" spans="1:99" ht="12" customHeight="1">
      <c r="A763" s="43">
        <v>6400</v>
      </c>
      <c r="B763" s="89" t="s">
        <v>1515</v>
      </c>
      <c r="C763" s="89" t="s">
        <v>2130</v>
      </c>
      <c r="D763" s="89" t="s">
        <v>2131</v>
      </c>
      <c r="F763" s="43">
        <v>529268</v>
      </c>
      <c r="G763" s="43">
        <v>171015</v>
      </c>
      <c r="H763" s="89" t="s">
        <v>171</v>
      </c>
      <c r="K763" s="140">
        <v>0</v>
      </c>
      <c r="L763" s="140">
        <v>3</v>
      </c>
      <c r="M763" s="140">
        <v>3</v>
      </c>
      <c r="N763" s="140">
        <v>4</v>
      </c>
      <c r="O763" s="140">
        <v>4</v>
      </c>
      <c r="Q763" s="89" t="s">
        <v>2132</v>
      </c>
      <c r="R763" s="43" t="s">
        <v>316</v>
      </c>
      <c r="S763" s="125">
        <v>43719</v>
      </c>
      <c r="T763" s="117">
        <v>43773</v>
      </c>
      <c r="U763" s="43" t="s">
        <v>329</v>
      </c>
      <c r="V763" s="43" t="s">
        <v>317</v>
      </c>
      <c r="X763" s="43" t="s">
        <v>318</v>
      </c>
      <c r="Y763" s="43" t="s">
        <v>319</v>
      </c>
      <c r="Z763" s="43" t="s">
        <v>320</v>
      </c>
      <c r="AA763" s="43" t="s">
        <v>340</v>
      </c>
      <c r="AB763" s="144">
        <v>8.0000003799796104E-3</v>
      </c>
      <c r="AF763" s="43" t="s">
        <v>75</v>
      </c>
      <c r="AG763" s="43" t="s">
        <v>322</v>
      </c>
      <c r="AJ763" s="140">
        <v>0</v>
      </c>
      <c r="AK763" s="140">
        <v>0</v>
      </c>
      <c r="AL763" s="140">
        <v>0</v>
      </c>
      <c r="AM763" s="140">
        <v>0</v>
      </c>
      <c r="AN763" s="140">
        <v>0</v>
      </c>
      <c r="AO763" s="140">
        <v>2</v>
      </c>
      <c r="AP763" s="140">
        <v>1</v>
      </c>
      <c r="AQ763" s="140">
        <v>0</v>
      </c>
      <c r="AR763" s="140">
        <v>0</v>
      </c>
      <c r="AS763" s="140">
        <v>0</v>
      </c>
      <c r="AT763" s="140">
        <v>0</v>
      </c>
      <c r="AU763" s="140">
        <v>0</v>
      </c>
      <c r="AV763" s="140">
        <v>2</v>
      </c>
      <c r="AW763" s="140">
        <v>1</v>
      </c>
      <c r="AX763" s="140">
        <v>0</v>
      </c>
      <c r="AY763" s="140">
        <v>0</v>
      </c>
      <c r="AZ763" s="140">
        <v>0</v>
      </c>
      <c r="BA763" s="140">
        <v>0</v>
      </c>
      <c r="BB763" s="140">
        <v>0</v>
      </c>
      <c r="BC763" s="140">
        <v>0</v>
      </c>
      <c r="BD763" s="140">
        <v>0</v>
      </c>
      <c r="BE763" s="140">
        <v>0</v>
      </c>
      <c r="BF763" s="140">
        <v>0</v>
      </c>
      <c r="BG763" s="140">
        <v>0</v>
      </c>
      <c r="BH763" s="140">
        <v>0</v>
      </c>
      <c r="BI763" s="140">
        <v>0</v>
      </c>
      <c r="BJ763" s="140">
        <v>0</v>
      </c>
      <c r="BK763" s="140">
        <v>0</v>
      </c>
      <c r="BL763" s="140">
        <v>0</v>
      </c>
      <c r="BM763" s="140">
        <v>0</v>
      </c>
      <c r="BN763" s="140">
        <v>0</v>
      </c>
      <c r="BO763" s="140">
        <v>0</v>
      </c>
      <c r="BX763" s="43">
        <v>15</v>
      </c>
      <c r="BZ763" s="90">
        <f t="shared" si="94"/>
        <v>1</v>
      </c>
      <c r="CA763" s="90">
        <f t="shared" si="94"/>
        <v>1</v>
      </c>
      <c r="CB763" s="90">
        <f t="shared" si="94"/>
        <v>1</v>
      </c>
      <c r="CT763" s="90">
        <f t="shared" si="82"/>
        <v>3</v>
      </c>
      <c r="CU763" s="90">
        <f t="shared" si="83"/>
        <v>3</v>
      </c>
    </row>
    <row r="764" spans="1:99" ht="12" customHeight="1">
      <c r="A764" s="43">
        <v>6400</v>
      </c>
      <c r="B764" s="89" t="s">
        <v>1515</v>
      </c>
      <c r="C764" s="89" t="s">
        <v>2130</v>
      </c>
      <c r="D764" s="89" t="s">
        <v>2131</v>
      </c>
      <c r="F764" s="43">
        <v>529268</v>
      </c>
      <c r="G764" s="43">
        <v>171015</v>
      </c>
      <c r="H764" s="89" t="s">
        <v>171</v>
      </c>
      <c r="K764" s="140">
        <v>0</v>
      </c>
      <c r="L764" s="140">
        <v>1</v>
      </c>
      <c r="M764" s="140">
        <v>1</v>
      </c>
      <c r="N764" s="140">
        <v>4</v>
      </c>
      <c r="O764" s="140">
        <v>4</v>
      </c>
      <c r="Q764" s="89" t="s">
        <v>2132</v>
      </c>
      <c r="R764" s="43" t="s">
        <v>316</v>
      </c>
      <c r="S764" s="125">
        <v>43719</v>
      </c>
      <c r="T764" s="117">
        <v>43773</v>
      </c>
      <c r="U764" s="43" t="s">
        <v>329</v>
      </c>
      <c r="V764" s="43" t="s">
        <v>317</v>
      </c>
      <c r="X764" s="43" t="s">
        <v>318</v>
      </c>
      <c r="Y764" s="43" t="s">
        <v>319</v>
      </c>
      <c r="Z764" s="43" t="s">
        <v>320</v>
      </c>
      <c r="AA764" s="43" t="s">
        <v>30</v>
      </c>
      <c r="AB764" s="144">
        <v>3.0000000260770299E-3</v>
      </c>
      <c r="AF764" s="43" t="s">
        <v>75</v>
      </c>
      <c r="AG764" s="43" t="s">
        <v>322</v>
      </c>
      <c r="AJ764" s="140">
        <v>0</v>
      </c>
      <c r="AK764" s="140">
        <v>0</v>
      </c>
      <c r="AL764" s="140">
        <v>0</v>
      </c>
      <c r="AM764" s="140">
        <v>0</v>
      </c>
      <c r="AN764" s="140">
        <v>1</v>
      </c>
      <c r="AO764" s="140">
        <v>0</v>
      </c>
      <c r="AP764" s="140">
        <v>0</v>
      </c>
      <c r="AQ764" s="140">
        <v>0</v>
      </c>
      <c r="AR764" s="140">
        <v>0</v>
      </c>
      <c r="AS764" s="140">
        <v>0</v>
      </c>
      <c r="AT764" s="140">
        <v>0</v>
      </c>
      <c r="AU764" s="140">
        <v>1</v>
      </c>
      <c r="AV764" s="140">
        <v>0</v>
      </c>
      <c r="AW764" s="140">
        <v>0</v>
      </c>
      <c r="AX764" s="140">
        <v>0</v>
      </c>
      <c r="AY764" s="140">
        <v>0</v>
      </c>
      <c r="AZ764" s="140">
        <v>0</v>
      </c>
      <c r="BA764" s="140">
        <v>0</v>
      </c>
      <c r="BB764" s="140">
        <v>0</v>
      </c>
      <c r="BC764" s="140">
        <v>0</v>
      </c>
      <c r="BD764" s="140">
        <v>0</v>
      </c>
      <c r="BE764" s="140">
        <v>0</v>
      </c>
      <c r="BF764" s="140">
        <v>0</v>
      </c>
      <c r="BG764" s="140">
        <v>0</v>
      </c>
      <c r="BH764" s="140">
        <v>0</v>
      </c>
      <c r="BI764" s="140">
        <v>0</v>
      </c>
      <c r="BJ764" s="140">
        <v>0</v>
      </c>
      <c r="BK764" s="140">
        <v>0</v>
      </c>
      <c r="BL764" s="140">
        <v>0</v>
      </c>
      <c r="BM764" s="140">
        <v>0</v>
      </c>
      <c r="BN764" s="140">
        <v>0</v>
      </c>
      <c r="BO764" s="140">
        <v>0</v>
      </c>
      <c r="BX764" s="43">
        <v>15</v>
      </c>
      <c r="BZ764" s="90">
        <f t="shared" si="94"/>
        <v>0.33333333333333331</v>
      </c>
      <c r="CA764" s="90">
        <f t="shared" si="94"/>
        <v>0.33333333333333331</v>
      </c>
      <c r="CB764" s="90">
        <f t="shared" si="94"/>
        <v>0.33333333333333331</v>
      </c>
      <c r="CT764" s="90">
        <f t="shared" si="82"/>
        <v>1</v>
      </c>
      <c r="CU764" s="90">
        <f t="shared" si="83"/>
        <v>1</v>
      </c>
    </row>
    <row r="765" spans="1:99" ht="12" customHeight="1">
      <c r="A765" s="43">
        <v>6414</v>
      </c>
      <c r="B765" s="89" t="s">
        <v>1515</v>
      </c>
      <c r="C765" s="89" t="s">
        <v>2133</v>
      </c>
      <c r="D765" s="89" t="s">
        <v>2134</v>
      </c>
      <c r="F765" s="43">
        <v>526402</v>
      </c>
      <c r="G765" s="43">
        <v>173902</v>
      </c>
      <c r="H765" s="89" t="s">
        <v>179</v>
      </c>
      <c r="K765" s="140">
        <v>1</v>
      </c>
      <c r="L765" s="140">
        <v>1</v>
      </c>
      <c r="M765" s="140">
        <v>0</v>
      </c>
      <c r="N765" s="140">
        <v>1</v>
      </c>
      <c r="O765" s="140">
        <v>0</v>
      </c>
      <c r="Q765" s="89" t="s">
        <v>2135</v>
      </c>
      <c r="R765" s="43" t="s">
        <v>316</v>
      </c>
      <c r="S765" s="125">
        <v>42716</v>
      </c>
      <c r="T765" s="117">
        <v>42772</v>
      </c>
      <c r="V765" s="43" t="s">
        <v>317</v>
      </c>
      <c r="X765" s="43" t="s">
        <v>318</v>
      </c>
      <c r="Y765" s="43" t="s">
        <v>348</v>
      </c>
      <c r="Z765" s="43" t="s">
        <v>320</v>
      </c>
      <c r="AA765" s="43" t="s">
        <v>20</v>
      </c>
      <c r="AB765" s="144">
        <v>1.9999999552965199E-2</v>
      </c>
      <c r="AF765" s="43" t="s">
        <v>75</v>
      </c>
      <c r="AG765" s="43" t="s">
        <v>322</v>
      </c>
      <c r="AJ765" s="140">
        <v>0</v>
      </c>
      <c r="AK765" s="140">
        <v>0</v>
      </c>
      <c r="AL765" s="140">
        <v>0</v>
      </c>
      <c r="AM765" s="140">
        <v>0</v>
      </c>
      <c r="AN765" s="140">
        <v>0</v>
      </c>
      <c r="AO765" s="140">
        <v>0</v>
      </c>
      <c r="AP765" s="140">
        <v>1</v>
      </c>
      <c r="AQ765" s="140">
        <v>0</v>
      </c>
      <c r="AR765" s="140">
        <v>0</v>
      </c>
      <c r="AS765" s="140">
        <v>-1</v>
      </c>
      <c r="AT765" s="140">
        <v>0</v>
      </c>
      <c r="AU765" s="140">
        <v>0</v>
      </c>
      <c r="AV765" s="140">
        <v>0</v>
      </c>
      <c r="AW765" s="140">
        <v>1</v>
      </c>
      <c r="AX765" s="140">
        <v>0</v>
      </c>
      <c r="AY765" s="140">
        <v>0</v>
      </c>
      <c r="AZ765" s="140">
        <v>0</v>
      </c>
      <c r="BA765" s="140">
        <v>0</v>
      </c>
      <c r="BB765" s="140">
        <v>0</v>
      </c>
      <c r="BC765" s="140">
        <v>0</v>
      </c>
      <c r="BD765" s="140">
        <v>0</v>
      </c>
      <c r="BE765" s="140">
        <v>0</v>
      </c>
      <c r="BF765" s="140">
        <v>0</v>
      </c>
      <c r="BG765" s="140">
        <v>-1</v>
      </c>
      <c r="BH765" s="140">
        <v>0</v>
      </c>
      <c r="BI765" s="140">
        <v>0</v>
      </c>
      <c r="BJ765" s="140">
        <v>0</v>
      </c>
      <c r="BK765" s="140">
        <v>0</v>
      </c>
      <c r="BL765" s="140">
        <v>0</v>
      </c>
      <c r="BM765" s="140">
        <v>0</v>
      </c>
      <c r="BN765" s="140">
        <v>0</v>
      </c>
      <c r="BO765" s="140">
        <v>0</v>
      </c>
      <c r="BX765" s="43">
        <v>15</v>
      </c>
      <c r="BZ765" s="90">
        <f t="shared" si="94"/>
        <v>0</v>
      </c>
      <c r="CA765" s="90">
        <f t="shared" si="94"/>
        <v>0</v>
      </c>
      <c r="CB765" s="90">
        <f t="shared" si="94"/>
        <v>0</v>
      </c>
      <c r="CT765" s="90">
        <f t="shared" si="82"/>
        <v>0</v>
      </c>
      <c r="CU765" s="90">
        <f t="shared" si="83"/>
        <v>0</v>
      </c>
    </row>
    <row r="766" spans="1:99" ht="12" customHeight="1">
      <c r="A766" s="43">
        <v>6481</v>
      </c>
      <c r="B766" s="89" t="s">
        <v>1515</v>
      </c>
      <c r="C766" s="89" t="s">
        <v>2136</v>
      </c>
      <c r="D766" s="89" t="s">
        <v>2137</v>
      </c>
      <c r="F766" s="43">
        <v>528408</v>
      </c>
      <c r="G766" s="43">
        <v>173055</v>
      </c>
      <c r="H766" s="89" t="s">
        <v>167</v>
      </c>
      <c r="K766" s="140">
        <v>0</v>
      </c>
      <c r="L766" s="140">
        <v>3</v>
      </c>
      <c r="M766" s="140">
        <v>3</v>
      </c>
      <c r="N766" s="140">
        <v>3</v>
      </c>
      <c r="O766" s="140">
        <v>3</v>
      </c>
      <c r="Q766" s="89" t="s">
        <v>2138</v>
      </c>
      <c r="R766" s="43" t="s">
        <v>316</v>
      </c>
      <c r="S766" s="125">
        <v>42663</v>
      </c>
      <c r="T766" s="117">
        <v>42879</v>
      </c>
      <c r="V766" s="43" t="s">
        <v>317</v>
      </c>
      <c r="X766" s="43" t="s">
        <v>318</v>
      </c>
      <c r="Y766" s="43" t="s">
        <v>319</v>
      </c>
      <c r="Z766" s="43" t="s">
        <v>320</v>
      </c>
      <c r="AA766" s="43" t="s">
        <v>33</v>
      </c>
      <c r="AB766" s="144">
        <v>1.30000002682209E-2</v>
      </c>
      <c r="AF766" s="43" t="s">
        <v>75</v>
      </c>
      <c r="AG766" s="43" t="s">
        <v>322</v>
      </c>
      <c r="AJ766" s="140">
        <v>0</v>
      </c>
      <c r="AK766" s="140">
        <v>0</v>
      </c>
      <c r="AL766" s="140">
        <v>0</v>
      </c>
      <c r="AM766" s="140">
        <v>0</v>
      </c>
      <c r="AN766" s="140">
        <v>0</v>
      </c>
      <c r="AO766" s="140">
        <v>2</v>
      </c>
      <c r="AP766" s="140">
        <v>1</v>
      </c>
      <c r="AQ766" s="140">
        <v>0</v>
      </c>
      <c r="AR766" s="140">
        <v>0</v>
      </c>
      <c r="AS766" s="140">
        <v>0</v>
      </c>
      <c r="AT766" s="140">
        <v>0</v>
      </c>
      <c r="AU766" s="140">
        <v>0</v>
      </c>
      <c r="AV766" s="140">
        <v>2</v>
      </c>
      <c r="AW766" s="140">
        <v>1</v>
      </c>
      <c r="AX766" s="140">
        <v>0</v>
      </c>
      <c r="AY766" s="140">
        <v>0</v>
      </c>
      <c r="AZ766" s="140">
        <v>0</v>
      </c>
      <c r="BA766" s="140">
        <v>0</v>
      </c>
      <c r="BB766" s="140">
        <v>0</v>
      </c>
      <c r="BC766" s="140">
        <v>0</v>
      </c>
      <c r="BD766" s="140">
        <v>0</v>
      </c>
      <c r="BE766" s="140">
        <v>0</v>
      </c>
      <c r="BF766" s="140">
        <v>0</v>
      </c>
      <c r="BG766" s="140">
        <v>0</v>
      </c>
      <c r="BH766" s="140">
        <v>0</v>
      </c>
      <c r="BI766" s="140">
        <v>0</v>
      </c>
      <c r="BJ766" s="140">
        <v>0</v>
      </c>
      <c r="BK766" s="140">
        <v>0</v>
      </c>
      <c r="BL766" s="140">
        <v>0</v>
      </c>
      <c r="BM766" s="140">
        <v>0</v>
      </c>
      <c r="BN766" s="140">
        <v>0</v>
      </c>
      <c r="BO766" s="140">
        <v>0</v>
      </c>
      <c r="BX766" s="43">
        <v>15</v>
      </c>
      <c r="BZ766" s="90">
        <f t="shared" si="94"/>
        <v>1</v>
      </c>
      <c r="CA766" s="90">
        <f t="shared" si="94"/>
        <v>1</v>
      </c>
      <c r="CB766" s="90">
        <f t="shared" si="94"/>
        <v>1</v>
      </c>
      <c r="CT766" s="90">
        <f t="shared" si="82"/>
        <v>3</v>
      </c>
      <c r="CU766" s="90">
        <f t="shared" si="83"/>
        <v>3</v>
      </c>
    </row>
    <row r="767" spans="1:99" ht="12" customHeight="1">
      <c r="A767" s="43">
        <v>6481</v>
      </c>
      <c r="B767" s="89" t="s">
        <v>1515</v>
      </c>
      <c r="C767" s="89" t="s">
        <v>2139</v>
      </c>
      <c r="D767" s="89" t="s">
        <v>2137</v>
      </c>
      <c r="F767" s="43">
        <v>528408</v>
      </c>
      <c r="G767" s="43">
        <v>173055</v>
      </c>
      <c r="H767" s="89" t="s">
        <v>167</v>
      </c>
      <c r="K767" s="140">
        <v>0</v>
      </c>
      <c r="L767" s="140">
        <v>7</v>
      </c>
      <c r="M767" s="140">
        <v>7</v>
      </c>
      <c r="N767" s="140">
        <v>7</v>
      </c>
      <c r="O767" s="140">
        <v>7</v>
      </c>
      <c r="Q767" s="89" t="s">
        <v>2140</v>
      </c>
      <c r="R767" s="43" t="s">
        <v>316</v>
      </c>
      <c r="S767" s="125">
        <v>43601</v>
      </c>
      <c r="T767" s="117">
        <v>43676</v>
      </c>
      <c r="U767" s="43" t="s">
        <v>329</v>
      </c>
      <c r="V767" s="43" t="s">
        <v>317</v>
      </c>
      <c r="X767" s="43" t="s">
        <v>318</v>
      </c>
      <c r="Y767" s="43" t="s">
        <v>361</v>
      </c>
      <c r="Z767" s="43" t="s">
        <v>320</v>
      </c>
      <c r="AA767" s="43" t="s">
        <v>353</v>
      </c>
      <c r="AB767" s="144">
        <v>1.4000000432133701E-2</v>
      </c>
      <c r="AF767" s="43" t="s">
        <v>75</v>
      </c>
      <c r="AG767" s="43" t="s">
        <v>322</v>
      </c>
      <c r="AJ767" s="140">
        <v>0</v>
      </c>
      <c r="AK767" s="140">
        <v>0</v>
      </c>
      <c r="AL767" s="140">
        <v>0</v>
      </c>
      <c r="AM767" s="140">
        <v>0</v>
      </c>
      <c r="AN767" s="140">
        <v>0</v>
      </c>
      <c r="AO767" s="140">
        <v>0</v>
      </c>
      <c r="AP767" s="140">
        <v>0</v>
      </c>
      <c r="AQ767" s="140">
        <v>7</v>
      </c>
      <c r="AR767" s="140">
        <v>0</v>
      </c>
      <c r="AS767" s="140">
        <v>0</v>
      </c>
      <c r="AT767" s="140">
        <v>0</v>
      </c>
      <c r="AU767" s="140">
        <v>0</v>
      </c>
      <c r="AV767" s="140">
        <v>0</v>
      </c>
      <c r="AW767" s="140">
        <v>0</v>
      </c>
      <c r="AX767" s="140">
        <v>0</v>
      </c>
      <c r="AY767" s="140">
        <v>0</v>
      </c>
      <c r="AZ767" s="140">
        <v>0</v>
      </c>
      <c r="BA767" s="140">
        <v>0</v>
      </c>
      <c r="BB767" s="140">
        <v>0</v>
      </c>
      <c r="BC767" s="140">
        <v>0</v>
      </c>
      <c r="BD767" s="140">
        <v>0</v>
      </c>
      <c r="BE767" s="140">
        <v>7</v>
      </c>
      <c r="BF767" s="140">
        <v>0</v>
      </c>
      <c r="BG767" s="140">
        <v>0</v>
      </c>
      <c r="BH767" s="140">
        <v>0</v>
      </c>
      <c r="BI767" s="140">
        <v>0</v>
      </c>
      <c r="BJ767" s="140">
        <v>0</v>
      </c>
      <c r="BK767" s="140">
        <v>0</v>
      </c>
      <c r="BL767" s="140">
        <v>0</v>
      </c>
      <c r="BM767" s="140">
        <v>0</v>
      </c>
      <c r="BN767" s="140">
        <v>0</v>
      </c>
      <c r="BO767" s="140">
        <v>0</v>
      </c>
      <c r="BX767" s="43">
        <v>9</v>
      </c>
      <c r="CC767" s="90">
        <f>$M767/3</f>
        <v>2.3333333333333335</v>
      </c>
      <c r="CD767" s="90">
        <f>$M767/3</f>
        <v>2.3333333333333335</v>
      </c>
      <c r="CE767" s="90">
        <f>$M767/3</f>
        <v>2.3333333333333335</v>
      </c>
      <c r="CT767" s="90">
        <f t="shared" si="82"/>
        <v>4.666666666666667</v>
      </c>
      <c r="CU767" s="90">
        <f t="shared" si="83"/>
        <v>7</v>
      </c>
    </row>
    <row r="768" spans="1:99" ht="12" customHeight="1">
      <c r="A768" s="43">
        <v>6487</v>
      </c>
      <c r="B768" s="89" t="s">
        <v>1515</v>
      </c>
      <c r="C768" s="89" t="s">
        <v>2141</v>
      </c>
      <c r="D768" s="89" t="s">
        <v>2142</v>
      </c>
      <c r="F768" s="43">
        <v>529348</v>
      </c>
      <c r="G768" s="43">
        <v>177574</v>
      </c>
      <c r="H768" s="89" t="s">
        <v>148</v>
      </c>
      <c r="K768" s="140">
        <v>2</v>
      </c>
      <c r="L768" s="140">
        <v>1</v>
      </c>
      <c r="M768" s="140">
        <v>-1</v>
      </c>
      <c r="N768" s="140">
        <v>1</v>
      </c>
      <c r="O768" s="140">
        <v>-1</v>
      </c>
      <c r="Q768" s="89" t="s">
        <v>2143</v>
      </c>
      <c r="R768" s="43" t="s">
        <v>316</v>
      </c>
      <c r="S768" s="125">
        <v>42796</v>
      </c>
      <c r="T768" s="117">
        <v>42831</v>
      </c>
      <c r="V768" s="43" t="s">
        <v>317</v>
      </c>
      <c r="X768" s="43" t="s">
        <v>318</v>
      </c>
      <c r="Y768" s="43" t="s">
        <v>348</v>
      </c>
      <c r="Z768" s="43" t="s">
        <v>320</v>
      </c>
      <c r="AA768" s="43" t="s">
        <v>636</v>
      </c>
      <c r="AB768" s="144">
        <v>9.9999997764825804E-3</v>
      </c>
      <c r="AF768" s="43" t="s">
        <v>75</v>
      </c>
      <c r="AG768" s="43" t="s">
        <v>322</v>
      </c>
      <c r="AH768" s="43" t="s">
        <v>2144</v>
      </c>
      <c r="AJ768" s="140">
        <v>0</v>
      </c>
      <c r="AK768" s="140">
        <v>0</v>
      </c>
      <c r="AL768" s="140">
        <v>0</v>
      </c>
      <c r="AM768" s="140">
        <v>0</v>
      </c>
      <c r="AN768" s="140">
        <v>0</v>
      </c>
      <c r="AO768" s="140">
        <v>0</v>
      </c>
      <c r="AP768" s="140">
        <v>0</v>
      </c>
      <c r="AQ768" s="140">
        <v>-2</v>
      </c>
      <c r="AR768" s="140">
        <v>0</v>
      </c>
      <c r="AS768" s="140">
        <v>1</v>
      </c>
      <c r="AT768" s="140">
        <v>0</v>
      </c>
      <c r="AU768" s="140">
        <v>0</v>
      </c>
      <c r="AV768" s="140">
        <v>0</v>
      </c>
      <c r="AW768" s="140">
        <v>0</v>
      </c>
      <c r="AX768" s="140">
        <v>-2</v>
      </c>
      <c r="AY768" s="140">
        <v>0</v>
      </c>
      <c r="AZ768" s="140">
        <v>1</v>
      </c>
      <c r="BA768" s="140">
        <v>0</v>
      </c>
      <c r="BB768" s="140">
        <v>0</v>
      </c>
      <c r="BC768" s="140">
        <v>0</v>
      </c>
      <c r="BD768" s="140">
        <v>0</v>
      </c>
      <c r="BE768" s="140">
        <v>0</v>
      </c>
      <c r="BF768" s="140">
        <v>0</v>
      </c>
      <c r="BG768" s="140">
        <v>0</v>
      </c>
      <c r="BH768" s="140">
        <v>0</v>
      </c>
      <c r="BI768" s="140">
        <v>0</v>
      </c>
      <c r="BJ768" s="140">
        <v>0</v>
      </c>
      <c r="BK768" s="140">
        <v>0</v>
      </c>
      <c r="BL768" s="140">
        <v>0</v>
      </c>
      <c r="BM768" s="140">
        <v>0</v>
      </c>
      <c r="BN768" s="140">
        <v>0</v>
      </c>
      <c r="BO768" s="140">
        <v>0</v>
      </c>
      <c r="BQ768" s="43" t="s">
        <v>329</v>
      </c>
      <c r="BX768" s="43">
        <v>15</v>
      </c>
      <c r="BZ768" s="90">
        <f t="shared" ref="BZ768:CB769" si="95">$M768/3</f>
        <v>-0.33333333333333331</v>
      </c>
      <c r="CA768" s="90">
        <f t="shared" si="95"/>
        <v>-0.33333333333333331</v>
      </c>
      <c r="CB768" s="90">
        <f t="shared" si="95"/>
        <v>-0.33333333333333331</v>
      </c>
      <c r="CT768" s="90">
        <f t="shared" si="82"/>
        <v>-1</v>
      </c>
      <c r="CU768" s="90">
        <f t="shared" si="83"/>
        <v>-1</v>
      </c>
    </row>
    <row r="769" spans="1:99" ht="12" customHeight="1">
      <c r="A769" s="43">
        <v>6489</v>
      </c>
      <c r="B769" s="89" t="s">
        <v>1515</v>
      </c>
      <c r="C769" s="89" t="s">
        <v>2145</v>
      </c>
      <c r="D769" s="89" t="s">
        <v>2146</v>
      </c>
      <c r="F769" s="43">
        <v>527608</v>
      </c>
      <c r="G769" s="43">
        <v>176466</v>
      </c>
      <c r="H769" s="89" t="s">
        <v>147</v>
      </c>
      <c r="K769" s="140">
        <v>2</v>
      </c>
      <c r="L769" s="140">
        <v>1</v>
      </c>
      <c r="M769" s="140">
        <v>-1</v>
      </c>
      <c r="N769" s="140">
        <v>1</v>
      </c>
      <c r="O769" s="140">
        <v>-1</v>
      </c>
      <c r="Q769" s="89" t="s">
        <v>2147</v>
      </c>
      <c r="R769" s="43" t="s">
        <v>316</v>
      </c>
      <c r="S769" s="125">
        <v>42789</v>
      </c>
      <c r="T769" s="117">
        <v>42845</v>
      </c>
      <c r="V769" s="43" t="s">
        <v>317</v>
      </c>
      <c r="X769" s="43" t="s">
        <v>318</v>
      </c>
      <c r="Y769" s="43" t="s">
        <v>319</v>
      </c>
      <c r="Z769" s="43" t="s">
        <v>320</v>
      </c>
      <c r="AA769" s="43" t="s">
        <v>22</v>
      </c>
      <c r="AB769" s="144">
        <v>1.4000000432133701E-2</v>
      </c>
      <c r="AF769" s="43" t="s">
        <v>75</v>
      </c>
      <c r="AG769" s="43" t="s">
        <v>322</v>
      </c>
      <c r="AJ769" s="140">
        <v>0</v>
      </c>
      <c r="AK769" s="140">
        <v>0</v>
      </c>
      <c r="AL769" s="140">
        <v>0</v>
      </c>
      <c r="AM769" s="140">
        <v>0</v>
      </c>
      <c r="AN769" s="140">
        <v>0</v>
      </c>
      <c r="AO769" s="140">
        <v>-1</v>
      </c>
      <c r="AP769" s="140">
        <v>-1</v>
      </c>
      <c r="AQ769" s="140">
        <v>0</v>
      </c>
      <c r="AR769" s="140">
        <v>0</v>
      </c>
      <c r="AS769" s="140">
        <v>1</v>
      </c>
      <c r="AT769" s="140">
        <v>0</v>
      </c>
      <c r="AU769" s="140">
        <v>0</v>
      </c>
      <c r="AV769" s="140">
        <v>-1</v>
      </c>
      <c r="AW769" s="140">
        <v>-1</v>
      </c>
      <c r="AX769" s="140">
        <v>0</v>
      </c>
      <c r="AY769" s="140">
        <v>0</v>
      </c>
      <c r="AZ769" s="140">
        <v>0</v>
      </c>
      <c r="BA769" s="140">
        <v>0</v>
      </c>
      <c r="BB769" s="140">
        <v>0</v>
      </c>
      <c r="BC769" s="140">
        <v>0</v>
      </c>
      <c r="BD769" s="140">
        <v>0</v>
      </c>
      <c r="BE769" s="140">
        <v>0</v>
      </c>
      <c r="BF769" s="140">
        <v>0</v>
      </c>
      <c r="BG769" s="140">
        <v>1</v>
      </c>
      <c r="BH769" s="140">
        <v>0</v>
      </c>
      <c r="BI769" s="140">
        <v>0</v>
      </c>
      <c r="BJ769" s="140">
        <v>0</v>
      </c>
      <c r="BK769" s="140">
        <v>0</v>
      </c>
      <c r="BL769" s="140">
        <v>0</v>
      </c>
      <c r="BM769" s="140">
        <v>0</v>
      </c>
      <c r="BN769" s="140">
        <v>0</v>
      </c>
      <c r="BO769" s="140">
        <v>0</v>
      </c>
      <c r="BX769" s="43">
        <v>15</v>
      </c>
      <c r="BZ769" s="90">
        <f t="shared" si="95"/>
        <v>-0.33333333333333331</v>
      </c>
      <c r="CA769" s="90">
        <f t="shared" si="95"/>
        <v>-0.33333333333333331</v>
      </c>
      <c r="CB769" s="90">
        <f t="shared" si="95"/>
        <v>-0.33333333333333331</v>
      </c>
      <c r="CT769" s="90">
        <f t="shared" si="82"/>
        <v>-1</v>
      </c>
      <c r="CU769" s="90">
        <f t="shared" si="83"/>
        <v>-1</v>
      </c>
    </row>
    <row r="770" spans="1:99" ht="12" customHeight="1">
      <c r="A770" s="43">
        <v>6490</v>
      </c>
      <c r="B770" s="89" t="s">
        <v>1515</v>
      </c>
      <c r="C770" s="89" t="s">
        <v>2148</v>
      </c>
      <c r="D770" s="89" t="s">
        <v>2149</v>
      </c>
      <c r="F770" s="43">
        <v>523997</v>
      </c>
      <c r="G770" s="43">
        <v>175115</v>
      </c>
      <c r="H770" s="89" t="s">
        <v>178</v>
      </c>
      <c r="K770" s="140">
        <v>0</v>
      </c>
      <c r="L770" s="140">
        <v>7</v>
      </c>
      <c r="M770" s="140">
        <v>7</v>
      </c>
      <c r="N770" s="140">
        <v>9</v>
      </c>
      <c r="O770" s="140">
        <v>9</v>
      </c>
      <c r="Q770" s="89" t="s">
        <v>2150</v>
      </c>
      <c r="R770" s="43" t="s">
        <v>316</v>
      </c>
      <c r="S770" s="125">
        <v>43692</v>
      </c>
      <c r="T770" s="117">
        <v>43768</v>
      </c>
      <c r="U770" s="43" t="s">
        <v>329</v>
      </c>
      <c r="V770" s="43" t="s">
        <v>317</v>
      </c>
      <c r="X770" s="43" t="s">
        <v>318</v>
      </c>
      <c r="Y770" s="43" t="s">
        <v>319</v>
      </c>
      <c r="Z770" s="43" t="s">
        <v>320</v>
      </c>
      <c r="AA770" s="43" t="s">
        <v>353</v>
      </c>
      <c r="AB770" s="144">
        <v>1.2000000104308101E-2</v>
      </c>
      <c r="AF770" s="43" t="s">
        <v>75</v>
      </c>
      <c r="AG770" s="43" t="s">
        <v>322</v>
      </c>
      <c r="AJ770" s="140">
        <v>0</v>
      </c>
      <c r="AK770" s="140">
        <v>0</v>
      </c>
      <c r="AL770" s="140">
        <v>0</v>
      </c>
      <c r="AM770" s="140">
        <v>0</v>
      </c>
      <c r="AN770" s="140">
        <v>0</v>
      </c>
      <c r="AO770" s="140">
        <v>0</v>
      </c>
      <c r="AP770" s="140">
        <v>6</v>
      </c>
      <c r="AQ770" s="140">
        <v>1</v>
      </c>
      <c r="AR770" s="140">
        <v>0</v>
      </c>
      <c r="AS770" s="140">
        <v>0</v>
      </c>
      <c r="AT770" s="140">
        <v>0</v>
      </c>
      <c r="AU770" s="140">
        <v>0</v>
      </c>
      <c r="AV770" s="140">
        <v>0</v>
      </c>
      <c r="AW770" s="140">
        <v>6</v>
      </c>
      <c r="AX770" s="140">
        <v>1</v>
      </c>
      <c r="AY770" s="140">
        <v>0</v>
      </c>
      <c r="AZ770" s="140">
        <v>0</v>
      </c>
      <c r="BA770" s="140">
        <v>0</v>
      </c>
      <c r="BB770" s="140">
        <v>0</v>
      </c>
      <c r="BC770" s="140">
        <v>0</v>
      </c>
      <c r="BD770" s="140">
        <v>0</v>
      </c>
      <c r="BE770" s="140">
        <v>0</v>
      </c>
      <c r="BF770" s="140">
        <v>0</v>
      </c>
      <c r="BG770" s="140">
        <v>0</v>
      </c>
      <c r="BH770" s="140">
        <v>0</v>
      </c>
      <c r="BI770" s="140">
        <v>0</v>
      </c>
      <c r="BJ770" s="140">
        <v>0</v>
      </c>
      <c r="BK770" s="140">
        <v>0</v>
      </c>
      <c r="BL770" s="140">
        <v>0</v>
      </c>
      <c r="BM770" s="140">
        <v>0</v>
      </c>
      <c r="BN770" s="140">
        <v>0</v>
      </c>
      <c r="BO770" s="140">
        <v>0</v>
      </c>
      <c r="BP770" s="43" t="s">
        <v>140</v>
      </c>
      <c r="BX770" s="43">
        <v>16</v>
      </c>
      <c r="CB770" s="90">
        <f>M770</f>
        <v>7</v>
      </c>
      <c r="CT770" s="90">
        <f t="shared" ref="CT770:CT833" si="96">SUM(BZ770:CD770)</f>
        <v>7</v>
      </c>
      <c r="CU770" s="90">
        <f t="shared" ref="CU770:CU833" si="97">SUM(BZ770:CI770)</f>
        <v>7</v>
      </c>
    </row>
    <row r="771" spans="1:99" ht="12" customHeight="1">
      <c r="A771" s="43">
        <v>6490</v>
      </c>
      <c r="B771" s="89" t="s">
        <v>1515</v>
      </c>
      <c r="C771" s="89" t="s">
        <v>2148</v>
      </c>
      <c r="D771" s="89" t="s">
        <v>2149</v>
      </c>
      <c r="F771" s="43">
        <v>523997</v>
      </c>
      <c r="G771" s="43">
        <v>175115</v>
      </c>
      <c r="H771" s="89" t="s">
        <v>178</v>
      </c>
      <c r="K771" s="140">
        <v>0</v>
      </c>
      <c r="L771" s="140">
        <v>2</v>
      </c>
      <c r="M771" s="140">
        <v>2</v>
      </c>
      <c r="N771" s="140">
        <v>9</v>
      </c>
      <c r="O771" s="140">
        <v>9</v>
      </c>
      <c r="Q771" s="89" t="s">
        <v>2150</v>
      </c>
      <c r="R771" s="43" t="s">
        <v>316</v>
      </c>
      <c r="S771" s="125">
        <v>43692</v>
      </c>
      <c r="T771" s="117">
        <v>43768</v>
      </c>
      <c r="U771" s="43" t="s">
        <v>329</v>
      </c>
      <c r="V771" s="43" t="s">
        <v>317</v>
      </c>
      <c r="X771" s="43" t="s">
        <v>318</v>
      </c>
      <c r="Y771" s="43" t="s">
        <v>319</v>
      </c>
      <c r="Z771" s="43" t="s">
        <v>320</v>
      </c>
      <c r="AA771" s="43" t="s">
        <v>33</v>
      </c>
      <c r="AB771" s="144">
        <v>3.0000000260770299E-3</v>
      </c>
      <c r="AF771" s="43" t="s">
        <v>75</v>
      </c>
      <c r="AG771" s="43" t="s">
        <v>322</v>
      </c>
      <c r="AJ771" s="140">
        <v>0</v>
      </c>
      <c r="AK771" s="140">
        <v>0</v>
      </c>
      <c r="AL771" s="140">
        <v>0</v>
      </c>
      <c r="AM771" s="140">
        <v>0</v>
      </c>
      <c r="AN771" s="140">
        <v>0</v>
      </c>
      <c r="AO771" s="140">
        <v>2</v>
      </c>
      <c r="AP771" s="140">
        <v>0</v>
      </c>
      <c r="AQ771" s="140">
        <v>0</v>
      </c>
      <c r="AR771" s="140">
        <v>0</v>
      </c>
      <c r="AS771" s="140">
        <v>0</v>
      </c>
      <c r="AT771" s="140">
        <v>0</v>
      </c>
      <c r="AU771" s="140">
        <v>0</v>
      </c>
      <c r="AV771" s="140">
        <v>2</v>
      </c>
      <c r="AW771" s="140">
        <v>0</v>
      </c>
      <c r="AX771" s="140">
        <v>0</v>
      </c>
      <c r="AY771" s="140">
        <v>0</v>
      </c>
      <c r="AZ771" s="140">
        <v>0</v>
      </c>
      <c r="BA771" s="140">
        <v>0</v>
      </c>
      <c r="BB771" s="140">
        <v>0</v>
      </c>
      <c r="BC771" s="140">
        <v>0</v>
      </c>
      <c r="BD771" s="140">
        <v>0</v>
      </c>
      <c r="BE771" s="140">
        <v>0</v>
      </c>
      <c r="BF771" s="140">
        <v>0</v>
      </c>
      <c r="BG771" s="140">
        <v>0</v>
      </c>
      <c r="BH771" s="140">
        <v>0</v>
      </c>
      <c r="BI771" s="140">
        <v>0</v>
      </c>
      <c r="BJ771" s="140">
        <v>0</v>
      </c>
      <c r="BK771" s="140">
        <v>0</v>
      </c>
      <c r="BL771" s="140">
        <v>0</v>
      </c>
      <c r="BM771" s="140">
        <v>0</v>
      </c>
      <c r="BN771" s="140">
        <v>0</v>
      </c>
      <c r="BO771" s="140">
        <v>0</v>
      </c>
      <c r="BP771" s="43" t="s">
        <v>140</v>
      </c>
      <c r="BX771" s="43">
        <v>16</v>
      </c>
      <c r="CB771" s="90">
        <f>M771</f>
        <v>2</v>
      </c>
      <c r="CT771" s="90">
        <f t="shared" si="96"/>
        <v>2</v>
      </c>
      <c r="CU771" s="90">
        <f t="shared" si="97"/>
        <v>2</v>
      </c>
    </row>
    <row r="772" spans="1:99" ht="12" customHeight="1">
      <c r="A772" s="43">
        <v>6495</v>
      </c>
      <c r="B772" s="89" t="s">
        <v>1515</v>
      </c>
      <c r="C772" s="89" t="s">
        <v>2151</v>
      </c>
      <c r="D772" s="89" t="s">
        <v>2152</v>
      </c>
      <c r="F772" s="43">
        <v>524891</v>
      </c>
      <c r="G772" s="43">
        <v>173680</v>
      </c>
      <c r="H772" s="89" t="s">
        <v>176</v>
      </c>
      <c r="K772" s="140">
        <v>0</v>
      </c>
      <c r="L772" s="140">
        <v>1</v>
      </c>
      <c r="M772" s="140">
        <v>1</v>
      </c>
      <c r="N772" s="140">
        <v>1</v>
      </c>
      <c r="O772" s="140">
        <v>1</v>
      </c>
      <c r="Q772" s="89" t="s">
        <v>2153</v>
      </c>
      <c r="R772" s="43" t="s">
        <v>316</v>
      </c>
      <c r="S772" s="125">
        <v>43796</v>
      </c>
      <c r="T772" s="117">
        <v>43844</v>
      </c>
      <c r="U772" s="43" t="s">
        <v>329</v>
      </c>
      <c r="V772" s="43" t="s">
        <v>317</v>
      </c>
      <c r="X772" s="43" t="s">
        <v>318</v>
      </c>
      <c r="Y772" s="43" t="s">
        <v>361</v>
      </c>
      <c r="Z772" s="43" t="s">
        <v>320</v>
      </c>
      <c r="AA772" s="43" t="s">
        <v>353</v>
      </c>
      <c r="AB772" s="144">
        <v>9.9999997764825804E-3</v>
      </c>
      <c r="AF772" s="43" t="s">
        <v>75</v>
      </c>
      <c r="AG772" s="43" t="s">
        <v>322</v>
      </c>
      <c r="AJ772" s="140">
        <v>0</v>
      </c>
      <c r="AK772" s="140">
        <v>0</v>
      </c>
      <c r="AL772" s="140">
        <v>0</v>
      </c>
      <c r="AM772" s="140">
        <v>0</v>
      </c>
      <c r="AN772" s="140">
        <v>0</v>
      </c>
      <c r="AO772" s="140">
        <v>0</v>
      </c>
      <c r="AP772" s="140">
        <v>0</v>
      </c>
      <c r="AQ772" s="140">
        <v>1</v>
      </c>
      <c r="AR772" s="140">
        <v>0</v>
      </c>
      <c r="AS772" s="140">
        <v>0</v>
      </c>
      <c r="AT772" s="140">
        <v>0</v>
      </c>
      <c r="AU772" s="140">
        <v>0</v>
      </c>
      <c r="AV772" s="140">
        <v>0</v>
      </c>
      <c r="AW772" s="140">
        <v>0</v>
      </c>
      <c r="AX772" s="140">
        <v>0</v>
      </c>
      <c r="AY772" s="140">
        <v>0</v>
      </c>
      <c r="AZ772" s="140">
        <v>0</v>
      </c>
      <c r="BA772" s="140">
        <v>0</v>
      </c>
      <c r="BB772" s="140">
        <v>0</v>
      </c>
      <c r="BC772" s="140">
        <v>0</v>
      </c>
      <c r="BD772" s="140">
        <v>0</v>
      </c>
      <c r="BE772" s="140">
        <v>1</v>
      </c>
      <c r="BF772" s="140">
        <v>0</v>
      </c>
      <c r="BG772" s="140">
        <v>0</v>
      </c>
      <c r="BH772" s="140">
        <v>0</v>
      </c>
      <c r="BI772" s="140">
        <v>0</v>
      </c>
      <c r="BJ772" s="140">
        <v>0</v>
      </c>
      <c r="BK772" s="140">
        <v>0</v>
      </c>
      <c r="BL772" s="140">
        <v>0</v>
      </c>
      <c r="BM772" s="140">
        <v>0</v>
      </c>
      <c r="BN772" s="140">
        <v>0</v>
      </c>
      <c r="BO772" s="140">
        <v>0</v>
      </c>
      <c r="BX772" s="43">
        <v>6</v>
      </c>
      <c r="CA772" s="90">
        <f>$M772/4</f>
        <v>0.25</v>
      </c>
      <c r="CB772" s="90">
        <f>$M772/4</f>
        <v>0.25</v>
      </c>
      <c r="CC772" s="90">
        <f>$M772/4</f>
        <v>0.25</v>
      </c>
      <c r="CD772" s="90">
        <f>$M772/4</f>
        <v>0.25</v>
      </c>
      <c r="CT772" s="90">
        <f t="shared" si="96"/>
        <v>1</v>
      </c>
      <c r="CU772" s="90">
        <f t="shared" si="97"/>
        <v>1</v>
      </c>
    </row>
    <row r="773" spans="1:99" ht="12" customHeight="1">
      <c r="A773" s="43">
        <v>6497</v>
      </c>
      <c r="B773" s="89" t="s">
        <v>1515</v>
      </c>
      <c r="C773" s="89" t="s">
        <v>2154</v>
      </c>
      <c r="D773" s="89" t="s">
        <v>2155</v>
      </c>
      <c r="F773" s="43">
        <v>527487</v>
      </c>
      <c r="G773" s="43">
        <v>175150</v>
      </c>
      <c r="H773" s="89" t="s">
        <v>174</v>
      </c>
      <c r="K773" s="140">
        <v>2</v>
      </c>
      <c r="L773" s="140">
        <v>0</v>
      </c>
      <c r="M773" s="140">
        <v>-2</v>
      </c>
      <c r="N773" s="140">
        <v>0</v>
      </c>
      <c r="O773" s="140">
        <v>-2</v>
      </c>
      <c r="Q773" s="89" t="s">
        <v>2156</v>
      </c>
      <c r="R773" s="43" t="s">
        <v>316</v>
      </c>
      <c r="S773" s="125">
        <v>42752</v>
      </c>
      <c r="T773" s="117">
        <v>42857</v>
      </c>
      <c r="V773" s="43" t="s">
        <v>317</v>
      </c>
      <c r="X773" s="43" t="s">
        <v>318</v>
      </c>
      <c r="Y773" s="43" t="s">
        <v>319</v>
      </c>
      <c r="Z773" s="43" t="s">
        <v>320</v>
      </c>
      <c r="AA773" s="43" t="s">
        <v>39</v>
      </c>
      <c r="AB773" s="144">
        <v>0</v>
      </c>
      <c r="AF773" s="43" t="s">
        <v>75</v>
      </c>
      <c r="AG773" s="43" t="s">
        <v>322</v>
      </c>
      <c r="AJ773" s="140">
        <v>0</v>
      </c>
      <c r="AK773" s="140">
        <v>0</v>
      </c>
      <c r="AL773" s="140">
        <v>0</v>
      </c>
      <c r="AM773" s="140">
        <v>0</v>
      </c>
      <c r="AN773" s="140">
        <v>0</v>
      </c>
      <c r="AO773" s="140">
        <v>0</v>
      </c>
      <c r="AP773" s="140">
        <v>-2</v>
      </c>
      <c r="AQ773" s="140">
        <v>0</v>
      </c>
      <c r="AR773" s="140">
        <v>0</v>
      </c>
      <c r="AS773" s="140">
        <v>0</v>
      </c>
      <c r="AT773" s="140">
        <v>0</v>
      </c>
      <c r="AU773" s="140">
        <v>0</v>
      </c>
      <c r="AV773" s="140">
        <v>0</v>
      </c>
      <c r="AW773" s="140">
        <v>-2</v>
      </c>
      <c r="AX773" s="140">
        <v>0</v>
      </c>
      <c r="AY773" s="140">
        <v>0</v>
      </c>
      <c r="AZ773" s="140">
        <v>0</v>
      </c>
      <c r="BA773" s="140">
        <v>0</v>
      </c>
      <c r="BB773" s="140">
        <v>0</v>
      </c>
      <c r="BC773" s="140">
        <v>0</v>
      </c>
      <c r="BD773" s="140">
        <v>0</v>
      </c>
      <c r="BE773" s="140">
        <v>0</v>
      </c>
      <c r="BF773" s="140">
        <v>0</v>
      </c>
      <c r="BG773" s="140">
        <v>0</v>
      </c>
      <c r="BH773" s="140">
        <v>0</v>
      </c>
      <c r="BI773" s="140">
        <v>0</v>
      </c>
      <c r="BJ773" s="140">
        <v>0</v>
      </c>
      <c r="BK773" s="140">
        <v>0</v>
      </c>
      <c r="BL773" s="140">
        <v>0</v>
      </c>
      <c r="BM773" s="140">
        <v>0</v>
      </c>
      <c r="BN773" s="140">
        <v>0</v>
      </c>
      <c r="BO773" s="140">
        <v>0</v>
      </c>
      <c r="BP773" s="43" t="s">
        <v>139</v>
      </c>
      <c r="BX773" s="43">
        <v>15</v>
      </c>
      <c r="BZ773" s="90">
        <f>$M773/3</f>
        <v>-0.66666666666666663</v>
      </c>
      <c r="CA773" s="90">
        <f>$M773/3</f>
        <v>-0.66666666666666663</v>
      </c>
      <c r="CB773" s="90">
        <f>$M773/3</f>
        <v>-0.66666666666666663</v>
      </c>
      <c r="CT773" s="90">
        <f t="shared" si="96"/>
        <v>-2</v>
      </c>
      <c r="CU773" s="90">
        <f t="shared" si="97"/>
        <v>-2</v>
      </c>
    </row>
    <row r="774" spans="1:99" ht="12" customHeight="1">
      <c r="A774" s="43">
        <v>6501</v>
      </c>
      <c r="B774" s="89" t="s">
        <v>1515</v>
      </c>
      <c r="C774" s="89" t="s">
        <v>2157</v>
      </c>
      <c r="D774" s="89" t="s">
        <v>2158</v>
      </c>
      <c r="F774" s="43">
        <v>527304</v>
      </c>
      <c r="G774" s="43">
        <v>171639</v>
      </c>
      <c r="H774" s="89" t="s">
        <v>141</v>
      </c>
      <c r="K774" s="140">
        <v>0</v>
      </c>
      <c r="L774" s="140">
        <v>17</v>
      </c>
      <c r="M774" s="140">
        <v>17</v>
      </c>
      <c r="N774" s="140">
        <v>17</v>
      </c>
      <c r="O774" s="140">
        <v>17</v>
      </c>
      <c r="P774" s="43" t="s">
        <v>329</v>
      </c>
      <c r="Q774" s="89" t="s">
        <v>2159</v>
      </c>
      <c r="R774" s="43" t="s">
        <v>360</v>
      </c>
      <c r="S774" s="125">
        <v>43539</v>
      </c>
      <c r="T774" s="117">
        <v>43783</v>
      </c>
      <c r="U774" s="43" t="s">
        <v>329</v>
      </c>
      <c r="V774" s="43" t="s">
        <v>317</v>
      </c>
      <c r="X774" s="43" t="s">
        <v>318</v>
      </c>
      <c r="Y774" s="43" t="s">
        <v>361</v>
      </c>
      <c r="Z774" s="43" t="s">
        <v>361</v>
      </c>
      <c r="AA774" s="43" t="s">
        <v>320</v>
      </c>
      <c r="AB774" s="144">
        <v>0.15600000321865101</v>
      </c>
      <c r="AF774" s="43" t="s">
        <v>75</v>
      </c>
      <c r="AG774" s="43" t="s">
        <v>322</v>
      </c>
      <c r="AJ774" s="140">
        <v>0</v>
      </c>
      <c r="AK774" s="140">
        <v>15</v>
      </c>
      <c r="AL774" s="140">
        <v>0</v>
      </c>
      <c r="AM774" s="140">
        <v>2</v>
      </c>
      <c r="AN774" s="140">
        <v>0</v>
      </c>
      <c r="AO774" s="140">
        <v>4</v>
      </c>
      <c r="AP774" s="140">
        <v>10</v>
      </c>
      <c r="AQ774" s="140">
        <v>3</v>
      </c>
      <c r="AR774" s="140">
        <v>0</v>
      </c>
      <c r="AS774" s="140">
        <v>0</v>
      </c>
      <c r="AT774" s="140">
        <v>0</v>
      </c>
      <c r="AU774" s="140">
        <v>0</v>
      </c>
      <c r="AV774" s="140">
        <v>4</v>
      </c>
      <c r="AW774" s="140">
        <v>10</v>
      </c>
      <c r="AX774" s="140">
        <v>3</v>
      </c>
      <c r="AY774" s="140">
        <v>0</v>
      </c>
      <c r="AZ774" s="140">
        <v>0</v>
      </c>
      <c r="BA774" s="140">
        <v>0</v>
      </c>
      <c r="BB774" s="140">
        <v>0</v>
      </c>
      <c r="BC774" s="140">
        <v>0</v>
      </c>
      <c r="BD774" s="140">
        <v>0</v>
      </c>
      <c r="BE774" s="140">
        <v>0</v>
      </c>
      <c r="BF774" s="140">
        <v>0</v>
      </c>
      <c r="BG774" s="140">
        <v>0</v>
      </c>
      <c r="BH774" s="140">
        <v>0</v>
      </c>
      <c r="BI774" s="140">
        <v>0</v>
      </c>
      <c r="BJ774" s="140">
        <v>0</v>
      </c>
      <c r="BK774" s="140">
        <v>0</v>
      </c>
      <c r="BL774" s="140">
        <v>0</v>
      </c>
      <c r="BM774" s="140">
        <v>0</v>
      </c>
      <c r="BN774" s="140">
        <v>0</v>
      </c>
      <c r="BO774" s="140">
        <v>0</v>
      </c>
      <c r="BX774" s="43">
        <v>7</v>
      </c>
      <c r="CB774" s="90">
        <f>M774</f>
        <v>17</v>
      </c>
      <c r="CT774" s="90">
        <f t="shared" si="96"/>
        <v>17</v>
      </c>
      <c r="CU774" s="90">
        <f t="shared" si="97"/>
        <v>17</v>
      </c>
    </row>
    <row r="775" spans="1:99" ht="12" customHeight="1">
      <c r="A775" s="43">
        <v>6503</v>
      </c>
      <c r="B775" s="89" t="s">
        <v>1515</v>
      </c>
      <c r="C775" s="89" t="s">
        <v>2160</v>
      </c>
      <c r="D775" s="89" t="s">
        <v>2161</v>
      </c>
      <c r="F775" s="43">
        <v>527225</v>
      </c>
      <c r="G775" s="43">
        <v>175866</v>
      </c>
      <c r="H775" s="89" t="s">
        <v>147</v>
      </c>
      <c r="K775" s="140">
        <v>0</v>
      </c>
      <c r="L775" s="140">
        <v>1</v>
      </c>
      <c r="M775" s="140">
        <v>1</v>
      </c>
      <c r="N775" s="140">
        <v>1</v>
      </c>
      <c r="O775" s="140">
        <v>1</v>
      </c>
      <c r="Q775" s="89" t="s">
        <v>2162</v>
      </c>
      <c r="R775" s="43" t="s">
        <v>316</v>
      </c>
      <c r="S775" s="125">
        <v>43406</v>
      </c>
      <c r="T775" s="117">
        <v>43553</v>
      </c>
      <c r="V775" s="43" t="s">
        <v>317</v>
      </c>
      <c r="X775" s="43" t="s">
        <v>318</v>
      </c>
      <c r="Y775" s="43" t="s">
        <v>361</v>
      </c>
      <c r="Z775" s="43" t="s">
        <v>320</v>
      </c>
      <c r="AA775" s="43" t="s">
        <v>353</v>
      </c>
      <c r="AB775" s="144">
        <v>3.5000000149011598E-2</v>
      </c>
      <c r="AF775" s="43" t="s">
        <v>75</v>
      </c>
      <c r="AG775" s="43" t="s">
        <v>322</v>
      </c>
      <c r="AJ775" s="140">
        <v>0</v>
      </c>
      <c r="AK775" s="140">
        <v>1</v>
      </c>
      <c r="AL775" s="140">
        <v>0</v>
      </c>
      <c r="AM775" s="140">
        <v>0</v>
      </c>
      <c r="AN775" s="140">
        <v>0</v>
      </c>
      <c r="AO775" s="140">
        <v>0</v>
      </c>
      <c r="AP775" s="140">
        <v>0</v>
      </c>
      <c r="AQ775" s="140">
        <v>1</v>
      </c>
      <c r="AR775" s="140">
        <v>0</v>
      </c>
      <c r="AS775" s="140">
        <v>0</v>
      </c>
      <c r="AT775" s="140">
        <v>0</v>
      </c>
      <c r="AU775" s="140">
        <v>0</v>
      </c>
      <c r="AV775" s="140">
        <v>0</v>
      </c>
      <c r="AW775" s="140">
        <v>0</v>
      </c>
      <c r="AX775" s="140">
        <v>0</v>
      </c>
      <c r="AY775" s="140">
        <v>0</v>
      </c>
      <c r="AZ775" s="140">
        <v>0</v>
      </c>
      <c r="BA775" s="140">
        <v>0</v>
      </c>
      <c r="BB775" s="140">
        <v>0</v>
      </c>
      <c r="BC775" s="140">
        <v>0</v>
      </c>
      <c r="BD775" s="140">
        <v>0</v>
      </c>
      <c r="BE775" s="140">
        <v>1</v>
      </c>
      <c r="BF775" s="140">
        <v>0</v>
      </c>
      <c r="BG775" s="140">
        <v>0</v>
      </c>
      <c r="BH775" s="140">
        <v>0</v>
      </c>
      <c r="BI775" s="140">
        <v>0</v>
      </c>
      <c r="BJ775" s="140">
        <v>0</v>
      </c>
      <c r="BK775" s="140">
        <v>0</v>
      </c>
      <c r="BL775" s="140">
        <v>0</v>
      </c>
      <c r="BM775" s="140">
        <v>0</v>
      </c>
      <c r="BN775" s="140">
        <v>0</v>
      </c>
      <c r="BO775" s="140">
        <v>0</v>
      </c>
      <c r="BX775" s="43">
        <v>6</v>
      </c>
      <c r="CA775" s="90">
        <f>$M775/4</f>
        <v>0.25</v>
      </c>
      <c r="CB775" s="90">
        <f>$M775/4</f>
        <v>0.25</v>
      </c>
      <c r="CC775" s="90">
        <f>$M775/4</f>
        <v>0.25</v>
      </c>
      <c r="CD775" s="90">
        <f>$M775/4</f>
        <v>0.25</v>
      </c>
      <c r="CT775" s="90">
        <f t="shared" si="96"/>
        <v>1</v>
      </c>
      <c r="CU775" s="90">
        <f t="shared" si="97"/>
        <v>1</v>
      </c>
    </row>
    <row r="776" spans="1:99" ht="12" customHeight="1">
      <c r="A776" s="43">
        <v>6508</v>
      </c>
      <c r="B776" s="89" t="s">
        <v>1515</v>
      </c>
      <c r="C776" s="89" t="s">
        <v>2163</v>
      </c>
      <c r="D776" s="89" t="s">
        <v>2164</v>
      </c>
      <c r="E776" s="89" t="s">
        <v>2165</v>
      </c>
      <c r="F776" s="43">
        <v>526400</v>
      </c>
      <c r="G776" s="43">
        <v>175699</v>
      </c>
      <c r="H776" s="89" t="s">
        <v>177</v>
      </c>
      <c r="K776" s="140">
        <v>0</v>
      </c>
      <c r="L776" s="140">
        <v>4</v>
      </c>
      <c r="M776" s="140">
        <v>4</v>
      </c>
      <c r="N776" s="140">
        <v>4</v>
      </c>
      <c r="O776" s="140">
        <v>4</v>
      </c>
      <c r="Q776" s="89" t="s">
        <v>2166</v>
      </c>
      <c r="R776" s="43" t="s">
        <v>443</v>
      </c>
      <c r="S776" s="125">
        <v>42487</v>
      </c>
      <c r="T776" s="117">
        <v>42543</v>
      </c>
      <c r="V776" s="43" t="s">
        <v>317</v>
      </c>
      <c r="X776" s="43" t="s">
        <v>318</v>
      </c>
      <c r="Y776" s="43" t="s">
        <v>336</v>
      </c>
      <c r="Z776" s="43" t="s">
        <v>320</v>
      </c>
      <c r="AA776" s="43" t="s">
        <v>33</v>
      </c>
      <c r="AB776" s="144">
        <v>8.0000003799796104E-3</v>
      </c>
      <c r="AF776" s="43" t="s">
        <v>75</v>
      </c>
      <c r="AG776" s="43" t="s">
        <v>322</v>
      </c>
      <c r="AJ776" s="140">
        <v>0</v>
      </c>
      <c r="AK776" s="140">
        <v>0</v>
      </c>
      <c r="AL776" s="140">
        <v>0</v>
      </c>
      <c r="AM776" s="140">
        <v>0</v>
      </c>
      <c r="AN776" s="140">
        <v>0</v>
      </c>
      <c r="AO776" s="140">
        <v>3</v>
      </c>
      <c r="AP776" s="140">
        <v>1</v>
      </c>
      <c r="AQ776" s="140">
        <v>0</v>
      </c>
      <c r="AR776" s="140">
        <v>0</v>
      </c>
      <c r="AS776" s="140">
        <v>0</v>
      </c>
      <c r="AT776" s="140">
        <v>0</v>
      </c>
      <c r="AU776" s="140">
        <v>0</v>
      </c>
      <c r="AV776" s="140">
        <v>3</v>
      </c>
      <c r="AW776" s="140">
        <v>1</v>
      </c>
      <c r="AX776" s="140">
        <v>0</v>
      </c>
      <c r="AY776" s="140">
        <v>0</v>
      </c>
      <c r="AZ776" s="140">
        <v>0</v>
      </c>
      <c r="BA776" s="140">
        <v>0</v>
      </c>
      <c r="BB776" s="140">
        <v>0</v>
      </c>
      <c r="BC776" s="140">
        <v>0</v>
      </c>
      <c r="BD776" s="140">
        <v>0</v>
      </c>
      <c r="BE776" s="140">
        <v>0</v>
      </c>
      <c r="BF776" s="140">
        <v>0</v>
      </c>
      <c r="BG776" s="140">
        <v>0</v>
      </c>
      <c r="BH776" s="140">
        <v>0</v>
      </c>
      <c r="BI776" s="140">
        <v>0</v>
      </c>
      <c r="BJ776" s="140">
        <v>0</v>
      </c>
      <c r="BK776" s="140">
        <v>0</v>
      </c>
      <c r="BL776" s="140">
        <v>0</v>
      </c>
      <c r="BM776" s="140">
        <v>0</v>
      </c>
      <c r="BN776" s="140">
        <v>0</v>
      </c>
      <c r="BO776" s="140">
        <v>0</v>
      </c>
      <c r="BV776" s="43" t="s">
        <v>329</v>
      </c>
      <c r="BX776" s="43">
        <v>15</v>
      </c>
      <c r="BZ776" s="90">
        <f t="shared" ref="BZ776:CB779" si="98">$M776/3</f>
        <v>1.3333333333333333</v>
      </c>
      <c r="CA776" s="90">
        <f t="shared" si="98"/>
        <v>1.3333333333333333</v>
      </c>
      <c r="CB776" s="90">
        <f t="shared" si="98"/>
        <v>1.3333333333333333</v>
      </c>
      <c r="CT776" s="90">
        <f t="shared" si="96"/>
        <v>4</v>
      </c>
      <c r="CU776" s="90">
        <f t="shared" si="97"/>
        <v>4</v>
      </c>
    </row>
    <row r="777" spans="1:99" ht="12" customHeight="1">
      <c r="A777" s="43">
        <v>6508</v>
      </c>
      <c r="B777" s="89" t="s">
        <v>1515</v>
      </c>
      <c r="C777" s="89" t="s">
        <v>2167</v>
      </c>
      <c r="D777" s="89" t="s">
        <v>2164</v>
      </c>
      <c r="E777" s="89" t="s">
        <v>2168</v>
      </c>
      <c r="F777" s="43">
        <v>526400</v>
      </c>
      <c r="G777" s="43">
        <v>175699</v>
      </c>
      <c r="H777" s="89" t="s">
        <v>177</v>
      </c>
      <c r="K777" s="140">
        <v>0</v>
      </c>
      <c r="L777" s="140">
        <v>3</v>
      </c>
      <c r="M777" s="140">
        <v>3</v>
      </c>
      <c r="N777" s="140">
        <v>3</v>
      </c>
      <c r="O777" s="140">
        <v>3</v>
      </c>
      <c r="Q777" s="89" t="s">
        <v>2169</v>
      </c>
      <c r="R777" s="43" t="s">
        <v>443</v>
      </c>
      <c r="S777" s="125">
        <v>42548</v>
      </c>
      <c r="T777" s="117">
        <v>42604</v>
      </c>
      <c r="V777" s="43" t="s">
        <v>317</v>
      </c>
      <c r="X777" s="43" t="s">
        <v>318</v>
      </c>
      <c r="Y777" s="43" t="s">
        <v>336</v>
      </c>
      <c r="Z777" s="43" t="s">
        <v>320</v>
      </c>
      <c r="AA777" s="43" t="s">
        <v>33</v>
      </c>
      <c r="AB777" s="144">
        <v>1.30000002682209E-2</v>
      </c>
      <c r="AF777" s="43" t="s">
        <v>75</v>
      </c>
      <c r="AG777" s="43" t="s">
        <v>322</v>
      </c>
      <c r="AJ777" s="140">
        <v>0</v>
      </c>
      <c r="AK777" s="140">
        <v>0</v>
      </c>
      <c r="AL777" s="140">
        <v>0</v>
      </c>
      <c r="AM777" s="140">
        <v>0</v>
      </c>
      <c r="AN777" s="140">
        <v>0</v>
      </c>
      <c r="AO777" s="140">
        <v>1</v>
      </c>
      <c r="AP777" s="140">
        <v>2</v>
      </c>
      <c r="AQ777" s="140">
        <v>0</v>
      </c>
      <c r="AR777" s="140">
        <v>0</v>
      </c>
      <c r="AS777" s="140">
        <v>0</v>
      </c>
      <c r="AT777" s="140">
        <v>0</v>
      </c>
      <c r="AU777" s="140">
        <v>0</v>
      </c>
      <c r="AV777" s="140">
        <v>1</v>
      </c>
      <c r="AW777" s="140">
        <v>2</v>
      </c>
      <c r="AX777" s="140">
        <v>0</v>
      </c>
      <c r="AY777" s="140">
        <v>0</v>
      </c>
      <c r="AZ777" s="140">
        <v>0</v>
      </c>
      <c r="BA777" s="140">
        <v>0</v>
      </c>
      <c r="BB777" s="140">
        <v>0</v>
      </c>
      <c r="BC777" s="140">
        <v>0</v>
      </c>
      <c r="BD777" s="140">
        <v>0</v>
      </c>
      <c r="BE777" s="140">
        <v>0</v>
      </c>
      <c r="BF777" s="140">
        <v>0</v>
      </c>
      <c r="BG777" s="140">
        <v>0</v>
      </c>
      <c r="BH777" s="140">
        <v>0</v>
      </c>
      <c r="BI777" s="140">
        <v>0</v>
      </c>
      <c r="BJ777" s="140">
        <v>0</v>
      </c>
      <c r="BK777" s="140">
        <v>0</v>
      </c>
      <c r="BL777" s="140">
        <v>0</v>
      </c>
      <c r="BM777" s="140">
        <v>0</v>
      </c>
      <c r="BN777" s="140">
        <v>0</v>
      </c>
      <c r="BO777" s="140">
        <v>0</v>
      </c>
      <c r="BV777" s="43" t="s">
        <v>329</v>
      </c>
      <c r="BX777" s="43">
        <v>15</v>
      </c>
      <c r="BZ777" s="90">
        <f t="shared" si="98"/>
        <v>1</v>
      </c>
      <c r="CA777" s="90">
        <f t="shared" si="98"/>
        <v>1</v>
      </c>
      <c r="CB777" s="90">
        <f t="shared" si="98"/>
        <v>1</v>
      </c>
      <c r="CT777" s="90">
        <f t="shared" si="96"/>
        <v>3</v>
      </c>
      <c r="CU777" s="90">
        <f t="shared" si="97"/>
        <v>3</v>
      </c>
    </row>
    <row r="778" spans="1:99" ht="12" customHeight="1">
      <c r="A778" s="43">
        <v>6508</v>
      </c>
      <c r="B778" s="89" t="s">
        <v>1515</v>
      </c>
      <c r="C778" s="89" t="s">
        <v>2170</v>
      </c>
      <c r="D778" s="89" t="s">
        <v>2164</v>
      </c>
      <c r="E778" s="89" t="s">
        <v>2171</v>
      </c>
      <c r="F778" s="43">
        <v>526400</v>
      </c>
      <c r="G778" s="43">
        <v>175699</v>
      </c>
      <c r="H778" s="89" t="s">
        <v>177</v>
      </c>
      <c r="K778" s="140">
        <v>0</v>
      </c>
      <c r="L778" s="140">
        <v>2</v>
      </c>
      <c r="M778" s="140">
        <v>2</v>
      </c>
      <c r="N778" s="140">
        <v>5</v>
      </c>
      <c r="O778" s="140">
        <v>5</v>
      </c>
      <c r="Q778" s="89" t="s">
        <v>2172</v>
      </c>
      <c r="R778" s="43" t="s">
        <v>443</v>
      </c>
      <c r="S778" s="125">
        <v>42536</v>
      </c>
      <c r="T778" s="117">
        <v>42592</v>
      </c>
      <c r="V778" s="43" t="s">
        <v>317</v>
      </c>
      <c r="X778" s="43" t="s">
        <v>318</v>
      </c>
      <c r="Y778" s="43" t="s">
        <v>336</v>
      </c>
      <c r="Z778" s="43" t="s">
        <v>320</v>
      </c>
      <c r="AA778" s="43" t="s">
        <v>33</v>
      </c>
      <c r="AB778" s="144">
        <v>0</v>
      </c>
      <c r="AF778" s="43" t="s">
        <v>75</v>
      </c>
      <c r="AG778" s="43" t="s">
        <v>322</v>
      </c>
      <c r="AJ778" s="140">
        <v>0</v>
      </c>
      <c r="AK778" s="140">
        <v>0</v>
      </c>
      <c r="AL778" s="140">
        <v>0</v>
      </c>
      <c r="AM778" s="140">
        <v>0</v>
      </c>
      <c r="AN778" s="140">
        <v>0</v>
      </c>
      <c r="AO778" s="140">
        <v>0</v>
      </c>
      <c r="AP778" s="140">
        <v>2</v>
      </c>
      <c r="AQ778" s="140">
        <v>0</v>
      </c>
      <c r="AR778" s="140">
        <v>0</v>
      </c>
      <c r="AS778" s="140">
        <v>0</v>
      </c>
      <c r="AT778" s="140">
        <v>0</v>
      </c>
      <c r="AU778" s="140">
        <v>0</v>
      </c>
      <c r="AV778" s="140">
        <v>0</v>
      </c>
      <c r="AW778" s="140">
        <v>2</v>
      </c>
      <c r="AX778" s="140">
        <v>0</v>
      </c>
      <c r="AY778" s="140">
        <v>0</v>
      </c>
      <c r="AZ778" s="140">
        <v>0</v>
      </c>
      <c r="BA778" s="140">
        <v>0</v>
      </c>
      <c r="BB778" s="140">
        <v>0</v>
      </c>
      <c r="BC778" s="140">
        <v>0</v>
      </c>
      <c r="BD778" s="140">
        <v>0</v>
      </c>
      <c r="BE778" s="140">
        <v>0</v>
      </c>
      <c r="BF778" s="140">
        <v>0</v>
      </c>
      <c r="BG778" s="140">
        <v>0</v>
      </c>
      <c r="BH778" s="140">
        <v>0</v>
      </c>
      <c r="BI778" s="140">
        <v>0</v>
      </c>
      <c r="BJ778" s="140">
        <v>0</v>
      </c>
      <c r="BK778" s="140">
        <v>0</v>
      </c>
      <c r="BL778" s="140">
        <v>0</v>
      </c>
      <c r="BM778" s="140">
        <v>0</v>
      </c>
      <c r="BN778" s="140">
        <v>0</v>
      </c>
      <c r="BO778" s="140">
        <v>0</v>
      </c>
      <c r="BV778" s="43" t="s">
        <v>329</v>
      </c>
      <c r="BX778" s="43">
        <v>15</v>
      </c>
      <c r="BZ778" s="90">
        <f t="shared" si="98"/>
        <v>0.66666666666666663</v>
      </c>
      <c r="CA778" s="90">
        <f t="shared" si="98"/>
        <v>0.66666666666666663</v>
      </c>
      <c r="CB778" s="90">
        <f t="shared" si="98"/>
        <v>0.66666666666666663</v>
      </c>
      <c r="CT778" s="90">
        <f t="shared" si="96"/>
        <v>2</v>
      </c>
      <c r="CU778" s="90">
        <f t="shared" si="97"/>
        <v>2</v>
      </c>
    </row>
    <row r="779" spans="1:99" ht="12" customHeight="1">
      <c r="A779" s="43">
        <v>6508</v>
      </c>
      <c r="B779" s="89" t="s">
        <v>1515</v>
      </c>
      <c r="C779" s="89" t="s">
        <v>2173</v>
      </c>
      <c r="D779" s="89" t="s">
        <v>2164</v>
      </c>
      <c r="E779" s="89" t="s">
        <v>2174</v>
      </c>
      <c r="F779" s="43">
        <v>526400</v>
      </c>
      <c r="G779" s="43">
        <v>175699</v>
      </c>
      <c r="H779" s="89" t="s">
        <v>177</v>
      </c>
      <c r="K779" s="140">
        <v>0</v>
      </c>
      <c r="L779" s="140">
        <v>4</v>
      </c>
      <c r="M779" s="140">
        <v>4</v>
      </c>
      <c r="N779" s="140">
        <v>4</v>
      </c>
      <c r="O779" s="140">
        <v>4</v>
      </c>
      <c r="Q779" s="89" t="s">
        <v>2175</v>
      </c>
      <c r="R779" s="43" t="s">
        <v>443</v>
      </c>
      <c r="S779" s="125">
        <v>42551</v>
      </c>
      <c r="T779" s="117">
        <v>42607</v>
      </c>
      <c r="V779" s="43" t="s">
        <v>317</v>
      </c>
      <c r="X779" s="43" t="s">
        <v>318</v>
      </c>
      <c r="Y779" s="43" t="s">
        <v>336</v>
      </c>
      <c r="Z779" s="43" t="s">
        <v>320</v>
      </c>
      <c r="AA779" s="43" t="s">
        <v>33</v>
      </c>
      <c r="AB779" s="144">
        <v>2.5000000372528999E-2</v>
      </c>
      <c r="AF779" s="43" t="s">
        <v>75</v>
      </c>
      <c r="AG779" s="43" t="s">
        <v>322</v>
      </c>
      <c r="AJ779" s="140">
        <v>0</v>
      </c>
      <c r="AK779" s="140">
        <v>0</v>
      </c>
      <c r="AL779" s="140">
        <v>0</v>
      </c>
      <c r="AM779" s="140">
        <v>0</v>
      </c>
      <c r="AN779" s="140">
        <v>1</v>
      </c>
      <c r="AO779" s="140">
        <v>2</v>
      </c>
      <c r="AP779" s="140">
        <v>0</v>
      </c>
      <c r="AQ779" s="140">
        <v>1</v>
      </c>
      <c r="AR779" s="140">
        <v>0</v>
      </c>
      <c r="AS779" s="140">
        <v>0</v>
      </c>
      <c r="AT779" s="140">
        <v>0</v>
      </c>
      <c r="AU779" s="140">
        <v>1</v>
      </c>
      <c r="AV779" s="140">
        <v>2</v>
      </c>
      <c r="AW779" s="140">
        <v>0</v>
      </c>
      <c r="AX779" s="140">
        <v>1</v>
      </c>
      <c r="AY779" s="140">
        <v>0</v>
      </c>
      <c r="AZ779" s="140">
        <v>0</v>
      </c>
      <c r="BA779" s="140">
        <v>0</v>
      </c>
      <c r="BB779" s="140">
        <v>0</v>
      </c>
      <c r="BC779" s="140">
        <v>0</v>
      </c>
      <c r="BD779" s="140">
        <v>0</v>
      </c>
      <c r="BE779" s="140">
        <v>0</v>
      </c>
      <c r="BF779" s="140">
        <v>0</v>
      </c>
      <c r="BG779" s="140">
        <v>0</v>
      </c>
      <c r="BH779" s="140">
        <v>0</v>
      </c>
      <c r="BI779" s="140">
        <v>0</v>
      </c>
      <c r="BJ779" s="140">
        <v>0</v>
      </c>
      <c r="BK779" s="140">
        <v>0</v>
      </c>
      <c r="BL779" s="140">
        <v>0</v>
      </c>
      <c r="BM779" s="140">
        <v>0</v>
      </c>
      <c r="BN779" s="140">
        <v>0</v>
      </c>
      <c r="BO779" s="140">
        <v>0</v>
      </c>
      <c r="BV779" s="43" t="s">
        <v>329</v>
      </c>
      <c r="BX779" s="43">
        <v>15</v>
      </c>
      <c r="BZ779" s="90">
        <f t="shared" si="98"/>
        <v>1.3333333333333333</v>
      </c>
      <c r="CA779" s="90">
        <f t="shared" si="98"/>
        <v>1.3333333333333333</v>
      </c>
      <c r="CB779" s="90">
        <f t="shared" si="98"/>
        <v>1.3333333333333333</v>
      </c>
      <c r="CT779" s="90">
        <f t="shared" si="96"/>
        <v>4</v>
      </c>
      <c r="CU779" s="90">
        <f t="shared" si="97"/>
        <v>4</v>
      </c>
    </row>
    <row r="780" spans="1:99" ht="12" customHeight="1">
      <c r="A780" s="43">
        <v>6515</v>
      </c>
      <c r="B780" s="89" t="s">
        <v>1515</v>
      </c>
      <c r="C780" s="89" t="s">
        <v>2176</v>
      </c>
      <c r="D780" s="89" t="s">
        <v>2177</v>
      </c>
      <c r="F780" s="43">
        <v>523349</v>
      </c>
      <c r="G780" s="43">
        <v>175914</v>
      </c>
      <c r="H780" s="89" t="s">
        <v>178</v>
      </c>
      <c r="K780" s="140">
        <v>0</v>
      </c>
      <c r="L780" s="140">
        <v>9</v>
      </c>
      <c r="M780" s="140">
        <v>9</v>
      </c>
      <c r="N780" s="140">
        <v>9</v>
      </c>
      <c r="O780" s="140">
        <v>9</v>
      </c>
      <c r="Q780" s="89" t="s">
        <v>2178</v>
      </c>
      <c r="R780" s="43" t="s">
        <v>392</v>
      </c>
      <c r="S780" s="125">
        <v>42689</v>
      </c>
      <c r="T780" s="117">
        <v>43231</v>
      </c>
      <c r="V780" s="43" t="s">
        <v>317</v>
      </c>
      <c r="X780" s="43" t="s">
        <v>318</v>
      </c>
      <c r="Y780" s="43" t="s">
        <v>379</v>
      </c>
      <c r="Z780" s="43" t="s">
        <v>320</v>
      </c>
      <c r="AA780" s="43" t="s">
        <v>340</v>
      </c>
      <c r="AB780" s="144">
        <v>3.70000004768372E-2</v>
      </c>
      <c r="AF780" s="43" t="s">
        <v>54</v>
      </c>
      <c r="AG780" s="43" t="s">
        <v>831</v>
      </c>
      <c r="AJ780" s="140">
        <v>0</v>
      </c>
      <c r="AK780" s="140">
        <v>0</v>
      </c>
      <c r="AL780" s="140">
        <v>0</v>
      </c>
      <c r="AM780" s="140">
        <v>0</v>
      </c>
      <c r="AN780" s="140">
        <v>2</v>
      </c>
      <c r="AO780" s="140">
        <v>7</v>
      </c>
      <c r="AP780" s="140">
        <v>0</v>
      </c>
      <c r="AQ780" s="140">
        <v>0</v>
      </c>
      <c r="AR780" s="140">
        <v>0</v>
      </c>
      <c r="AS780" s="140">
        <v>0</v>
      </c>
      <c r="AT780" s="140">
        <v>0</v>
      </c>
      <c r="AU780" s="140">
        <v>2</v>
      </c>
      <c r="AV780" s="140">
        <v>7</v>
      </c>
      <c r="AW780" s="140">
        <v>0</v>
      </c>
      <c r="AX780" s="140">
        <v>0</v>
      </c>
      <c r="AY780" s="140">
        <v>0</v>
      </c>
      <c r="AZ780" s="140">
        <v>0</v>
      </c>
      <c r="BA780" s="140">
        <v>0</v>
      </c>
      <c r="BB780" s="140">
        <v>0</v>
      </c>
      <c r="BC780" s="140">
        <v>0</v>
      </c>
      <c r="BD780" s="140">
        <v>0</v>
      </c>
      <c r="BE780" s="140">
        <v>0</v>
      </c>
      <c r="BF780" s="140">
        <v>0</v>
      </c>
      <c r="BG780" s="140">
        <v>0</v>
      </c>
      <c r="BH780" s="140">
        <v>0</v>
      </c>
      <c r="BI780" s="140">
        <v>0</v>
      </c>
      <c r="BJ780" s="140">
        <v>0</v>
      </c>
      <c r="BK780" s="140">
        <v>0</v>
      </c>
      <c r="BL780" s="140">
        <v>0</v>
      </c>
      <c r="BM780" s="140">
        <v>0</v>
      </c>
      <c r="BN780" s="140">
        <v>0</v>
      </c>
      <c r="BO780" s="140">
        <v>0</v>
      </c>
      <c r="BX780" s="43">
        <v>16</v>
      </c>
      <c r="CA780" s="90">
        <f>M780</f>
        <v>9</v>
      </c>
      <c r="CT780" s="90">
        <f t="shared" si="96"/>
        <v>9</v>
      </c>
      <c r="CU780" s="90">
        <f t="shared" si="97"/>
        <v>9</v>
      </c>
    </row>
    <row r="781" spans="1:99" ht="12" customHeight="1">
      <c r="A781" s="43">
        <v>6519</v>
      </c>
      <c r="B781" s="89" t="s">
        <v>1515</v>
      </c>
      <c r="C781" s="89" t="s">
        <v>2179</v>
      </c>
      <c r="D781" s="89" t="s">
        <v>2180</v>
      </c>
      <c r="F781" s="43">
        <v>528096</v>
      </c>
      <c r="G781" s="43">
        <v>173420</v>
      </c>
      <c r="H781" s="89" t="s">
        <v>173</v>
      </c>
      <c r="K781" s="140">
        <v>1</v>
      </c>
      <c r="L781" s="140">
        <v>1</v>
      </c>
      <c r="M781" s="140">
        <v>0</v>
      </c>
      <c r="N781" s="140">
        <v>1</v>
      </c>
      <c r="O781" s="140">
        <v>0</v>
      </c>
      <c r="Q781" s="89" t="s">
        <v>2181</v>
      </c>
      <c r="R781" s="43" t="s">
        <v>316</v>
      </c>
      <c r="S781" s="125">
        <v>42803</v>
      </c>
      <c r="T781" s="117">
        <v>42969</v>
      </c>
      <c r="V781" s="43" t="s">
        <v>317</v>
      </c>
      <c r="X781" s="43" t="s">
        <v>318</v>
      </c>
      <c r="Y781" s="43" t="s">
        <v>336</v>
      </c>
      <c r="Z781" s="43" t="s">
        <v>320</v>
      </c>
      <c r="AA781" s="43" t="s">
        <v>33</v>
      </c>
      <c r="AB781" s="144">
        <v>1.43999997526407E-2</v>
      </c>
      <c r="AF781" s="43" t="s">
        <v>75</v>
      </c>
      <c r="AG781" s="43" t="s">
        <v>322</v>
      </c>
      <c r="AJ781" s="140">
        <v>0</v>
      </c>
      <c r="AK781" s="140">
        <v>0</v>
      </c>
      <c r="AL781" s="140">
        <v>0</v>
      </c>
      <c r="AM781" s="140">
        <v>0</v>
      </c>
      <c r="AN781" s="140">
        <v>0</v>
      </c>
      <c r="AO781" s="140">
        <v>0</v>
      </c>
      <c r="AP781" s="140">
        <v>0</v>
      </c>
      <c r="AQ781" s="140">
        <v>0</v>
      </c>
      <c r="AR781" s="140">
        <v>0</v>
      </c>
      <c r="AS781" s="140">
        <v>0</v>
      </c>
      <c r="AT781" s="140">
        <v>0</v>
      </c>
      <c r="AU781" s="140">
        <v>0</v>
      </c>
      <c r="AV781" s="140">
        <v>0</v>
      </c>
      <c r="AW781" s="140">
        <v>0</v>
      </c>
      <c r="AX781" s="140">
        <v>1</v>
      </c>
      <c r="AY781" s="140">
        <v>0</v>
      </c>
      <c r="AZ781" s="140">
        <v>0</v>
      </c>
      <c r="BA781" s="140">
        <v>0</v>
      </c>
      <c r="BB781" s="140">
        <v>0</v>
      </c>
      <c r="BC781" s="140">
        <v>0</v>
      </c>
      <c r="BD781" s="140">
        <v>0</v>
      </c>
      <c r="BE781" s="140">
        <v>0</v>
      </c>
      <c r="BF781" s="140">
        <v>0</v>
      </c>
      <c r="BG781" s="140">
        <v>0</v>
      </c>
      <c r="BH781" s="140">
        <v>0</v>
      </c>
      <c r="BI781" s="140">
        <v>0</v>
      </c>
      <c r="BJ781" s="140">
        <v>0</v>
      </c>
      <c r="BK781" s="140">
        <v>0</v>
      </c>
      <c r="BL781" s="140">
        <v>-1</v>
      </c>
      <c r="BM781" s="140">
        <v>0</v>
      </c>
      <c r="BN781" s="140">
        <v>0</v>
      </c>
      <c r="BO781" s="140">
        <v>0</v>
      </c>
      <c r="BX781" s="43">
        <v>15</v>
      </c>
      <c r="BZ781" s="90">
        <f t="shared" ref="BZ781:CB785" si="99">$M781/3</f>
        <v>0</v>
      </c>
      <c r="CA781" s="90">
        <f t="shared" si="99"/>
        <v>0</v>
      </c>
      <c r="CB781" s="90">
        <f t="shared" si="99"/>
        <v>0</v>
      </c>
      <c r="CT781" s="90">
        <f t="shared" si="96"/>
        <v>0</v>
      </c>
      <c r="CU781" s="90">
        <f t="shared" si="97"/>
        <v>0</v>
      </c>
    </row>
    <row r="782" spans="1:99" ht="12" customHeight="1">
      <c r="A782" s="43">
        <v>6523</v>
      </c>
      <c r="B782" s="89" t="s">
        <v>1515</v>
      </c>
      <c r="C782" s="89" t="s">
        <v>2182</v>
      </c>
      <c r="D782" s="89" t="s">
        <v>2183</v>
      </c>
      <c r="F782" s="43">
        <v>528682</v>
      </c>
      <c r="G782" s="43">
        <v>173943</v>
      </c>
      <c r="H782" s="89" t="s">
        <v>138</v>
      </c>
      <c r="K782" s="140">
        <v>0</v>
      </c>
      <c r="L782" s="140">
        <v>1</v>
      </c>
      <c r="M782" s="140">
        <v>1</v>
      </c>
      <c r="N782" s="140">
        <v>1</v>
      </c>
      <c r="O782" s="140">
        <v>1</v>
      </c>
      <c r="Q782" s="89" t="s">
        <v>2184</v>
      </c>
      <c r="R782" s="43" t="s">
        <v>443</v>
      </c>
      <c r="S782" s="125">
        <v>43447</v>
      </c>
      <c r="T782" s="117">
        <v>43495</v>
      </c>
      <c r="V782" s="43" t="s">
        <v>317</v>
      </c>
      <c r="X782" s="43" t="s">
        <v>318</v>
      </c>
      <c r="Y782" s="43" t="s">
        <v>336</v>
      </c>
      <c r="Z782" s="43" t="s">
        <v>320</v>
      </c>
      <c r="AA782" s="43" t="s">
        <v>33</v>
      </c>
      <c r="AB782" s="144">
        <v>6.1000000685453401E-2</v>
      </c>
      <c r="AF782" s="43" t="s">
        <v>75</v>
      </c>
      <c r="AG782" s="43" t="s">
        <v>322</v>
      </c>
      <c r="AJ782" s="140">
        <v>0</v>
      </c>
      <c r="AK782" s="140">
        <v>0</v>
      </c>
      <c r="AL782" s="140">
        <v>0</v>
      </c>
      <c r="AM782" s="140">
        <v>0</v>
      </c>
      <c r="AN782" s="140">
        <v>0</v>
      </c>
      <c r="AO782" s="140">
        <v>1</v>
      </c>
      <c r="AP782" s="140">
        <v>0</v>
      </c>
      <c r="AQ782" s="140">
        <v>0</v>
      </c>
      <c r="AR782" s="140">
        <v>0</v>
      </c>
      <c r="AS782" s="140">
        <v>0</v>
      </c>
      <c r="AT782" s="140">
        <v>0</v>
      </c>
      <c r="AU782" s="140">
        <v>0</v>
      </c>
      <c r="AV782" s="140">
        <v>1</v>
      </c>
      <c r="AW782" s="140">
        <v>0</v>
      </c>
      <c r="AX782" s="140">
        <v>0</v>
      </c>
      <c r="AY782" s="140">
        <v>0</v>
      </c>
      <c r="AZ782" s="140">
        <v>0</v>
      </c>
      <c r="BA782" s="140">
        <v>0</v>
      </c>
      <c r="BB782" s="140">
        <v>0</v>
      </c>
      <c r="BC782" s="140">
        <v>0</v>
      </c>
      <c r="BD782" s="140">
        <v>0</v>
      </c>
      <c r="BE782" s="140">
        <v>0</v>
      </c>
      <c r="BF782" s="140">
        <v>0</v>
      </c>
      <c r="BG782" s="140">
        <v>0</v>
      </c>
      <c r="BH782" s="140">
        <v>0</v>
      </c>
      <c r="BI782" s="140">
        <v>0</v>
      </c>
      <c r="BJ782" s="140">
        <v>0</v>
      </c>
      <c r="BK782" s="140">
        <v>0</v>
      </c>
      <c r="BL782" s="140">
        <v>0</v>
      </c>
      <c r="BM782" s="140">
        <v>0</v>
      </c>
      <c r="BN782" s="140">
        <v>0</v>
      </c>
      <c r="BO782" s="140">
        <v>0</v>
      </c>
      <c r="BX782" s="43">
        <v>15</v>
      </c>
      <c r="BZ782" s="90">
        <f t="shared" si="99"/>
        <v>0.33333333333333331</v>
      </c>
      <c r="CA782" s="90">
        <f t="shared" si="99"/>
        <v>0.33333333333333331</v>
      </c>
      <c r="CB782" s="90">
        <f t="shared" si="99"/>
        <v>0.33333333333333331</v>
      </c>
      <c r="CT782" s="90">
        <f t="shared" si="96"/>
        <v>1</v>
      </c>
      <c r="CU782" s="90">
        <f t="shared" si="97"/>
        <v>1</v>
      </c>
    </row>
    <row r="783" spans="1:99" ht="12" customHeight="1">
      <c r="A783" s="43">
        <v>6535</v>
      </c>
      <c r="B783" s="89" t="s">
        <v>1515</v>
      </c>
      <c r="C783" s="89" t="s">
        <v>2185</v>
      </c>
      <c r="D783" s="89" t="s">
        <v>2186</v>
      </c>
      <c r="F783" s="43">
        <v>523949</v>
      </c>
      <c r="G783" s="43">
        <v>175565</v>
      </c>
      <c r="H783" s="89" t="s">
        <v>178</v>
      </c>
      <c r="K783" s="140">
        <v>2</v>
      </c>
      <c r="L783" s="140">
        <v>0</v>
      </c>
      <c r="M783" s="140">
        <v>-2</v>
      </c>
      <c r="N783" s="140">
        <v>0</v>
      </c>
      <c r="O783" s="140">
        <v>-2</v>
      </c>
      <c r="Q783" s="89" t="s">
        <v>2187</v>
      </c>
      <c r="R783" s="43" t="s">
        <v>316</v>
      </c>
      <c r="S783" s="125">
        <v>42720</v>
      </c>
      <c r="T783" s="117">
        <v>42909</v>
      </c>
      <c r="V783" s="43" t="s">
        <v>317</v>
      </c>
      <c r="X783" s="43" t="s">
        <v>318</v>
      </c>
      <c r="Y783" s="43" t="s">
        <v>379</v>
      </c>
      <c r="Z783" s="43" t="s">
        <v>320</v>
      </c>
      <c r="AA783" s="43" t="s">
        <v>39</v>
      </c>
      <c r="AB783" s="144">
        <v>8.0000003799796104E-3</v>
      </c>
      <c r="AF783" s="43" t="s">
        <v>75</v>
      </c>
      <c r="AG783" s="43" t="s">
        <v>322</v>
      </c>
      <c r="AJ783" s="140">
        <v>0</v>
      </c>
      <c r="AK783" s="140">
        <v>0</v>
      </c>
      <c r="AL783" s="140">
        <v>0</v>
      </c>
      <c r="AM783" s="140">
        <v>0</v>
      </c>
      <c r="AN783" s="140">
        <v>0</v>
      </c>
      <c r="AO783" s="140">
        <v>-1</v>
      </c>
      <c r="AP783" s="140">
        <v>-1</v>
      </c>
      <c r="AQ783" s="140">
        <v>0</v>
      </c>
      <c r="AR783" s="140">
        <v>0</v>
      </c>
      <c r="AS783" s="140">
        <v>0</v>
      </c>
      <c r="AT783" s="140">
        <v>0</v>
      </c>
      <c r="AU783" s="140">
        <v>0</v>
      </c>
      <c r="AV783" s="140">
        <v>-1</v>
      </c>
      <c r="AW783" s="140">
        <v>-1</v>
      </c>
      <c r="AX783" s="140">
        <v>0</v>
      </c>
      <c r="AY783" s="140">
        <v>0</v>
      </c>
      <c r="AZ783" s="140">
        <v>0</v>
      </c>
      <c r="BA783" s="140">
        <v>0</v>
      </c>
      <c r="BB783" s="140">
        <v>0</v>
      </c>
      <c r="BC783" s="140">
        <v>0</v>
      </c>
      <c r="BD783" s="140">
        <v>0</v>
      </c>
      <c r="BE783" s="140">
        <v>0</v>
      </c>
      <c r="BF783" s="140">
        <v>0</v>
      </c>
      <c r="BG783" s="140">
        <v>0</v>
      </c>
      <c r="BH783" s="140">
        <v>0</v>
      </c>
      <c r="BI783" s="140">
        <v>0</v>
      </c>
      <c r="BJ783" s="140">
        <v>0</v>
      </c>
      <c r="BK783" s="140">
        <v>0</v>
      </c>
      <c r="BL783" s="140">
        <v>0</v>
      </c>
      <c r="BM783" s="140">
        <v>0</v>
      </c>
      <c r="BN783" s="140">
        <v>0</v>
      </c>
      <c r="BO783" s="140">
        <v>0</v>
      </c>
      <c r="BX783" s="43">
        <v>15</v>
      </c>
      <c r="BZ783" s="90">
        <f t="shared" si="99"/>
        <v>-0.66666666666666663</v>
      </c>
      <c r="CA783" s="90">
        <f t="shared" si="99"/>
        <v>-0.66666666666666663</v>
      </c>
      <c r="CB783" s="90">
        <f t="shared" si="99"/>
        <v>-0.66666666666666663</v>
      </c>
      <c r="CT783" s="90">
        <f t="shared" si="96"/>
        <v>-2</v>
      </c>
      <c r="CU783" s="90">
        <f t="shared" si="97"/>
        <v>-2</v>
      </c>
    </row>
    <row r="784" spans="1:99" ht="12" customHeight="1">
      <c r="A784" s="43">
        <v>6537</v>
      </c>
      <c r="B784" s="89" t="s">
        <v>1515</v>
      </c>
      <c r="C784" s="89" t="s">
        <v>2188</v>
      </c>
      <c r="D784" s="89" t="s">
        <v>2189</v>
      </c>
      <c r="F784" s="43">
        <v>527325</v>
      </c>
      <c r="G784" s="43">
        <v>171305</v>
      </c>
      <c r="H784" s="89" t="s">
        <v>141</v>
      </c>
      <c r="K784" s="140">
        <v>0</v>
      </c>
      <c r="L784" s="140">
        <v>1</v>
      </c>
      <c r="M784" s="140">
        <v>1</v>
      </c>
      <c r="N784" s="140">
        <v>1</v>
      </c>
      <c r="O784" s="140">
        <v>1</v>
      </c>
      <c r="Q784" s="89" t="s">
        <v>2190</v>
      </c>
      <c r="R784" s="43" t="s">
        <v>316</v>
      </c>
      <c r="S784" s="125">
        <v>42870</v>
      </c>
      <c r="T784" s="117">
        <v>42985</v>
      </c>
      <c r="V784" s="43" t="s">
        <v>317</v>
      </c>
      <c r="X784" s="43" t="s">
        <v>318</v>
      </c>
      <c r="Y784" s="43" t="s">
        <v>379</v>
      </c>
      <c r="Z784" s="43" t="s">
        <v>320</v>
      </c>
      <c r="AA784" s="43" t="s">
        <v>340</v>
      </c>
      <c r="AB784" s="144">
        <v>4.9999998882412902E-3</v>
      </c>
      <c r="AF784" s="43" t="s">
        <v>75</v>
      </c>
      <c r="AG784" s="43" t="s">
        <v>322</v>
      </c>
      <c r="AJ784" s="140">
        <v>0</v>
      </c>
      <c r="AK784" s="140">
        <v>0</v>
      </c>
      <c r="AL784" s="140">
        <v>0</v>
      </c>
      <c r="AM784" s="140">
        <v>0</v>
      </c>
      <c r="AN784" s="140">
        <v>0</v>
      </c>
      <c r="AO784" s="140">
        <v>1</v>
      </c>
      <c r="AP784" s="140">
        <v>0</v>
      </c>
      <c r="AQ784" s="140">
        <v>0</v>
      </c>
      <c r="AR784" s="140">
        <v>0</v>
      </c>
      <c r="AS784" s="140">
        <v>0</v>
      </c>
      <c r="AT784" s="140">
        <v>0</v>
      </c>
      <c r="AU784" s="140">
        <v>0</v>
      </c>
      <c r="AV784" s="140">
        <v>1</v>
      </c>
      <c r="AW784" s="140">
        <v>0</v>
      </c>
      <c r="AX784" s="140">
        <v>0</v>
      </c>
      <c r="AY784" s="140">
        <v>0</v>
      </c>
      <c r="AZ784" s="140">
        <v>0</v>
      </c>
      <c r="BA784" s="140">
        <v>0</v>
      </c>
      <c r="BB784" s="140">
        <v>0</v>
      </c>
      <c r="BC784" s="140">
        <v>0</v>
      </c>
      <c r="BD784" s="140">
        <v>0</v>
      </c>
      <c r="BE784" s="140">
        <v>0</v>
      </c>
      <c r="BF784" s="140">
        <v>0</v>
      </c>
      <c r="BG784" s="140">
        <v>0</v>
      </c>
      <c r="BH784" s="140">
        <v>0</v>
      </c>
      <c r="BI784" s="140">
        <v>0</v>
      </c>
      <c r="BJ784" s="140">
        <v>0</v>
      </c>
      <c r="BK784" s="140">
        <v>0</v>
      </c>
      <c r="BL784" s="140">
        <v>0</v>
      </c>
      <c r="BM784" s="140">
        <v>0</v>
      </c>
      <c r="BN784" s="140">
        <v>0</v>
      </c>
      <c r="BO784" s="140">
        <v>0</v>
      </c>
      <c r="BX784" s="43">
        <v>15</v>
      </c>
      <c r="BZ784" s="90">
        <f t="shared" si="99"/>
        <v>0.33333333333333331</v>
      </c>
      <c r="CA784" s="90">
        <f t="shared" si="99"/>
        <v>0.33333333333333331</v>
      </c>
      <c r="CB784" s="90">
        <f t="shared" si="99"/>
        <v>0.33333333333333331</v>
      </c>
      <c r="CT784" s="90">
        <f t="shared" si="96"/>
        <v>1</v>
      </c>
      <c r="CU784" s="90">
        <f t="shared" si="97"/>
        <v>1</v>
      </c>
    </row>
    <row r="785" spans="1:99" ht="12" customHeight="1">
      <c r="A785" s="43">
        <v>6553</v>
      </c>
      <c r="B785" s="89" t="s">
        <v>1515</v>
      </c>
      <c r="C785" s="89" t="s">
        <v>2191</v>
      </c>
      <c r="D785" s="89" t="s">
        <v>2192</v>
      </c>
      <c r="F785" s="43">
        <v>525441</v>
      </c>
      <c r="G785" s="43">
        <v>172855</v>
      </c>
      <c r="H785" s="89" t="s">
        <v>176</v>
      </c>
      <c r="K785" s="140">
        <v>0</v>
      </c>
      <c r="L785" s="140">
        <v>1</v>
      </c>
      <c r="M785" s="140">
        <v>1</v>
      </c>
      <c r="N785" s="140">
        <v>1</v>
      </c>
      <c r="O785" s="140">
        <v>1</v>
      </c>
      <c r="Q785" s="89" t="s">
        <v>2193</v>
      </c>
      <c r="R785" s="43" t="s">
        <v>620</v>
      </c>
      <c r="S785" s="125">
        <v>42858</v>
      </c>
      <c r="T785" s="117">
        <v>42900</v>
      </c>
      <c r="V785" s="43" t="s">
        <v>317</v>
      </c>
      <c r="X785" s="43" t="s">
        <v>318</v>
      </c>
      <c r="Y785" s="43" t="s">
        <v>336</v>
      </c>
      <c r="Z785" s="43" t="s">
        <v>320</v>
      </c>
      <c r="AA785" s="43" t="s">
        <v>30</v>
      </c>
      <c r="AB785" s="144">
        <v>1.4000000432133701E-2</v>
      </c>
      <c r="AF785" s="43" t="s">
        <v>75</v>
      </c>
      <c r="AG785" s="43" t="s">
        <v>322</v>
      </c>
      <c r="AJ785" s="140">
        <v>0</v>
      </c>
      <c r="AK785" s="140">
        <v>0</v>
      </c>
      <c r="AL785" s="140">
        <v>0</v>
      </c>
      <c r="AM785" s="140">
        <v>0</v>
      </c>
      <c r="AN785" s="140">
        <v>0</v>
      </c>
      <c r="AO785" s="140">
        <v>0</v>
      </c>
      <c r="AP785" s="140">
        <v>1</v>
      </c>
      <c r="AQ785" s="140">
        <v>0</v>
      </c>
      <c r="AR785" s="140">
        <v>0</v>
      </c>
      <c r="AS785" s="140">
        <v>0</v>
      </c>
      <c r="AT785" s="140">
        <v>0</v>
      </c>
      <c r="AU785" s="140">
        <v>0</v>
      </c>
      <c r="AV785" s="140">
        <v>0</v>
      </c>
      <c r="AW785" s="140">
        <v>1</v>
      </c>
      <c r="AX785" s="140">
        <v>0</v>
      </c>
      <c r="AY785" s="140">
        <v>0</v>
      </c>
      <c r="AZ785" s="140">
        <v>0</v>
      </c>
      <c r="BA785" s="140">
        <v>0</v>
      </c>
      <c r="BB785" s="140">
        <v>0</v>
      </c>
      <c r="BC785" s="140">
        <v>0</v>
      </c>
      <c r="BD785" s="140">
        <v>0</v>
      </c>
      <c r="BE785" s="140">
        <v>0</v>
      </c>
      <c r="BF785" s="140">
        <v>0</v>
      </c>
      <c r="BG785" s="140">
        <v>0</v>
      </c>
      <c r="BH785" s="140">
        <v>0</v>
      </c>
      <c r="BI785" s="140">
        <v>0</v>
      </c>
      <c r="BJ785" s="140">
        <v>0</v>
      </c>
      <c r="BK785" s="140">
        <v>0</v>
      </c>
      <c r="BL785" s="140">
        <v>0</v>
      </c>
      <c r="BM785" s="140">
        <v>0</v>
      </c>
      <c r="BN785" s="140">
        <v>0</v>
      </c>
      <c r="BO785" s="140">
        <v>0</v>
      </c>
      <c r="BW785" s="43" t="s">
        <v>329</v>
      </c>
      <c r="BX785" s="43">
        <v>15</v>
      </c>
      <c r="BZ785" s="90">
        <f t="shared" si="99"/>
        <v>0.33333333333333331</v>
      </c>
      <c r="CA785" s="90">
        <f t="shared" si="99"/>
        <v>0.33333333333333331</v>
      </c>
      <c r="CB785" s="90">
        <f t="shared" si="99"/>
        <v>0.33333333333333331</v>
      </c>
      <c r="CT785" s="90">
        <f t="shared" si="96"/>
        <v>1</v>
      </c>
      <c r="CU785" s="90">
        <f t="shared" si="97"/>
        <v>1</v>
      </c>
    </row>
    <row r="786" spans="1:99" ht="12" customHeight="1">
      <c r="A786" s="43">
        <v>6565</v>
      </c>
      <c r="B786" s="89" t="s">
        <v>1515</v>
      </c>
      <c r="C786" s="89" t="s">
        <v>2194</v>
      </c>
      <c r="D786" s="89" t="s">
        <v>2195</v>
      </c>
      <c r="F786" s="43">
        <v>524133</v>
      </c>
      <c r="G786" s="43">
        <v>175006</v>
      </c>
      <c r="H786" s="89" t="s">
        <v>178</v>
      </c>
      <c r="K786" s="140">
        <v>0</v>
      </c>
      <c r="L786" s="140">
        <v>5</v>
      </c>
      <c r="M786" s="140">
        <v>5</v>
      </c>
      <c r="N786" s="140">
        <v>5</v>
      </c>
      <c r="O786" s="140">
        <v>5</v>
      </c>
      <c r="Q786" s="89" t="s">
        <v>2196</v>
      </c>
      <c r="R786" s="43" t="s">
        <v>316</v>
      </c>
      <c r="S786" s="125">
        <v>42835</v>
      </c>
      <c r="T786" s="117">
        <v>42912</v>
      </c>
      <c r="V786" s="43" t="s">
        <v>317</v>
      </c>
      <c r="X786" s="43" t="s">
        <v>318</v>
      </c>
      <c r="Y786" s="43" t="s">
        <v>361</v>
      </c>
      <c r="Z786" s="43" t="s">
        <v>320</v>
      </c>
      <c r="AA786" s="43" t="s">
        <v>353</v>
      </c>
      <c r="AB786" s="144">
        <v>9.9999997764825804E-3</v>
      </c>
      <c r="AF786" s="43" t="s">
        <v>75</v>
      </c>
      <c r="AG786" s="43" t="s">
        <v>322</v>
      </c>
      <c r="AJ786" s="140">
        <v>0</v>
      </c>
      <c r="AK786" s="140">
        <v>0</v>
      </c>
      <c r="AL786" s="140">
        <v>0</v>
      </c>
      <c r="AM786" s="140">
        <v>0</v>
      </c>
      <c r="AN786" s="140">
        <v>0</v>
      </c>
      <c r="AO786" s="140">
        <v>0</v>
      </c>
      <c r="AP786" s="140">
        <v>5</v>
      </c>
      <c r="AQ786" s="140">
        <v>0</v>
      </c>
      <c r="AR786" s="140">
        <v>0</v>
      </c>
      <c r="AS786" s="140">
        <v>0</v>
      </c>
      <c r="AT786" s="140">
        <v>0</v>
      </c>
      <c r="AU786" s="140">
        <v>0</v>
      </c>
      <c r="AV786" s="140">
        <v>0</v>
      </c>
      <c r="AW786" s="140">
        <v>5</v>
      </c>
      <c r="AX786" s="140">
        <v>0</v>
      </c>
      <c r="AY786" s="140">
        <v>0</v>
      </c>
      <c r="AZ786" s="140">
        <v>0</v>
      </c>
      <c r="BA786" s="140">
        <v>0</v>
      </c>
      <c r="BB786" s="140">
        <v>0</v>
      </c>
      <c r="BC786" s="140">
        <v>0</v>
      </c>
      <c r="BD786" s="140">
        <v>0</v>
      </c>
      <c r="BE786" s="140">
        <v>0</v>
      </c>
      <c r="BF786" s="140">
        <v>0</v>
      </c>
      <c r="BG786" s="140">
        <v>0</v>
      </c>
      <c r="BH786" s="140">
        <v>0</v>
      </c>
      <c r="BI786" s="140">
        <v>0</v>
      </c>
      <c r="BJ786" s="140">
        <v>0</v>
      </c>
      <c r="BK786" s="140">
        <v>0</v>
      </c>
      <c r="BL786" s="140">
        <v>0</v>
      </c>
      <c r="BM786" s="140">
        <v>0</v>
      </c>
      <c r="BN786" s="140">
        <v>0</v>
      </c>
      <c r="BO786" s="140">
        <v>0</v>
      </c>
      <c r="BP786" s="43" t="s">
        <v>140</v>
      </c>
      <c r="BT786" s="43" t="s">
        <v>329</v>
      </c>
      <c r="BX786" s="43">
        <v>6</v>
      </c>
      <c r="CA786" s="90">
        <f>$M786/4</f>
        <v>1.25</v>
      </c>
      <c r="CB786" s="90">
        <f>$M786/4</f>
        <v>1.25</v>
      </c>
      <c r="CC786" s="90">
        <f>$M786/4</f>
        <v>1.25</v>
      </c>
      <c r="CD786" s="90">
        <f>$M786/4</f>
        <v>1.25</v>
      </c>
      <c r="CT786" s="90">
        <f t="shared" si="96"/>
        <v>5</v>
      </c>
      <c r="CU786" s="90">
        <f t="shared" si="97"/>
        <v>5</v>
      </c>
    </row>
    <row r="787" spans="1:99" ht="12" customHeight="1">
      <c r="A787" s="43">
        <v>6567</v>
      </c>
      <c r="B787" s="89" t="s">
        <v>1515</v>
      </c>
      <c r="C787" s="89" t="s">
        <v>2197</v>
      </c>
      <c r="D787" s="89" t="s">
        <v>2198</v>
      </c>
      <c r="F787" s="43">
        <v>523343</v>
      </c>
      <c r="G787" s="43">
        <v>175175</v>
      </c>
      <c r="H787" s="89" t="s">
        <v>181</v>
      </c>
      <c r="K787" s="140">
        <v>2</v>
      </c>
      <c r="L787" s="140">
        <v>1</v>
      </c>
      <c r="M787" s="140">
        <v>-1</v>
      </c>
      <c r="N787" s="140">
        <v>1</v>
      </c>
      <c r="O787" s="140">
        <v>-1</v>
      </c>
      <c r="Q787" s="89" t="s">
        <v>2199</v>
      </c>
      <c r="R787" s="43" t="s">
        <v>316</v>
      </c>
      <c r="S787" s="125">
        <v>42835</v>
      </c>
      <c r="T787" s="117">
        <v>42888</v>
      </c>
      <c r="V787" s="43" t="s">
        <v>317</v>
      </c>
      <c r="X787" s="43" t="s">
        <v>318</v>
      </c>
      <c r="Y787" s="43" t="s">
        <v>319</v>
      </c>
      <c r="Z787" s="43" t="s">
        <v>320</v>
      </c>
      <c r="AA787" s="43" t="s">
        <v>22</v>
      </c>
      <c r="AB787" s="144">
        <v>1.60000007599592E-2</v>
      </c>
      <c r="AF787" s="43" t="s">
        <v>75</v>
      </c>
      <c r="AG787" s="43" t="s">
        <v>322</v>
      </c>
      <c r="AJ787" s="140">
        <v>0</v>
      </c>
      <c r="AK787" s="140">
        <v>0</v>
      </c>
      <c r="AL787" s="140">
        <v>0</v>
      </c>
      <c r="AM787" s="140">
        <v>0</v>
      </c>
      <c r="AN787" s="140">
        <v>0</v>
      </c>
      <c r="AO787" s="140">
        <v>-1</v>
      </c>
      <c r="AP787" s="140">
        <v>0</v>
      </c>
      <c r="AQ787" s="140">
        <v>0</v>
      </c>
      <c r="AR787" s="140">
        <v>0</v>
      </c>
      <c r="AS787" s="140">
        <v>0</v>
      </c>
      <c r="AT787" s="140">
        <v>0</v>
      </c>
      <c r="AU787" s="140">
        <v>0</v>
      </c>
      <c r="AV787" s="140">
        <v>-1</v>
      </c>
      <c r="AW787" s="140">
        <v>0</v>
      </c>
      <c r="AX787" s="140">
        <v>0</v>
      </c>
      <c r="AY787" s="140">
        <v>0</v>
      </c>
      <c r="AZ787" s="140">
        <v>-1</v>
      </c>
      <c r="BA787" s="140">
        <v>0</v>
      </c>
      <c r="BB787" s="140">
        <v>0</v>
      </c>
      <c r="BC787" s="140">
        <v>0</v>
      </c>
      <c r="BD787" s="140">
        <v>0</v>
      </c>
      <c r="BE787" s="140">
        <v>0</v>
      </c>
      <c r="BF787" s="140">
        <v>0</v>
      </c>
      <c r="BG787" s="140">
        <v>1</v>
      </c>
      <c r="BH787" s="140">
        <v>0</v>
      </c>
      <c r="BI787" s="140">
        <v>0</v>
      </c>
      <c r="BJ787" s="140">
        <v>0</v>
      </c>
      <c r="BK787" s="140">
        <v>0</v>
      </c>
      <c r="BL787" s="140">
        <v>0</v>
      </c>
      <c r="BM787" s="140">
        <v>0</v>
      </c>
      <c r="BN787" s="140">
        <v>0</v>
      </c>
      <c r="BO787" s="140">
        <v>0</v>
      </c>
      <c r="BX787" s="43">
        <v>15</v>
      </c>
      <c r="BZ787" s="90">
        <f t="shared" ref="BZ787:CB790" si="100">$M787/3</f>
        <v>-0.33333333333333331</v>
      </c>
      <c r="CA787" s="90">
        <f t="shared" si="100"/>
        <v>-0.33333333333333331</v>
      </c>
      <c r="CB787" s="90">
        <f t="shared" si="100"/>
        <v>-0.33333333333333331</v>
      </c>
      <c r="CT787" s="90">
        <f t="shared" si="96"/>
        <v>-1</v>
      </c>
      <c r="CU787" s="90">
        <f t="shared" si="97"/>
        <v>-1</v>
      </c>
    </row>
    <row r="788" spans="1:99" ht="12" customHeight="1">
      <c r="A788" s="43">
        <v>6570</v>
      </c>
      <c r="B788" s="89" t="s">
        <v>1515</v>
      </c>
      <c r="C788" s="89" t="s">
        <v>2200</v>
      </c>
      <c r="D788" s="89" t="s">
        <v>2201</v>
      </c>
      <c r="F788" s="43">
        <v>528493</v>
      </c>
      <c r="G788" s="43">
        <v>173145</v>
      </c>
      <c r="H788" s="89" t="s">
        <v>173</v>
      </c>
      <c r="K788" s="140">
        <v>0</v>
      </c>
      <c r="L788" s="140">
        <v>1</v>
      </c>
      <c r="M788" s="140">
        <v>1</v>
      </c>
      <c r="N788" s="140">
        <v>1</v>
      </c>
      <c r="O788" s="140">
        <v>1</v>
      </c>
      <c r="Q788" s="89" t="s">
        <v>2202</v>
      </c>
      <c r="R788" s="43" t="s">
        <v>316</v>
      </c>
      <c r="S788" s="125">
        <v>42856</v>
      </c>
      <c r="T788" s="117">
        <v>42912</v>
      </c>
      <c r="V788" s="43" t="s">
        <v>317</v>
      </c>
      <c r="X788" s="43" t="s">
        <v>318</v>
      </c>
      <c r="Y788" s="43" t="s">
        <v>379</v>
      </c>
      <c r="Z788" s="43" t="s">
        <v>320</v>
      </c>
      <c r="AA788" s="43" t="s">
        <v>340</v>
      </c>
      <c r="AB788" s="144">
        <v>4.0000001899898104E-3</v>
      </c>
      <c r="AF788" s="43" t="s">
        <v>75</v>
      </c>
      <c r="AG788" s="43" t="s">
        <v>322</v>
      </c>
      <c r="AJ788" s="140">
        <v>0</v>
      </c>
      <c r="AK788" s="140">
        <v>0</v>
      </c>
      <c r="AL788" s="140">
        <v>0</v>
      </c>
      <c r="AM788" s="140">
        <v>0</v>
      </c>
      <c r="AN788" s="140">
        <v>0</v>
      </c>
      <c r="AO788" s="140">
        <v>1</v>
      </c>
      <c r="AP788" s="140">
        <v>0</v>
      </c>
      <c r="AQ788" s="140">
        <v>0</v>
      </c>
      <c r="AR788" s="140">
        <v>0</v>
      </c>
      <c r="AS788" s="140">
        <v>0</v>
      </c>
      <c r="AT788" s="140">
        <v>0</v>
      </c>
      <c r="AU788" s="140">
        <v>0</v>
      </c>
      <c r="AV788" s="140">
        <v>1</v>
      </c>
      <c r="AW788" s="140">
        <v>0</v>
      </c>
      <c r="AX788" s="140">
        <v>0</v>
      </c>
      <c r="AY788" s="140">
        <v>0</v>
      </c>
      <c r="AZ788" s="140">
        <v>0</v>
      </c>
      <c r="BA788" s="140">
        <v>0</v>
      </c>
      <c r="BB788" s="140">
        <v>0</v>
      </c>
      <c r="BC788" s="140">
        <v>0</v>
      </c>
      <c r="BD788" s="140">
        <v>0</v>
      </c>
      <c r="BE788" s="140">
        <v>0</v>
      </c>
      <c r="BF788" s="140">
        <v>0</v>
      </c>
      <c r="BG788" s="140">
        <v>0</v>
      </c>
      <c r="BH788" s="140">
        <v>0</v>
      </c>
      <c r="BI788" s="140">
        <v>0</v>
      </c>
      <c r="BJ788" s="140">
        <v>0</v>
      </c>
      <c r="BK788" s="140">
        <v>0</v>
      </c>
      <c r="BL788" s="140">
        <v>0</v>
      </c>
      <c r="BM788" s="140">
        <v>0</v>
      </c>
      <c r="BN788" s="140">
        <v>0</v>
      </c>
      <c r="BO788" s="140">
        <v>0</v>
      </c>
      <c r="BX788" s="43">
        <v>15</v>
      </c>
      <c r="BZ788" s="90">
        <f t="shared" si="100"/>
        <v>0.33333333333333331</v>
      </c>
      <c r="CA788" s="90">
        <f t="shared" si="100"/>
        <v>0.33333333333333331</v>
      </c>
      <c r="CB788" s="90">
        <f t="shared" si="100"/>
        <v>0.33333333333333331</v>
      </c>
      <c r="CT788" s="90">
        <f t="shared" si="96"/>
        <v>1</v>
      </c>
      <c r="CU788" s="90">
        <f t="shared" si="97"/>
        <v>1</v>
      </c>
    </row>
    <row r="789" spans="1:99" ht="12" customHeight="1">
      <c r="A789" s="43">
        <v>6576</v>
      </c>
      <c r="B789" s="89" t="s">
        <v>1515</v>
      </c>
      <c r="C789" s="89" t="s">
        <v>2203</v>
      </c>
      <c r="D789" s="89" t="s">
        <v>2204</v>
      </c>
      <c r="E789" s="89" t="s">
        <v>346</v>
      </c>
      <c r="F789" s="43">
        <v>527523</v>
      </c>
      <c r="G789" s="43">
        <v>174885</v>
      </c>
      <c r="H789" s="89" t="s">
        <v>174</v>
      </c>
      <c r="K789" s="140">
        <v>1</v>
      </c>
      <c r="L789" s="140">
        <v>1</v>
      </c>
      <c r="M789" s="140">
        <v>0</v>
      </c>
      <c r="N789" s="140">
        <v>4</v>
      </c>
      <c r="O789" s="140">
        <v>3</v>
      </c>
      <c r="Q789" s="89" t="s">
        <v>2205</v>
      </c>
      <c r="R789" s="43" t="s">
        <v>383</v>
      </c>
      <c r="S789" s="125">
        <v>43042</v>
      </c>
      <c r="T789" s="117">
        <v>43098</v>
      </c>
      <c r="V789" s="43" t="s">
        <v>384</v>
      </c>
      <c r="W789" s="117">
        <v>43250</v>
      </c>
      <c r="X789" s="43" t="s">
        <v>318</v>
      </c>
      <c r="Y789" s="43" t="s">
        <v>319</v>
      </c>
      <c r="Z789" s="43" t="s">
        <v>320</v>
      </c>
      <c r="AA789" s="43" t="s">
        <v>321</v>
      </c>
      <c r="AB789" s="144">
        <v>4.0000001899898104E-3</v>
      </c>
      <c r="AF789" s="43" t="s">
        <v>75</v>
      </c>
      <c r="AG789" s="43" t="s">
        <v>322</v>
      </c>
      <c r="AJ789" s="140">
        <v>0</v>
      </c>
      <c r="AK789" s="140">
        <v>0</v>
      </c>
      <c r="AL789" s="140">
        <v>0</v>
      </c>
      <c r="AM789" s="140">
        <v>0</v>
      </c>
      <c r="AN789" s="140">
        <v>0</v>
      </c>
      <c r="AO789" s="140">
        <v>0</v>
      </c>
      <c r="AP789" s="140">
        <v>0</v>
      </c>
      <c r="AQ789" s="140">
        <v>0</v>
      </c>
      <c r="AR789" s="140">
        <v>0</v>
      </c>
      <c r="AS789" s="140">
        <v>0</v>
      </c>
      <c r="AT789" s="140">
        <v>0</v>
      </c>
      <c r="AU789" s="140">
        <v>0</v>
      </c>
      <c r="AV789" s="140">
        <v>0</v>
      </c>
      <c r="AW789" s="140">
        <v>0</v>
      </c>
      <c r="AX789" s="140">
        <v>0</v>
      </c>
      <c r="AY789" s="140">
        <v>0</v>
      </c>
      <c r="AZ789" s="140">
        <v>0</v>
      </c>
      <c r="BA789" s="140">
        <v>0</v>
      </c>
      <c r="BB789" s="140">
        <v>0</v>
      </c>
      <c r="BC789" s="140">
        <v>0</v>
      </c>
      <c r="BD789" s="140">
        <v>0</v>
      </c>
      <c r="BE789" s="140">
        <v>0</v>
      </c>
      <c r="BF789" s="140">
        <v>0</v>
      </c>
      <c r="BG789" s="140">
        <v>0</v>
      </c>
      <c r="BH789" s="140">
        <v>0</v>
      </c>
      <c r="BI789" s="140">
        <v>0</v>
      </c>
      <c r="BJ789" s="140">
        <v>0</v>
      </c>
      <c r="BK789" s="140">
        <v>0</v>
      </c>
      <c r="BL789" s="140">
        <v>0</v>
      </c>
      <c r="BM789" s="140">
        <v>0</v>
      </c>
      <c r="BN789" s="140">
        <v>0</v>
      </c>
      <c r="BO789" s="140">
        <v>0</v>
      </c>
      <c r="BP789" s="43" t="s">
        <v>139</v>
      </c>
      <c r="BX789" s="43">
        <v>15</v>
      </c>
      <c r="BZ789" s="90">
        <f t="shared" si="100"/>
        <v>0</v>
      </c>
      <c r="CA789" s="90">
        <f t="shared" si="100"/>
        <v>0</v>
      </c>
      <c r="CB789" s="90">
        <f t="shared" si="100"/>
        <v>0</v>
      </c>
      <c r="CT789" s="90">
        <f t="shared" si="96"/>
        <v>0</v>
      </c>
      <c r="CU789" s="90">
        <f t="shared" si="97"/>
        <v>0</v>
      </c>
    </row>
    <row r="790" spans="1:99" ht="12" customHeight="1">
      <c r="A790" s="43">
        <v>6576</v>
      </c>
      <c r="B790" s="89" t="s">
        <v>1515</v>
      </c>
      <c r="C790" s="89" t="s">
        <v>2203</v>
      </c>
      <c r="D790" s="89" t="s">
        <v>2204</v>
      </c>
      <c r="E790" s="89" t="s">
        <v>944</v>
      </c>
      <c r="F790" s="43">
        <v>527523</v>
      </c>
      <c r="G790" s="43">
        <v>174885</v>
      </c>
      <c r="H790" s="89" t="s">
        <v>174</v>
      </c>
      <c r="K790" s="140">
        <v>0</v>
      </c>
      <c r="L790" s="140">
        <v>3</v>
      </c>
      <c r="M790" s="140">
        <v>3</v>
      </c>
      <c r="N790" s="140">
        <v>4</v>
      </c>
      <c r="O790" s="140">
        <v>3</v>
      </c>
      <c r="Q790" s="89" t="s">
        <v>2205</v>
      </c>
      <c r="R790" s="43" t="s">
        <v>383</v>
      </c>
      <c r="S790" s="125">
        <v>43042</v>
      </c>
      <c r="T790" s="117">
        <v>43098</v>
      </c>
      <c r="V790" s="43" t="s">
        <v>384</v>
      </c>
      <c r="W790" s="117">
        <v>43250</v>
      </c>
      <c r="X790" s="43" t="s">
        <v>318</v>
      </c>
      <c r="Y790" s="43" t="s">
        <v>319</v>
      </c>
      <c r="Z790" s="43" t="s">
        <v>320</v>
      </c>
      <c r="AA790" s="43" t="s">
        <v>340</v>
      </c>
      <c r="AB790" s="144">
        <v>9.9999997764825804E-3</v>
      </c>
      <c r="AF790" s="43" t="s">
        <v>75</v>
      </c>
      <c r="AG790" s="43" t="s">
        <v>322</v>
      </c>
      <c r="AJ790" s="140">
        <v>0</v>
      </c>
      <c r="AK790" s="140">
        <v>0</v>
      </c>
      <c r="AL790" s="140">
        <v>0</v>
      </c>
      <c r="AM790" s="140">
        <v>0</v>
      </c>
      <c r="AN790" s="140">
        <v>1</v>
      </c>
      <c r="AO790" s="140">
        <v>1</v>
      </c>
      <c r="AP790" s="140">
        <v>1</v>
      </c>
      <c r="AQ790" s="140">
        <v>0</v>
      </c>
      <c r="AR790" s="140">
        <v>0</v>
      </c>
      <c r="AS790" s="140">
        <v>0</v>
      </c>
      <c r="AT790" s="140">
        <v>0</v>
      </c>
      <c r="AU790" s="140">
        <v>1</v>
      </c>
      <c r="AV790" s="140">
        <v>1</v>
      </c>
      <c r="AW790" s="140">
        <v>1</v>
      </c>
      <c r="AX790" s="140">
        <v>0</v>
      </c>
      <c r="AY790" s="140">
        <v>0</v>
      </c>
      <c r="AZ790" s="140">
        <v>0</v>
      </c>
      <c r="BA790" s="140">
        <v>0</v>
      </c>
      <c r="BB790" s="140">
        <v>0</v>
      </c>
      <c r="BC790" s="140">
        <v>0</v>
      </c>
      <c r="BD790" s="140">
        <v>0</v>
      </c>
      <c r="BE790" s="140">
        <v>0</v>
      </c>
      <c r="BF790" s="140">
        <v>0</v>
      </c>
      <c r="BG790" s="140">
        <v>0</v>
      </c>
      <c r="BH790" s="140">
        <v>0</v>
      </c>
      <c r="BI790" s="140">
        <v>0</v>
      </c>
      <c r="BJ790" s="140">
        <v>0</v>
      </c>
      <c r="BK790" s="140">
        <v>0</v>
      </c>
      <c r="BL790" s="140">
        <v>0</v>
      </c>
      <c r="BM790" s="140">
        <v>0</v>
      </c>
      <c r="BN790" s="140">
        <v>0</v>
      </c>
      <c r="BO790" s="140">
        <v>0</v>
      </c>
      <c r="BP790" s="43" t="s">
        <v>139</v>
      </c>
      <c r="BX790" s="43">
        <v>15</v>
      </c>
      <c r="BZ790" s="90">
        <f t="shared" si="100"/>
        <v>1</v>
      </c>
      <c r="CA790" s="90">
        <f t="shared" si="100"/>
        <v>1</v>
      </c>
      <c r="CB790" s="90">
        <f t="shared" si="100"/>
        <v>1</v>
      </c>
      <c r="CT790" s="90">
        <f t="shared" si="96"/>
        <v>3</v>
      </c>
      <c r="CU790" s="90">
        <f t="shared" si="97"/>
        <v>3</v>
      </c>
    </row>
    <row r="791" spans="1:99" ht="12" customHeight="1">
      <c r="A791" s="43">
        <v>6591</v>
      </c>
      <c r="B791" s="89" t="s">
        <v>1515</v>
      </c>
      <c r="C791" s="89" t="s">
        <v>2206</v>
      </c>
      <c r="D791" s="89" t="s">
        <v>2207</v>
      </c>
      <c r="F791" s="43">
        <v>523591</v>
      </c>
      <c r="G791" s="43">
        <v>175605</v>
      </c>
      <c r="H791" s="89" t="s">
        <v>178</v>
      </c>
      <c r="K791" s="140">
        <v>0</v>
      </c>
      <c r="L791" s="140">
        <v>1</v>
      </c>
      <c r="M791" s="140">
        <v>1</v>
      </c>
      <c r="N791" s="140">
        <v>1</v>
      </c>
      <c r="O791" s="140">
        <v>1</v>
      </c>
      <c r="Q791" s="89" t="s">
        <v>2208</v>
      </c>
      <c r="R791" s="43" t="s">
        <v>316</v>
      </c>
      <c r="S791" s="125">
        <v>42853</v>
      </c>
      <c r="T791" s="117">
        <v>42999</v>
      </c>
      <c r="V791" s="43" t="s">
        <v>317</v>
      </c>
      <c r="X791" s="43" t="s">
        <v>318</v>
      </c>
      <c r="Y791" s="43" t="s">
        <v>361</v>
      </c>
      <c r="Z791" s="43" t="s">
        <v>320</v>
      </c>
      <c r="AA791" s="43" t="s">
        <v>353</v>
      </c>
      <c r="AB791" s="144">
        <v>1.9999999552965199E-2</v>
      </c>
      <c r="AF791" s="43" t="s">
        <v>75</v>
      </c>
      <c r="AG791" s="43" t="s">
        <v>322</v>
      </c>
      <c r="AJ791" s="140">
        <v>0</v>
      </c>
      <c r="AK791" s="140">
        <v>0</v>
      </c>
      <c r="AL791" s="140">
        <v>0</v>
      </c>
      <c r="AM791" s="140">
        <v>0</v>
      </c>
      <c r="AN791" s="140">
        <v>0</v>
      </c>
      <c r="AO791" s="140">
        <v>0</v>
      </c>
      <c r="AP791" s="140">
        <v>1</v>
      </c>
      <c r="AQ791" s="140">
        <v>0</v>
      </c>
      <c r="AR791" s="140">
        <v>0</v>
      </c>
      <c r="AS791" s="140">
        <v>0</v>
      </c>
      <c r="AT791" s="140">
        <v>0</v>
      </c>
      <c r="AU791" s="140">
        <v>0</v>
      </c>
      <c r="AV791" s="140">
        <v>0</v>
      </c>
      <c r="AW791" s="140">
        <v>0</v>
      </c>
      <c r="AX791" s="140">
        <v>0</v>
      </c>
      <c r="AY791" s="140">
        <v>0</v>
      </c>
      <c r="AZ791" s="140">
        <v>0</v>
      </c>
      <c r="BA791" s="140">
        <v>0</v>
      </c>
      <c r="BB791" s="140">
        <v>0</v>
      </c>
      <c r="BC791" s="140">
        <v>0</v>
      </c>
      <c r="BD791" s="140">
        <v>1</v>
      </c>
      <c r="BE791" s="140">
        <v>0</v>
      </c>
      <c r="BF791" s="140">
        <v>0</v>
      </c>
      <c r="BG791" s="140">
        <v>0</v>
      </c>
      <c r="BH791" s="140">
        <v>0</v>
      </c>
      <c r="BI791" s="140">
        <v>0</v>
      </c>
      <c r="BJ791" s="140">
        <v>0</v>
      </c>
      <c r="BK791" s="140">
        <v>0</v>
      </c>
      <c r="BL791" s="140">
        <v>0</v>
      </c>
      <c r="BM791" s="140">
        <v>0</v>
      </c>
      <c r="BN791" s="140">
        <v>0</v>
      </c>
      <c r="BO791" s="140">
        <v>0</v>
      </c>
      <c r="BX791" s="43">
        <v>6</v>
      </c>
      <c r="CA791" s="90">
        <f>$M791/4</f>
        <v>0.25</v>
      </c>
      <c r="CB791" s="90">
        <f>$M791/4</f>
        <v>0.25</v>
      </c>
      <c r="CC791" s="90">
        <f>$M791/4</f>
        <v>0.25</v>
      </c>
      <c r="CD791" s="90">
        <f>$M791/4</f>
        <v>0.25</v>
      </c>
      <c r="CT791" s="90">
        <f t="shared" si="96"/>
        <v>1</v>
      </c>
      <c r="CU791" s="90">
        <f t="shared" si="97"/>
        <v>1</v>
      </c>
    </row>
    <row r="792" spans="1:99" ht="12" customHeight="1">
      <c r="A792" s="43">
        <v>6594</v>
      </c>
      <c r="B792" s="89" t="s">
        <v>1515</v>
      </c>
      <c r="C792" s="89" t="s">
        <v>2209</v>
      </c>
      <c r="D792" s="89" t="s">
        <v>2210</v>
      </c>
      <c r="F792" s="43">
        <v>527616</v>
      </c>
      <c r="G792" s="43">
        <v>175165</v>
      </c>
      <c r="H792" s="89" t="s">
        <v>174</v>
      </c>
      <c r="K792" s="140">
        <v>0</v>
      </c>
      <c r="L792" s="140">
        <v>1</v>
      </c>
      <c r="M792" s="140">
        <v>1</v>
      </c>
      <c r="N792" s="140">
        <v>1</v>
      </c>
      <c r="O792" s="140">
        <v>1</v>
      </c>
      <c r="Q792" s="89" t="s">
        <v>2211</v>
      </c>
      <c r="R792" s="43" t="s">
        <v>316</v>
      </c>
      <c r="S792" s="125">
        <v>42872</v>
      </c>
      <c r="T792" s="117">
        <v>42928</v>
      </c>
      <c r="V792" s="43" t="s">
        <v>317</v>
      </c>
      <c r="X792" s="43" t="s">
        <v>318</v>
      </c>
      <c r="Y792" s="43" t="s">
        <v>379</v>
      </c>
      <c r="Z792" s="43" t="s">
        <v>320</v>
      </c>
      <c r="AA792" s="43" t="s">
        <v>340</v>
      </c>
      <c r="AB792" s="144">
        <v>3.0000000260770299E-3</v>
      </c>
      <c r="AF792" s="43" t="s">
        <v>75</v>
      </c>
      <c r="AG792" s="43" t="s">
        <v>322</v>
      </c>
      <c r="AJ792" s="140">
        <v>0</v>
      </c>
      <c r="AK792" s="140">
        <v>0</v>
      </c>
      <c r="AL792" s="140">
        <v>0</v>
      </c>
      <c r="AM792" s="140">
        <v>0</v>
      </c>
      <c r="AN792" s="140">
        <v>0</v>
      </c>
      <c r="AO792" s="140">
        <v>1</v>
      </c>
      <c r="AP792" s="140">
        <v>0</v>
      </c>
      <c r="AQ792" s="140">
        <v>0</v>
      </c>
      <c r="AR792" s="140">
        <v>0</v>
      </c>
      <c r="AS792" s="140">
        <v>0</v>
      </c>
      <c r="AT792" s="140">
        <v>0</v>
      </c>
      <c r="AU792" s="140">
        <v>0</v>
      </c>
      <c r="AV792" s="140">
        <v>1</v>
      </c>
      <c r="AW792" s="140">
        <v>0</v>
      </c>
      <c r="AX792" s="140">
        <v>0</v>
      </c>
      <c r="AY792" s="140">
        <v>0</v>
      </c>
      <c r="AZ792" s="140">
        <v>0</v>
      </c>
      <c r="BA792" s="140">
        <v>0</v>
      </c>
      <c r="BB792" s="140">
        <v>0</v>
      </c>
      <c r="BC792" s="140">
        <v>0</v>
      </c>
      <c r="BD792" s="140">
        <v>0</v>
      </c>
      <c r="BE792" s="140">
        <v>0</v>
      </c>
      <c r="BF792" s="140">
        <v>0</v>
      </c>
      <c r="BG792" s="140">
        <v>0</v>
      </c>
      <c r="BH792" s="140">
        <v>0</v>
      </c>
      <c r="BI792" s="140">
        <v>0</v>
      </c>
      <c r="BJ792" s="140">
        <v>0</v>
      </c>
      <c r="BK792" s="140">
        <v>0</v>
      </c>
      <c r="BL792" s="140">
        <v>0</v>
      </c>
      <c r="BM792" s="140">
        <v>0</v>
      </c>
      <c r="BN792" s="140">
        <v>0</v>
      </c>
      <c r="BO792" s="140">
        <v>0</v>
      </c>
      <c r="BP792" s="43" t="s">
        <v>139</v>
      </c>
      <c r="BX792" s="43">
        <v>15</v>
      </c>
      <c r="BZ792" s="90">
        <f t="shared" ref="BZ792:CB795" si="101">$M792/3</f>
        <v>0.33333333333333331</v>
      </c>
      <c r="CA792" s="90">
        <f t="shared" si="101"/>
        <v>0.33333333333333331</v>
      </c>
      <c r="CB792" s="90">
        <f t="shared" si="101"/>
        <v>0.33333333333333331</v>
      </c>
      <c r="CT792" s="90">
        <f t="shared" si="96"/>
        <v>1</v>
      </c>
      <c r="CU792" s="90">
        <f t="shared" si="97"/>
        <v>1</v>
      </c>
    </row>
    <row r="793" spans="1:99" ht="12" customHeight="1">
      <c r="A793" s="43">
        <v>6597</v>
      </c>
      <c r="B793" s="89" t="s">
        <v>1515</v>
      </c>
      <c r="C793" s="89" t="s">
        <v>2212</v>
      </c>
      <c r="D793" s="89" t="s">
        <v>2213</v>
      </c>
      <c r="F793" s="43">
        <v>527676</v>
      </c>
      <c r="G793" s="43">
        <v>171198</v>
      </c>
      <c r="H793" s="89" t="s">
        <v>172</v>
      </c>
      <c r="K793" s="140">
        <v>2</v>
      </c>
      <c r="L793" s="140">
        <v>3</v>
      </c>
      <c r="M793" s="140">
        <v>1</v>
      </c>
      <c r="N793" s="140">
        <v>4</v>
      </c>
      <c r="O793" s="140">
        <v>2</v>
      </c>
      <c r="Q793" s="89" t="s">
        <v>2214</v>
      </c>
      <c r="R793" s="43" t="s">
        <v>316</v>
      </c>
      <c r="S793" s="125">
        <v>43039</v>
      </c>
      <c r="T793" s="117">
        <v>43089</v>
      </c>
      <c r="V793" s="43" t="s">
        <v>317</v>
      </c>
      <c r="X793" s="43" t="s">
        <v>318</v>
      </c>
      <c r="Y793" s="43" t="s">
        <v>319</v>
      </c>
      <c r="Z793" s="43" t="s">
        <v>320</v>
      </c>
      <c r="AA793" s="43" t="s">
        <v>321</v>
      </c>
      <c r="AB793" s="144">
        <v>8.9999996125698107E-3</v>
      </c>
      <c r="AF793" s="43" t="s">
        <v>75</v>
      </c>
      <c r="AG793" s="43" t="s">
        <v>322</v>
      </c>
      <c r="AJ793" s="140">
        <v>0</v>
      </c>
      <c r="AK793" s="140">
        <v>0</v>
      </c>
      <c r="AL793" s="140">
        <v>0</v>
      </c>
      <c r="AM793" s="140">
        <v>0</v>
      </c>
      <c r="AN793" s="140">
        <v>0</v>
      </c>
      <c r="AO793" s="140">
        <v>3</v>
      </c>
      <c r="AP793" s="140">
        <v>0</v>
      </c>
      <c r="AQ793" s="140">
        <v>-2</v>
      </c>
      <c r="AR793" s="140">
        <v>0</v>
      </c>
      <c r="AS793" s="140">
        <v>0</v>
      </c>
      <c r="AT793" s="140">
        <v>0</v>
      </c>
      <c r="AU793" s="140">
        <v>0</v>
      </c>
      <c r="AV793" s="140">
        <v>3</v>
      </c>
      <c r="AW793" s="140">
        <v>0</v>
      </c>
      <c r="AX793" s="140">
        <v>-2</v>
      </c>
      <c r="AY793" s="140">
        <v>0</v>
      </c>
      <c r="AZ793" s="140">
        <v>0</v>
      </c>
      <c r="BA793" s="140">
        <v>0</v>
      </c>
      <c r="BB793" s="140">
        <v>0</v>
      </c>
      <c r="BC793" s="140">
        <v>0</v>
      </c>
      <c r="BD793" s="140">
        <v>0</v>
      </c>
      <c r="BE793" s="140">
        <v>0</v>
      </c>
      <c r="BF793" s="140">
        <v>0</v>
      </c>
      <c r="BG793" s="140">
        <v>0</v>
      </c>
      <c r="BH793" s="140">
        <v>0</v>
      </c>
      <c r="BI793" s="140">
        <v>0</v>
      </c>
      <c r="BJ793" s="140">
        <v>0</v>
      </c>
      <c r="BK793" s="140">
        <v>0</v>
      </c>
      <c r="BL793" s="140">
        <v>0</v>
      </c>
      <c r="BM793" s="140">
        <v>0</v>
      </c>
      <c r="BN793" s="140">
        <v>0</v>
      </c>
      <c r="BO793" s="140">
        <v>0</v>
      </c>
      <c r="BP793" s="43" t="s">
        <v>141</v>
      </c>
      <c r="BX793" s="43">
        <v>15</v>
      </c>
      <c r="BZ793" s="90">
        <f t="shared" si="101"/>
        <v>0.33333333333333331</v>
      </c>
      <c r="CA793" s="90">
        <f t="shared" si="101"/>
        <v>0.33333333333333331</v>
      </c>
      <c r="CB793" s="90">
        <f t="shared" si="101"/>
        <v>0.33333333333333331</v>
      </c>
      <c r="CT793" s="90">
        <f t="shared" si="96"/>
        <v>1</v>
      </c>
      <c r="CU793" s="90">
        <f t="shared" si="97"/>
        <v>1</v>
      </c>
    </row>
    <row r="794" spans="1:99" ht="12" customHeight="1">
      <c r="A794" s="43">
        <v>6597</v>
      </c>
      <c r="B794" s="89" t="s">
        <v>1515</v>
      </c>
      <c r="C794" s="89" t="s">
        <v>2212</v>
      </c>
      <c r="D794" s="89" t="s">
        <v>2213</v>
      </c>
      <c r="F794" s="43">
        <v>527676</v>
      </c>
      <c r="G794" s="43">
        <v>171198</v>
      </c>
      <c r="H794" s="89" t="s">
        <v>172</v>
      </c>
      <c r="K794" s="140">
        <v>0</v>
      </c>
      <c r="L794" s="140">
        <v>1</v>
      </c>
      <c r="M794" s="140">
        <v>1</v>
      </c>
      <c r="N794" s="140">
        <v>4</v>
      </c>
      <c r="O794" s="140">
        <v>2</v>
      </c>
      <c r="Q794" s="89" t="s">
        <v>2214</v>
      </c>
      <c r="R794" s="43" t="s">
        <v>316</v>
      </c>
      <c r="S794" s="125">
        <v>43039</v>
      </c>
      <c r="T794" s="117">
        <v>43089</v>
      </c>
      <c r="V794" s="43" t="s">
        <v>317</v>
      </c>
      <c r="X794" s="43" t="s">
        <v>318</v>
      </c>
      <c r="Y794" s="43" t="s">
        <v>319</v>
      </c>
      <c r="Z794" s="43" t="s">
        <v>320</v>
      </c>
      <c r="AA794" s="43" t="s">
        <v>353</v>
      </c>
      <c r="AB794" s="144">
        <v>3.0000000260770299E-3</v>
      </c>
      <c r="AF794" s="43" t="s">
        <v>75</v>
      </c>
      <c r="AG794" s="43" t="s">
        <v>322</v>
      </c>
      <c r="AJ794" s="140">
        <v>0</v>
      </c>
      <c r="AK794" s="140">
        <v>0</v>
      </c>
      <c r="AL794" s="140">
        <v>0</v>
      </c>
      <c r="AM794" s="140">
        <v>0</v>
      </c>
      <c r="AN794" s="140">
        <v>0</v>
      </c>
      <c r="AO794" s="140">
        <v>1</v>
      </c>
      <c r="AP794" s="140">
        <v>0</v>
      </c>
      <c r="AQ794" s="140">
        <v>0</v>
      </c>
      <c r="AR794" s="140">
        <v>0</v>
      </c>
      <c r="AS794" s="140">
        <v>0</v>
      </c>
      <c r="AT794" s="140">
        <v>0</v>
      </c>
      <c r="AU794" s="140">
        <v>0</v>
      </c>
      <c r="AV794" s="140">
        <v>1</v>
      </c>
      <c r="AW794" s="140">
        <v>0</v>
      </c>
      <c r="AX794" s="140">
        <v>0</v>
      </c>
      <c r="AY794" s="140">
        <v>0</v>
      </c>
      <c r="AZ794" s="140">
        <v>0</v>
      </c>
      <c r="BA794" s="140">
        <v>0</v>
      </c>
      <c r="BB794" s="140">
        <v>0</v>
      </c>
      <c r="BC794" s="140">
        <v>0</v>
      </c>
      <c r="BD794" s="140">
        <v>0</v>
      </c>
      <c r="BE794" s="140">
        <v>0</v>
      </c>
      <c r="BF794" s="140">
        <v>0</v>
      </c>
      <c r="BG794" s="140">
        <v>0</v>
      </c>
      <c r="BH794" s="140">
        <v>0</v>
      </c>
      <c r="BI794" s="140">
        <v>0</v>
      </c>
      <c r="BJ794" s="140">
        <v>0</v>
      </c>
      <c r="BK794" s="140">
        <v>0</v>
      </c>
      <c r="BL794" s="140">
        <v>0</v>
      </c>
      <c r="BM794" s="140">
        <v>0</v>
      </c>
      <c r="BN794" s="140">
        <v>0</v>
      </c>
      <c r="BO794" s="140">
        <v>0</v>
      </c>
      <c r="BP794" s="43" t="s">
        <v>141</v>
      </c>
      <c r="BX794" s="43">
        <v>15</v>
      </c>
      <c r="BZ794" s="90">
        <f t="shared" si="101"/>
        <v>0.33333333333333331</v>
      </c>
      <c r="CA794" s="90">
        <f t="shared" si="101"/>
        <v>0.33333333333333331</v>
      </c>
      <c r="CB794" s="90">
        <f t="shared" si="101"/>
        <v>0.33333333333333331</v>
      </c>
      <c r="CT794" s="90">
        <f t="shared" si="96"/>
        <v>1</v>
      </c>
      <c r="CU794" s="90">
        <f t="shared" si="97"/>
        <v>1</v>
      </c>
    </row>
    <row r="795" spans="1:99" ht="12" customHeight="1">
      <c r="A795" s="43">
        <v>6600</v>
      </c>
      <c r="B795" s="89" t="s">
        <v>1515</v>
      </c>
      <c r="C795" s="89" t="s">
        <v>2215</v>
      </c>
      <c r="D795" s="89" t="s">
        <v>2216</v>
      </c>
      <c r="F795" s="43">
        <v>525959</v>
      </c>
      <c r="G795" s="43">
        <v>174033</v>
      </c>
      <c r="H795" s="89" t="s">
        <v>168</v>
      </c>
      <c r="K795" s="140">
        <v>0</v>
      </c>
      <c r="L795" s="140">
        <v>2</v>
      </c>
      <c r="M795" s="140">
        <v>2</v>
      </c>
      <c r="N795" s="140">
        <v>2</v>
      </c>
      <c r="O795" s="140">
        <v>2</v>
      </c>
      <c r="Q795" s="89" t="s">
        <v>2217</v>
      </c>
      <c r="R795" s="43" t="s">
        <v>620</v>
      </c>
      <c r="S795" s="125">
        <v>42998</v>
      </c>
      <c r="T795" s="117">
        <v>43054</v>
      </c>
      <c r="V795" s="43" t="s">
        <v>317</v>
      </c>
      <c r="X795" s="43" t="s">
        <v>318</v>
      </c>
      <c r="Y795" s="43" t="s">
        <v>336</v>
      </c>
      <c r="Z795" s="43" t="s">
        <v>320</v>
      </c>
      <c r="AA795" s="43" t="s">
        <v>30</v>
      </c>
      <c r="AB795" s="144">
        <v>4.9999998882412902E-3</v>
      </c>
      <c r="AF795" s="43" t="s">
        <v>75</v>
      </c>
      <c r="AG795" s="43" t="s">
        <v>322</v>
      </c>
      <c r="AJ795" s="140">
        <v>0</v>
      </c>
      <c r="AK795" s="140">
        <v>0</v>
      </c>
      <c r="AL795" s="140">
        <v>0</v>
      </c>
      <c r="AM795" s="140">
        <v>0</v>
      </c>
      <c r="AN795" s="140">
        <v>1</v>
      </c>
      <c r="AO795" s="140">
        <v>1</v>
      </c>
      <c r="AP795" s="140">
        <v>0</v>
      </c>
      <c r="AQ795" s="140">
        <v>0</v>
      </c>
      <c r="AR795" s="140">
        <v>0</v>
      </c>
      <c r="AS795" s="140">
        <v>0</v>
      </c>
      <c r="AT795" s="140">
        <v>0</v>
      </c>
      <c r="AU795" s="140">
        <v>1</v>
      </c>
      <c r="AV795" s="140">
        <v>1</v>
      </c>
      <c r="AW795" s="140">
        <v>0</v>
      </c>
      <c r="AX795" s="140">
        <v>0</v>
      </c>
      <c r="AY795" s="140">
        <v>0</v>
      </c>
      <c r="AZ795" s="140">
        <v>0</v>
      </c>
      <c r="BA795" s="140">
        <v>0</v>
      </c>
      <c r="BB795" s="140">
        <v>0</v>
      </c>
      <c r="BC795" s="140">
        <v>0</v>
      </c>
      <c r="BD795" s="140">
        <v>0</v>
      </c>
      <c r="BE795" s="140">
        <v>0</v>
      </c>
      <c r="BF795" s="140">
        <v>0</v>
      </c>
      <c r="BG795" s="140">
        <v>0</v>
      </c>
      <c r="BH795" s="140">
        <v>0</v>
      </c>
      <c r="BI795" s="140">
        <v>0</v>
      </c>
      <c r="BJ795" s="140">
        <v>0</v>
      </c>
      <c r="BK795" s="140">
        <v>0</v>
      </c>
      <c r="BL795" s="140">
        <v>0</v>
      </c>
      <c r="BM795" s="140">
        <v>0</v>
      </c>
      <c r="BN795" s="140">
        <v>0</v>
      </c>
      <c r="BO795" s="140">
        <v>0</v>
      </c>
      <c r="BX795" s="43">
        <v>15</v>
      </c>
      <c r="BZ795" s="90">
        <f t="shared" si="101"/>
        <v>0.66666666666666663</v>
      </c>
      <c r="CA795" s="90">
        <f t="shared" si="101"/>
        <v>0.66666666666666663</v>
      </c>
      <c r="CB795" s="90">
        <f t="shared" si="101"/>
        <v>0.66666666666666663</v>
      </c>
      <c r="CT795" s="90">
        <f t="shared" si="96"/>
        <v>2</v>
      </c>
      <c r="CU795" s="90">
        <f t="shared" si="97"/>
        <v>2</v>
      </c>
    </row>
    <row r="796" spans="1:99" ht="12" customHeight="1">
      <c r="A796" s="43">
        <v>6613</v>
      </c>
      <c r="B796" s="89" t="s">
        <v>1515</v>
      </c>
      <c r="C796" s="89" t="s">
        <v>2218</v>
      </c>
      <c r="D796" s="89" t="s">
        <v>2219</v>
      </c>
      <c r="F796" s="43">
        <v>523233</v>
      </c>
      <c r="G796" s="43">
        <v>176094</v>
      </c>
      <c r="H796" s="89" t="s">
        <v>178</v>
      </c>
      <c r="K796" s="140">
        <v>0</v>
      </c>
      <c r="L796" s="140">
        <v>6</v>
      </c>
      <c r="M796" s="140">
        <v>6</v>
      </c>
      <c r="N796" s="140">
        <v>6</v>
      </c>
      <c r="O796" s="140">
        <v>6</v>
      </c>
      <c r="Q796" s="89" t="s">
        <v>2220</v>
      </c>
      <c r="R796" s="43" t="s">
        <v>316</v>
      </c>
      <c r="S796" s="125">
        <v>43088</v>
      </c>
      <c r="T796" s="117">
        <v>43193</v>
      </c>
      <c r="V796" s="43" t="s">
        <v>317</v>
      </c>
      <c r="X796" s="43" t="s">
        <v>318</v>
      </c>
      <c r="Y796" s="43" t="s">
        <v>361</v>
      </c>
      <c r="Z796" s="43" t="s">
        <v>320</v>
      </c>
      <c r="AA796" s="43" t="s">
        <v>353</v>
      </c>
      <c r="AB796" s="144">
        <v>3.0999999493360499E-2</v>
      </c>
      <c r="AF796" s="43" t="s">
        <v>75</v>
      </c>
      <c r="AG796" s="43" t="s">
        <v>322</v>
      </c>
      <c r="AJ796" s="140">
        <v>0</v>
      </c>
      <c r="AK796" s="140">
        <v>0</v>
      </c>
      <c r="AL796" s="140">
        <v>0</v>
      </c>
      <c r="AM796" s="140">
        <v>0</v>
      </c>
      <c r="AN796" s="140">
        <v>0</v>
      </c>
      <c r="AO796" s="140">
        <v>3</v>
      </c>
      <c r="AP796" s="140">
        <v>3</v>
      </c>
      <c r="AQ796" s="140">
        <v>0</v>
      </c>
      <c r="AR796" s="140">
        <v>0</v>
      </c>
      <c r="AS796" s="140">
        <v>0</v>
      </c>
      <c r="AT796" s="140">
        <v>0</v>
      </c>
      <c r="AU796" s="140">
        <v>0</v>
      </c>
      <c r="AV796" s="140">
        <v>3</v>
      </c>
      <c r="AW796" s="140">
        <v>2</v>
      </c>
      <c r="AX796" s="140">
        <v>0</v>
      </c>
      <c r="AY796" s="140">
        <v>0</v>
      </c>
      <c r="AZ796" s="140">
        <v>0</v>
      </c>
      <c r="BA796" s="140">
        <v>0</v>
      </c>
      <c r="BB796" s="140">
        <v>0</v>
      </c>
      <c r="BC796" s="140">
        <v>0</v>
      </c>
      <c r="BD796" s="140">
        <v>1</v>
      </c>
      <c r="BE796" s="140">
        <v>0</v>
      </c>
      <c r="BF796" s="140">
        <v>0</v>
      </c>
      <c r="BG796" s="140">
        <v>0</v>
      </c>
      <c r="BH796" s="140">
        <v>0</v>
      </c>
      <c r="BI796" s="140">
        <v>0</v>
      </c>
      <c r="BJ796" s="140">
        <v>0</v>
      </c>
      <c r="BK796" s="140">
        <v>0</v>
      </c>
      <c r="BL796" s="140">
        <v>0</v>
      </c>
      <c r="BM796" s="140">
        <v>0</v>
      </c>
      <c r="BN796" s="140">
        <v>0</v>
      </c>
      <c r="BO796" s="140">
        <v>0</v>
      </c>
      <c r="BX796" s="43">
        <v>7</v>
      </c>
      <c r="CA796" s="90">
        <f>M796</f>
        <v>6</v>
      </c>
      <c r="CT796" s="90">
        <f t="shared" si="96"/>
        <v>6</v>
      </c>
      <c r="CU796" s="90">
        <f t="shared" si="97"/>
        <v>6</v>
      </c>
    </row>
    <row r="797" spans="1:99" ht="12" customHeight="1">
      <c r="A797" s="43">
        <v>6627</v>
      </c>
      <c r="B797" s="89" t="s">
        <v>1515</v>
      </c>
      <c r="C797" s="89" t="s">
        <v>2221</v>
      </c>
      <c r="D797" s="89" t="s">
        <v>2222</v>
      </c>
      <c r="F797" s="43">
        <v>528710</v>
      </c>
      <c r="G797" s="43">
        <v>176889</v>
      </c>
      <c r="H797" s="89" t="s">
        <v>148</v>
      </c>
      <c r="K797" s="140">
        <v>4</v>
      </c>
      <c r="L797" s="140">
        <v>3</v>
      </c>
      <c r="M797" s="140">
        <v>-1</v>
      </c>
      <c r="N797" s="140">
        <v>3</v>
      </c>
      <c r="O797" s="140">
        <v>-1</v>
      </c>
      <c r="Q797" s="89" t="s">
        <v>2223</v>
      </c>
      <c r="R797" s="43" t="s">
        <v>316</v>
      </c>
      <c r="S797" s="125">
        <v>42895</v>
      </c>
      <c r="T797" s="117">
        <v>42984</v>
      </c>
      <c r="V797" s="43" t="s">
        <v>317</v>
      </c>
      <c r="X797" s="43" t="s">
        <v>318</v>
      </c>
      <c r="Y797" s="43" t="s">
        <v>319</v>
      </c>
      <c r="Z797" s="43" t="s">
        <v>320</v>
      </c>
      <c r="AA797" s="43" t="s">
        <v>636</v>
      </c>
      <c r="AB797" s="144">
        <v>7.0000002160668399E-3</v>
      </c>
      <c r="AF797" s="43" t="s">
        <v>75</v>
      </c>
      <c r="AG797" s="43" t="s">
        <v>322</v>
      </c>
      <c r="AH797" s="43" t="s">
        <v>507</v>
      </c>
      <c r="AJ797" s="140">
        <v>0</v>
      </c>
      <c r="AK797" s="140">
        <v>0</v>
      </c>
      <c r="AL797" s="140">
        <v>0</v>
      </c>
      <c r="AM797" s="140">
        <v>0</v>
      </c>
      <c r="AN797" s="140">
        <v>0</v>
      </c>
      <c r="AO797" s="140">
        <v>-1</v>
      </c>
      <c r="AP797" s="140">
        <v>1</v>
      </c>
      <c r="AQ797" s="140">
        <v>-1</v>
      </c>
      <c r="AR797" s="140">
        <v>0</v>
      </c>
      <c r="AS797" s="140">
        <v>0</v>
      </c>
      <c r="AT797" s="140">
        <v>0</v>
      </c>
      <c r="AU797" s="140">
        <v>0</v>
      </c>
      <c r="AV797" s="140">
        <v>-1</v>
      </c>
      <c r="AW797" s="140">
        <v>1</v>
      </c>
      <c r="AX797" s="140">
        <v>-1</v>
      </c>
      <c r="AY797" s="140">
        <v>0</v>
      </c>
      <c r="AZ797" s="140">
        <v>0</v>
      </c>
      <c r="BA797" s="140">
        <v>0</v>
      </c>
      <c r="BB797" s="140">
        <v>0</v>
      </c>
      <c r="BC797" s="140">
        <v>0</v>
      </c>
      <c r="BD797" s="140">
        <v>0</v>
      </c>
      <c r="BE797" s="140">
        <v>0</v>
      </c>
      <c r="BF797" s="140">
        <v>0</v>
      </c>
      <c r="BG797" s="140">
        <v>0</v>
      </c>
      <c r="BH797" s="140">
        <v>0</v>
      </c>
      <c r="BI797" s="140">
        <v>0</v>
      </c>
      <c r="BJ797" s="140">
        <v>0</v>
      </c>
      <c r="BK797" s="140">
        <v>0</v>
      </c>
      <c r="BL797" s="140">
        <v>0</v>
      </c>
      <c r="BM797" s="140">
        <v>0</v>
      </c>
      <c r="BN797" s="140">
        <v>0</v>
      </c>
      <c r="BO797" s="140">
        <v>0</v>
      </c>
      <c r="BQ797" s="43" t="s">
        <v>329</v>
      </c>
      <c r="BX797" s="43">
        <v>15</v>
      </c>
      <c r="BZ797" s="90">
        <f t="shared" ref="BZ797:CB800" si="102">$M797/3</f>
        <v>-0.33333333333333331</v>
      </c>
      <c r="CA797" s="90">
        <f t="shared" si="102"/>
        <v>-0.33333333333333331</v>
      </c>
      <c r="CB797" s="90">
        <f t="shared" si="102"/>
        <v>-0.33333333333333331</v>
      </c>
      <c r="CT797" s="90">
        <f t="shared" si="96"/>
        <v>-1</v>
      </c>
      <c r="CU797" s="90">
        <f t="shared" si="97"/>
        <v>-1</v>
      </c>
    </row>
    <row r="798" spans="1:99" ht="12" customHeight="1">
      <c r="A798" s="43">
        <v>6646</v>
      </c>
      <c r="B798" s="89" t="s">
        <v>1515</v>
      </c>
      <c r="C798" s="89" t="s">
        <v>2224</v>
      </c>
      <c r="D798" s="89" t="s">
        <v>2225</v>
      </c>
      <c r="F798" s="43">
        <v>528286</v>
      </c>
      <c r="G798" s="43">
        <v>172911</v>
      </c>
      <c r="H798" s="89" t="s">
        <v>173</v>
      </c>
      <c r="K798" s="140">
        <v>1</v>
      </c>
      <c r="L798" s="140">
        <v>2</v>
      </c>
      <c r="M798" s="140">
        <v>1</v>
      </c>
      <c r="N798" s="140">
        <v>2</v>
      </c>
      <c r="O798" s="140">
        <v>1</v>
      </c>
      <c r="Q798" s="89" t="s">
        <v>2226</v>
      </c>
      <c r="R798" s="43" t="s">
        <v>316</v>
      </c>
      <c r="S798" s="125">
        <v>42915</v>
      </c>
      <c r="T798" s="117">
        <v>42971</v>
      </c>
      <c r="V798" s="43" t="s">
        <v>317</v>
      </c>
      <c r="X798" s="43" t="s">
        <v>318</v>
      </c>
      <c r="Y798" s="43" t="s">
        <v>319</v>
      </c>
      <c r="Z798" s="43" t="s">
        <v>320</v>
      </c>
      <c r="AA798" s="43" t="s">
        <v>321</v>
      </c>
      <c r="AB798" s="144">
        <v>9.9999997764825804E-3</v>
      </c>
      <c r="AF798" s="43" t="s">
        <v>75</v>
      </c>
      <c r="AG798" s="43" t="s">
        <v>322</v>
      </c>
      <c r="AJ798" s="140">
        <v>0</v>
      </c>
      <c r="AK798" s="140">
        <v>0</v>
      </c>
      <c r="AL798" s="140">
        <v>0</v>
      </c>
      <c r="AM798" s="140">
        <v>0</v>
      </c>
      <c r="AN798" s="140">
        <v>0</v>
      </c>
      <c r="AO798" s="140">
        <v>1</v>
      </c>
      <c r="AP798" s="140">
        <v>1</v>
      </c>
      <c r="AQ798" s="140">
        <v>0</v>
      </c>
      <c r="AR798" s="140">
        <v>-1</v>
      </c>
      <c r="AS798" s="140">
        <v>0</v>
      </c>
      <c r="AT798" s="140">
        <v>0</v>
      </c>
      <c r="AU798" s="140">
        <v>0</v>
      </c>
      <c r="AV798" s="140">
        <v>1</v>
      </c>
      <c r="AW798" s="140">
        <v>1</v>
      </c>
      <c r="AX798" s="140">
        <v>0</v>
      </c>
      <c r="AY798" s="140">
        <v>-1</v>
      </c>
      <c r="AZ798" s="140">
        <v>0</v>
      </c>
      <c r="BA798" s="140">
        <v>0</v>
      </c>
      <c r="BB798" s="140">
        <v>0</v>
      </c>
      <c r="BC798" s="140">
        <v>0</v>
      </c>
      <c r="BD798" s="140">
        <v>0</v>
      </c>
      <c r="BE798" s="140">
        <v>0</v>
      </c>
      <c r="BF798" s="140">
        <v>0</v>
      </c>
      <c r="BG798" s="140">
        <v>0</v>
      </c>
      <c r="BH798" s="140">
        <v>0</v>
      </c>
      <c r="BI798" s="140">
        <v>0</v>
      </c>
      <c r="BJ798" s="140">
        <v>0</v>
      </c>
      <c r="BK798" s="140">
        <v>0</v>
      </c>
      <c r="BL798" s="140">
        <v>0</v>
      </c>
      <c r="BM798" s="140">
        <v>0</v>
      </c>
      <c r="BN798" s="140">
        <v>0</v>
      </c>
      <c r="BO798" s="140">
        <v>0</v>
      </c>
      <c r="BX798" s="43">
        <v>15</v>
      </c>
      <c r="BZ798" s="90">
        <f t="shared" si="102"/>
        <v>0.33333333333333331</v>
      </c>
      <c r="CA798" s="90">
        <f t="shared" si="102"/>
        <v>0.33333333333333331</v>
      </c>
      <c r="CB798" s="90">
        <f t="shared" si="102"/>
        <v>0.33333333333333331</v>
      </c>
      <c r="CT798" s="90">
        <f t="shared" si="96"/>
        <v>1</v>
      </c>
      <c r="CU798" s="90">
        <f t="shared" si="97"/>
        <v>1</v>
      </c>
    </row>
    <row r="799" spans="1:99" ht="12" customHeight="1">
      <c r="A799" s="43">
        <v>6649</v>
      </c>
      <c r="B799" s="89" t="s">
        <v>1515</v>
      </c>
      <c r="C799" s="89" t="s">
        <v>2227</v>
      </c>
      <c r="D799" s="89" t="s">
        <v>2228</v>
      </c>
      <c r="F799" s="43">
        <v>526076</v>
      </c>
      <c r="G799" s="43">
        <v>174533</v>
      </c>
      <c r="H799" s="89" t="s">
        <v>170</v>
      </c>
      <c r="K799" s="140">
        <v>2</v>
      </c>
      <c r="L799" s="140">
        <v>1</v>
      </c>
      <c r="M799" s="140">
        <v>-1</v>
      </c>
      <c r="N799" s="140">
        <v>1</v>
      </c>
      <c r="O799" s="140">
        <v>-1</v>
      </c>
      <c r="Q799" s="89" t="s">
        <v>2229</v>
      </c>
      <c r="R799" s="43" t="s">
        <v>316</v>
      </c>
      <c r="S799" s="125">
        <v>42934</v>
      </c>
      <c r="T799" s="117">
        <v>42985</v>
      </c>
      <c r="V799" s="43" t="s">
        <v>317</v>
      </c>
      <c r="X799" s="43" t="s">
        <v>318</v>
      </c>
      <c r="Y799" s="43" t="s">
        <v>348</v>
      </c>
      <c r="Z799" s="43" t="s">
        <v>320</v>
      </c>
      <c r="AA799" s="43" t="s">
        <v>22</v>
      </c>
      <c r="AB799" s="144">
        <v>2.4000000208616298E-2</v>
      </c>
      <c r="AF799" s="43" t="s">
        <v>75</v>
      </c>
      <c r="AG799" s="43" t="s">
        <v>322</v>
      </c>
      <c r="AJ799" s="140">
        <v>0</v>
      </c>
      <c r="AK799" s="140">
        <v>0</v>
      </c>
      <c r="AL799" s="140">
        <v>0</v>
      </c>
      <c r="AM799" s="140">
        <v>0</v>
      </c>
      <c r="AN799" s="140">
        <v>0</v>
      </c>
      <c r="AO799" s="140">
        <v>0</v>
      </c>
      <c r="AP799" s="140">
        <v>-2</v>
      </c>
      <c r="AQ799" s="140">
        <v>0</v>
      </c>
      <c r="AR799" s="140">
        <v>1</v>
      </c>
      <c r="AS799" s="140">
        <v>0</v>
      </c>
      <c r="AT799" s="140">
        <v>0</v>
      </c>
      <c r="AU799" s="140">
        <v>0</v>
      </c>
      <c r="AV799" s="140">
        <v>0</v>
      </c>
      <c r="AW799" s="140">
        <v>-2</v>
      </c>
      <c r="AX799" s="140">
        <v>0</v>
      </c>
      <c r="AY799" s="140">
        <v>0</v>
      </c>
      <c r="AZ799" s="140">
        <v>0</v>
      </c>
      <c r="BA799" s="140">
        <v>0</v>
      </c>
      <c r="BB799" s="140">
        <v>0</v>
      </c>
      <c r="BC799" s="140">
        <v>0</v>
      </c>
      <c r="BD799" s="140">
        <v>0</v>
      </c>
      <c r="BE799" s="140">
        <v>0</v>
      </c>
      <c r="BF799" s="140">
        <v>1</v>
      </c>
      <c r="BG799" s="140">
        <v>0</v>
      </c>
      <c r="BH799" s="140">
        <v>0</v>
      </c>
      <c r="BI799" s="140">
        <v>0</v>
      </c>
      <c r="BJ799" s="140">
        <v>0</v>
      </c>
      <c r="BK799" s="140">
        <v>0</v>
      </c>
      <c r="BL799" s="140">
        <v>0</v>
      </c>
      <c r="BM799" s="140">
        <v>0</v>
      </c>
      <c r="BN799" s="140">
        <v>0</v>
      </c>
      <c r="BO799" s="140">
        <v>0</v>
      </c>
      <c r="BX799" s="43">
        <v>15</v>
      </c>
      <c r="BZ799" s="90">
        <f t="shared" si="102"/>
        <v>-0.33333333333333331</v>
      </c>
      <c r="CA799" s="90">
        <f t="shared" si="102"/>
        <v>-0.33333333333333331</v>
      </c>
      <c r="CB799" s="90">
        <f t="shared" si="102"/>
        <v>-0.33333333333333331</v>
      </c>
      <c r="CT799" s="90">
        <f t="shared" si="96"/>
        <v>-1</v>
      </c>
      <c r="CU799" s="90">
        <f t="shared" si="97"/>
        <v>-1</v>
      </c>
    </row>
    <row r="800" spans="1:99" ht="12" customHeight="1">
      <c r="A800" s="43">
        <v>6654</v>
      </c>
      <c r="B800" s="89" t="s">
        <v>1515</v>
      </c>
      <c r="C800" s="89" t="s">
        <v>2230</v>
      </c>
      <c r="D800" s="89" t="s">
        <v>2231</v>
      </c>
      <c r="F800" s="43">
        <v>522636</v>
      </c>
      <c r="G800" s="43">
        <v>175154</v>
      </c>
      <c r="H800" s="89" t="s">
        <v>181</v>
      </c>
      <c r="K800" s="140">
        <v>1</v>
      </c>
      <c r="L800" s="140">
        <v>2</v>
      </c>
      <c r="M800" s="140">
        <v>1</v>
      </c>
      <c r="N800" s="140">
        <v>2</v>
      </c>
      <c r="O800" s="140">
        <v>1</v>
      </c>
      <c r="Q800" s="89" t="s">
        <v>2232</v>
      </c>
      <c r="R800" s="43" t="s">
        <v>316</v>
      </c>
      <c r="S800" s="125">
        <v>42936</v>
      </c>
      <c r="T800" s="117">
        <v>42991</v>
      </c>
      <c r="V800" s="43" t="s">
        <v>317</v>
      </c>
      <c r="X800" s="43" t="s">
        <v>318</v>
      </c>
      <c r="Y800" s="43" t="s">
        <v>319</v>
      </c>
      <c r="Z800" s="43" t="s">
        <v>320</v>
      </c>
      <c r="AA800" s="43" t="s">
        <v>20</v>
      </c>
      <c r="AB800" s="144">
        <v>2.3000000044703501E-2</v>
      </c>
      <c r="AF800" s="43" t="s">
        <v>75</v>
      </c>
      <c r="AG800" s="43" t="s">
        <v>322</v>
      </c>
      <c r="AJ800" s="140">
        <v>0</v>
      </c>
      <c r="AK800" s="140">
        <v>0</v>
      </c>
      <c r="AL800" s="140">
        <v>0</v>
      </c>
      <c r="AM800" s="140">
        <v>0</v>
      </c>
      <c r="AN800" s="140">
        <v>0</v>
      </c>
      <c r="AO800" s="140">
        <v>0</v>
      </c>
      <c r="AP800" s="140">
        <v>1</v>
      </c>
      <c r="AQ800" s="140">
        <v>0</v>
      </c>
      <c r="AR800" s="140">
        <v>0</v>
      </c>
      <c r="AS800" s="140">
        <v>0</v>
      </c>
      <c r="AT800" s="140">
        <v>0</v>
      </c>
      <c r="AU800" s="140">
        <v>0</v>
      </c>
      <c r="AV800" s="140">
        <v>0</v>
      </c>
      <c r="AW800" s="140">
        <v>1</v>
      </c>
      <c r="AX800" s="140">
        <v>1</v>
      </c>
      <c r="AY800" s="140">
        <v>0</v>
      </c>
      <c r="AZ800" s="140">
        <v>0</v>
      </c>
      <c r="BA800" s="140">
        <v>0</v>
      </c>
      <c r="BB800" s="140">
        <v>0</v>
      </c>
      <c r="BC800" s="140">
        <v>0</v>
      </c>
      <c r="BD800" s="140">
        <v>0</v>
      </c>
      <c r="BE800" s="140">
        <v>-1</v>
      </c>
      <c r="BF800" s="140">
        <v>0</v>
      </c>
      <c r="BG800" s="140">
        <v>0</v>
      </c>
      <c r="BH800" s="140">
        <v>0</v>
      </c>
      <c r="BI800" s="140">
        <v>0</v>
      </c>
      <c r="BJ800" s="140">
        <v>0</v>
      </c>
      <c r="BK800" s="140">
        <v>0</v>
      </c>
      <c r="BL800" s="140">
        <v>0</v>
      </c>
      <c r="BM800" s="140">
        <v>0</v>
      </c>
      <c r="BN800" s="140">
        <v>0</v>
      </c>
      <c r="BO800" s="140">
        <v>0</v>
      </c>
      <c r="BX800" s="43">
        <v>15</v>
      </c>
      <c r="BZ800" s="90">
        <f t="shared" si="102"/>
        <v>0.33333333333333331</v>
      </c>
      <c r="CA800" s="90">
        <f t="shared" si="102"/>
        <v>0.33333333333333331</v>
      </c>
      <c r="CB800" s="90">
        <f t="shared" si="102"/>
        <v>0.33333333333333331</v>
      </c>
      <c r="CT800" s="90">
        <f t="shared" si="96"/>
        <v>1</v>
      </c>
      <c r="CU800" s="90">
        <f t="shared" si="97"/>
        <v>1</v>
      </c>
    </row>
    <row r="801" spans="1:99" ht="12" customHeight="1">
      <c r="A801" s="43">
        <v>6658</v>
      </c>
      <c r="B801" s="89" t="s">
        <v>1515</v>
      </c>
      <c r="C801" s="89" t="s">
        <v>2233</v>
      </c>
      <c r="D801" s="89" t="s">
        <v>2234</v>
      </c>
      <c r="F801" s="43">
        <v>528711</v>
      </c>
      <c r="G801" s="43">
        <v>176946</v>
      </c>
      <c r="H801" s="89" t="s">
        <v>148</v>
      </c>
      <c r="K801" s="140">
        <v>6</v>
      </c>
      <c r="L801" s="140">
        <v>8</v>
      </c>
      <c r="M801" s="140">
        <v>2</v>
      </c>
      <c r="N801" s="140">
        <v>8</v>
      </c>
      <c r="O801" s="140">
        <v>2</v>
      </c>
      <c r="Q801" s="89" t="s">
        <v>2235</v>
      </c>
      <c r="R801" s="43" t="s">
        <v>316</v>
      </c>
      <c r="S801" s="125">
        <v>42942</v>
      </c>
      <c r="T801" s="117">
        <v>43238</v>
      </c>
      <c r="V801" s="43" t="s">
        <v>317</v>
      </c>
      <c r="X801" s="43" t="s">
        <v>318</v>
      </c>
      <c r="Y801" s="43" t="s">
        <v>319</v>
      </c>
      <c r="Z801" s="43" t="s">
        <v>320</v>
      </c>
      <c r="AA801" s="43" t="s">
        <v>321</v>
      </c>
      <c r="AB801" s="144">
        <v>2.3000000044703501E-2</v>
      </c>
      <c r="AF801" s="43" t="s">
        <v>75</v>
      </c>
      <c r="AG801" s="43" t="s">
        <v>322</v>
      </c>
      <c r="AJ801" s="140">
        <v>0</v>
      </c>
      <c r="AK801" s="140">
        <v>0</v>
      </c>
      <c r="AL801" s="140">
        <v>0</v>
      </c>
      <c r="AM801" s="140">
        <v>0</v>
      </c>
      <c r="AN801" s="140">
        <v>0</v>
      </c>
      <c r="AO801" s="140">
        <v>1</v>
      </c>
      <c r="AP801" s="140">
        <v>3</v>
      </c>
      <c r="AQ801" s="140">
        <v>-2</v>
      </c>
      <c r="AR801" s="140">
        <v>0</v>
      </c>
      <c r="AS801" s="140">
        <v>0</v>
      </c>
      <c r="AT801" s="140">
        <v>0</v>
      </c>
      <c r="AU801" s="140">
        <v>0</v>
      </c>
      <c r="AV801" s="140">
        <v>1</v>
      </c>
      <c r="AW801" s="140">
        <v>3</v>
      </c>
      <c r="AX801" s="140">
        <v>-2</v>
      </c>
      <c r="AY801" s="140">
        <v>0</v>
      </c>
      <c r="AZ801" s="140">
        <v>0</v>
      </c>
      <c r="BA801" s="140">
        <v>0</v>
      </c>
      <c r="BB801" s="140">
        <v>0</v>
      </c>
      <c r="BC801" s="140">
        <v>0</v>
      </c>
      <c r="BD801" s="140">
        <v>0</v>
      </c>
      <c r="BE801" s="140">
        <v>0</v>
      </c>
      <c r="BF801" s="140">
        <v>0</v>
      </c>
      <c r="BG801" s="140">
        <v>0</v>
      </c>
      <c r="BH801" s="140">
        <v>0</v>
      </c>
      <c r="BI801" s="140">
        <v>0</v>
      </c>
      <c r="BJ801" s="140">
        <v>0</v>
      </c>
      <c r="BK801" s="140">
        <v>0</v>
      </c>
      <c r="BL801" s="140">
        <v>0</v>
      </c>
      <c r="BM801" s="140">
        <v>0</v>
      </c>
      <c r="BN801" s="140">
        <v>0</v>
      </c>
      <c r="BO801" s="140">
        <v>0</v>
      </c>
      <c r="BQ801" s="43" t="s">
        <v>329</v>
      </c>
      <c r="BX801" s="43">
        <v>18</v>
      </c>
      <c r="CA801" s="90">
        <f t="shared" ref="CA801:CD802" si="103">$M801/4</f>
        <v>0.5</v>
      </c>
      <c r="CB801" s="90">
        <f t="shared" si="103"/>
        <v>0.5</v>
      </c>
      <c r="CC801" s="90">
        <f t="shared" si="103"/>
        <v>0.5</v>
      </c>
      <c r="CD801" s="90">
        <f t="shared" si="103"/>
        <v>0.5</v>
      </c>
      <c r="CT801" s="90">
        <f t="shared" si="96"/>
        <v>2</v>
      </c>
      <c r="CU801" s="90">
        <f t="shared" si="97"/>
        <v>2</v>
      </c>
    </row>
    <row r="802" spans="1:99" ht="12" customHeight="1">
      <c r="A802" s="43">
        <v>6660</v>
      </c>
      <c r="B802" s="89" t="s">
        <v>1515</v>
      </c>
      <c r="C802" s="89" t="s">
        <v>2236</v>
      </c>
      <c r="D802" s="89" t="s">
        <v>2237</v>
      </c>
      <c r="F802" s="43">
        <v>527260</v>
      </c>
      <c r="G802" s="43">
        <v>175041</v>
      </c>
      <c r="H802" s="89" t="s">
        <v>174</v>
      </c>
      <c r="K802" s="140">
        <v>0</v>
      </c>
      <c r="L802" s="140">
        <v>1</v>
      </c>
      <c r="M802" s="140">
        <v>1</v>
      </c>
      <c r="N802" s="140">
        <v>1</v>
      </c>
      <c r="O802" s="140">
        <v>1</v>
      </c>
      <c r="Q802" s="89" t="s">
        <v>2238</v>
      </c>
      <c r="R802" s="43" t="s">
        <v>316</v>
      </c>
      <c r="S802" s="125">
        <v>43543</v>
      </c>
      <c r="T802" s="117">
        <v>43609</v>
      </c>
      <c r="U802" s="43" t="s">
        <v>329</v>
      </c>
      <c r="V802" s="43" t="s">
        <v>317</v>
      </c>
      <c r="X802" s="43" t="s">
        <v>318</v>
      </c>
      <c r="Y802" s="43" t="s">
        <v>361</v>
      </c>
      <c r="Z802" s="43" t="s">
        <v>320</v>
      </c>
      <c r="AA802" s="43" t="s">
        <v>353</v>
      </c>
      <c r="AB802" s="144">
        <v>7.0000002160668399E-3</v>
      </c>
      <c r="AF802" s="43" t="s">
        <v>75</v>
      </c>
      <c r="AG802" s="43" t="s">
        <v>322</v>
      </c>
      <c r="AJ802" s="140">
        <v>0</v>
      </c>
      <c r="AK802" s="140">
        <v>0</v>
      </c>
      <c r="AL802" s="140">
        <v>0</v>
      </c>
      <c r="AM802" s="140">
        <v>0</v>
      </c>
      <c r="AN802" s="140">
        <v>0</v>
      </c>
      <c r="AO802" s="140">
        <v>0</v>
      </c>
      <c r="AP802" s="140">
        <v>1</v>
      </c>
      <c r="AQ802" s="140">
        <v>0</v>
      </c>
      <c r="AR802" s="140">
        <v>0</v>
      </c>
      <c r="AS802" s="140">
        <v>0</v>
      </c>
      <c r="AT802" s="140">
        <v>0</v>
      </c>
      <c r="AU802" s="140">
        <v>0</v>
      </c>
      <c r="AV802" s="140">
        <v>0</v>
      </c>
      <c r="AW802" s="140">
        <v>0</v>
      </c>
      <c r="AX802" s="140">
        <v>0</v>
      </c>
      <c r="AY802" s="140">
        <v>0</v>
      </c>
      <c r="AZ802" s="140">
        <v>0</v>
      </c>
      <c r="BA802" s="140">
        <v>0</v>
      </c>
      <c r="BB802" s="140">
        <v>0</v>
      </c>
      <c r="BC802" s="140">
        <v>0</v>
      </c>
      <c r="BD802" s="140">
        <v>1</v>
      </c>
      <c r="BE802" s="140">
        <v>0</v>
      </c>
      <c r="BF802" s="140">
        <v>0</v>
      </c>
      <c r="BG802" s="140">
        <v>0</v>
      </c>
      <c r="BH802" s="140">
        <v>0</v>
      </c>
      <c r="BI802" s="140">
        <v>0</v>
      </c>
      <c r="BJ802" s="140">
        <v>0</v>
      </c>
      <c r="BK802" s="140">
        <v>0</v>
      </c>
      <c r="BL802" s="140">
        <v>0</v>
      </c>
      <c r="BM802" s="140">
        <v>0</v>
      </c>
      <c r="BN802" s="140">
        <v>0</v>
      </c>
      <c r="BO802" s="140">
        <v>0</v>
      </c>
      <c r="BX802" s="43">
        <v>6</v>
      </c>
      <c r="CA802" s="90">
        <f t="shared" si="103"/>
        <v>0.25</v>
      </c>
      <c r="CB802" s="90">
        <f t="shared" si="103"/>
        <v>0.25</v>
      </c>
      <c r="CC802" s="90">
        <f t="shared" si="103"/>
        <v>0.25</v>
      </c>
      <c r="CD802" s="90">
        <f t="shared" si="103"/>
        <v>0.25</v>
      </c>
      <c r="CT802" s="90">
        <f t="shared" si="96"/>
        <v>1</v>
      </c>
      <c r="CU802" s="90">
        <f t="shared" si="97"/>
        <v>1</v>
      </c>
    </row>
    <row r="803" spans="1:99" ht="12" customHeight="1">
      <c r="A803" s="43">
        <v>6662</v>
      </c>
      <c r="B803" s="89" t="s">
        <v>1515</v>
      </c>
      <c r="C803" s="89" t="s">
        <v>2239</v>
      </c>
      <c r="D803" s="89" t="s">
        <v>2240</v>
      </c>
      <c r="F803" s="43">
        <v>525227</v>
      </c>
      <c r="G803" s="43">
        <v>173755</v>
      </c>
      <c r="H803" s="89" t="s">
        <v>176</v>
      </c>
      <c r="K803" s="140">
        <v>0</v>
      </c>
      <c r="L803" s="140">
        <v>1</v>
      </c>
      <c r="M803" s="140">
        <v>1</v>
      </c>
      <c r="N803" s="140">
        <v>1</v>
      </c>
      <c r="O803" s="140">
        <v>1</v>
      </c>
      <c r="Q803" s="89" t="s">
        <v>2241</v>
      </c>
      <c r="R803" s="43" t="s">
        <v>316</v>
      </c>
      <c r="S803" s="125">
        <v>43678</v>
      </c>
      <c r="T803" s="117">
        <v>43717</v>
      </c>
      <c r="U803" s="43" t="s">
        <v>329</v>
      </c>
      <c r="V803" s="43" t="s">
        <v>317</v>
      </c>
      <c r="X803" s="43" t="s">
        <v>318</v>
      </c>
      <c r="Y803" s="43" t="s">
        <v>336</v>
      </c>
      <c r="Z803" s="43" t="s">
        <v>320</v>
      </c>
      <c r="AA803" s="43" t="s">
        <v>33</v>
      </c>
      <c r="AB803" s="144">
        <v>4.9999998882412902E-3</v>
      </c>
      <c r="AF803" s="43" t="s">
        <v>75</v>
      </c>
      <c r="AG803" s="43" t="s">
        <v>322</v>
      </c>
      <c r="AJ803" s="140">
        <v>0</v>
      </c>
      <c r="AK803" s="140">
        <v>0</v>
      </c>
      <c r="AL803" s="140">
        <v>0</v>
      </c>
      <c r="AM803" s="140">
        <v>0</v>
      </c>
      <c r="AN803" s="140">
        <v>0</v>
      </c>
      <c r="AO803" s="140">
        <v>0</v>
      </c>
      <c r="AP803" s="140">
        <v>1</v>
      </c>
      <c r="AQ803" s="140">
        <v>0</v>
      </c>
      <c r="AR803" s="140">
        <v>0</v>
      </c>
      <c r="AS803" s="140">
        <v>0</v>
      </c>
      <c r="AT803" s="140">
        <v>0</v>
      </c>
      <c r="AU803" s="140">
        <v>0</v>
      </c>
      <c r="AV803" s="140">
        <v>0</v>
      </c>
      <c r="AW803" s="140">
        <v>1</v>
      </c>
      <c r="AX803" s="140">
        <v>0</v>
      </c>
      <c r="AY803" s="140">
        <v>0</v>
      </c>
      <c r="AZ803" s="140">
        <v>0</v>
      </c>
      <c r="BA803" s="140">
        <v>0</v>
      </c>
      <c r="BB803" s="140">
        <v>0</v>
      </c>
      <c r="BC803" s="140">
        <v>0</v>
      </c>
      <c r="BD803" s="140">
        <v>0</v>
      </c>
      <c r="BE803" s="140">
        <v>0</v>
      </c>
      <c r="BF803" s="140">
        <v>0</v>
      </c>
      <c r="BG803" s="140">
        <v>0</v>
      </c>
      <c r="BH803" s="140">
        <v>0</v>
      </c>
      <c r="BI803" s="140">
        <v>0</v>
      </c>
      <c r="BJ803" s="140">
        <v>0</v>
      </c>
      <c r="BK803" s="140">
        <v>0</v>
      </c>
      <c r="BL803" s="140">
        <v>0</v>
      </c>
      <c r="BM803" s="140">
        <v>0</v>
      </c>
      <c r="BN803" s="140">
        <v>0</v>
      </c>
      <c r="BO803" s="140">
        <v>0</v>
      </c>
      <c r="BX803" s="43">
        <v>15</v>
      </c>
      <c r="BZ803" s="90">
        <f t="shared" ref="BZ803:CB805" si="104">$M803/3</f>
        <v>0.33333333333333331</v>
      </c>
      <c r="CA803" s="90">
        <f t="shared" si="104"/>
        <v>0.33333333333333331</v>
      </c>
      <c r="CB803" s="90">
        <f t="shared" si="104"/>
        <v>0.33333333333333331</v>
      </c>
      <c r="CT803" s="90">
        <f t="shared" si="96"/>
        <v>1</v>
      </c>
      <c r="CU803" s="90">
        <f t="shared" si="97"/>
        <v>1</v>
      </c>
    </row>
    <row r="804" spans="1:99" ht="12" customHeight="1">
      <c r="A804" s="43">
        <v>6665</v>
      </c>
      <c r="B804" s="89" t="s">
        <v>1515</v>
      </c>
      <c r="C804" s="89" t="s">
        <v>2242</v>
      </c>
      <c r="D804" s="89" t="s">
        <v>2243</v>
      </c>
      <c r="F804" s="43">
        <v>528744</v>
      </c>
      <c r="G804" s="43">
        <v>173591</v>
      </c>
      <c r="H804" s="89" t="s">
        <v>138</v>
      </c>
      <c r="K804" s="140">
        <v>0</v>
      </c>
      <c r="L804" s="140">
        <v>1</v>
      </c>
      <c r="M804" s="140">
        <v>1</v>
      </c>
      <c r="N804" s="140">
        <v>2</v>
      </c>
      <c r="O804" s="140">
        <v>2</v>
      </c>
      <c r="Q804" s="89" t="s">
        <v>2244</v>
      </c>
      <c r="R804" s="43" t="s">
        <v>316</v>
      </c>
      <c r="S804" s="125">
        <v>42950</v>
      </c>
      <c r="T804" s="117">
        <v>43063</v>
      </c>
      <c r="V804" s="43" t="s">
        <v>317</v>
      </c>
      <c r="X804" s="43" t="s">
        <v>318</v>
      </c>
      <c r="Y804" s="43" t="s">
        <v>336</v>
      </c>
      <c r="Z804" s="43" t="s">
        <v>320</v>
      </c>
      <c r="AA804" s="43" t="s">
        <v>36</v>
      </c>
      <c r="AB804" s="144">
        <v>2.0000000949949E-3</v>
      </c>
      <c r="AF804" s="43" t="s">
        <v>75</v>
      </c>
      <c r="AG804" s="43" t="s">
        <v>322</v>
      </c>
      <c r="AJ804" s="140">
        <v>0</v>
      </c>
      <c r="AK804" s="140">
        <v>0</v>
      </c>
      <c r="AL804" s="140">
        <v>0</v>
      </c>
      <c r="AM804" s="140">
        <v>0</v>
      </c>
      <c r="AN804" s="140">
        <v>0</v>
      </c>
      <c r="AO804" s="140">
        <v>1</v>
      </c>
      <c r="AP804" s="140">
        <v>0</v>
      </c>
      <c r="AQ804" s="140">
        <v>0</v>
      </c>
      <c r="AR804" s="140">
        <v>0</v>
      </c>
      <c r="AS804" s="140">
        <v>0</v>
      </c>
      <c r="AT804" s="140">
        <v>0</v>
      </c>
      <c r="AU804" s="140">
        <v>0</v>
      </c>
      <c r="AV804" s="140">
        <v>1</v>
      </c>
      <c r="AW804" s="140">
        <v>0</v>
      </c>
      <c r="AX804" s="140">
        <v>0</v>
      </c>
      <c r="AY804" s="140">
        <v>0</v>
      </c>
      <c r="AZ804" s="140">
        <v>0</v>
      </c>
      <c r="BA804" s="140">
        <v>0</v>
      </c>
      <c r="BB804" s="140">
        <v>0</v>
      </c>
      <c r="BC804" s="140">
        <v>0</v>
      </c>
      <c r="BD804" s="140">
        <v>0</v>
      </c>
      <c r="BE804" s="140">
        <v>0</v>
      </c>
      <c r="BF804" s="140">
        <v>0</v>
      </c>
      <c r="BG804" s="140">
        <v>0</v>
      </c>
      <c r="BH804" s="140">
        <v>0</v>
      </c>
      <c r="BI804" s="140">
        <v>0</v>
      </c>
      <c r="BJ804" s="140">
        <v>0</v>
      </c>
      <c r="BK804" s="140">
        <v>0</v>
      </c>
      <c r="BL804" s="140">
        <v>0</v>
      </c>
      <c r="BM804" s="140">
        <v>0</v>
      </c>
      <c r="BN804" s="140">
        <v>0</v>
      </c>
      <c r="BO804" s="140">
        <v>0</v>
      </c>
      <c r="BX804" s="43">
        <v>15</v>
      </c>
      <c r="BZ804" s="90">
        <f t="shared" si="104"/>
        <v>0.33333333333333331</v>
      </c>
      <c r="CA804" s="90">
        <f t="shared" si="104"/>
        <v>0.33333333333333331</v>
      </c>
      <c r="CB804" s="90">
        <f t="shared" si="104"/>
        <v>0.33333333333333331</v>
      </c>
      <c r="CT804" s="90">
        <f t="shared" si="96"/>
        <v>1</v>
      </c>
      <c r="CU804" s="90">
        <f t="shared" si="97"/>
        <v>1</v>
      </c>
    </row>
    <row r="805" spans="1:99" ht="12" customHeight="1">
      <c r="A805" s="43">
        <v>6665</v>
      </c>
      <c r="B805" s="89" t="s">
        <v>1515</v>
      </c>
      <c r="C805" s="89" t="s">
        <v>2242</v>
      </c>
      <c r="D805" s="89" t="s">
        <v>2243</v>
      </c>
      <c r="F805" s="43">
        <v>528744</v>
      </c>
      <c r="G805" s="43">
        <v>173591</v>
      </c>
      <c r="H805" s="89" t="s">
        <v>138</v>
      </c>
      <c r="K805" s="140">
        <v>0</v>
      </c>
      <c r="L805" s="140">
        <v>1</v>
      </c>
      <c r="M805" s="140">
        <v>1</v>
      </c>
      <c r="N805" s="140">
        <v>2</v>
      </c>
      <c r="O805" s="140">
        <v>2</v>
      </c>
      <c r="Q805" s="89" t="s">
        <v>2244</v>
      </c>
      <c r="R805" s="43" t="s">
        <v>316</v>
      </c>
      <c r="S805" s="125">
        <v>42950</v>
      </c>
      <c r="T805" s="117">
        <v>43063</v>
      </c>
      <c r="V805" s="43" t="s">
        <v>317</v>
      </c>
      <c r="X805" s="43" t="s">
        <v>318</v>
      </c>
      <c r="Y805" s="43" t="s">
        <v>336</v>
      </c>
      <c r="Z805" s="43" t="s">
        <v>320</v>
      </c>
      <c r="AA805" s="43" t="s">
        <v>353</v>
      </c>
      <c r="AB805" s="144">
        <v>4.9999998882412902E-3</v>
      </c>
      <c r="AF805" s="43" t="s">
        <v>75</v>
      </c>
      <c r="AG805" s="43" t="s">
        <v>322</v>
      </c>
      <c r="AJ805" s="140">
        <v>0</v>
      </c>
      <c r="AK805" s="140">
        <v>0</v>
      </c>
      <c r="AL805" s="140">
        <v>0</v>
      </c>
      <c r="AM805" s="140">
        <v>0</v>
      </c>
      <c r="AN805" s="140">
        <v>0</v>
      </c>
      <c r="AO805" s="140">
        <v>1</v>
      </c>
      <c r="AP805" s="140">
        <v>0</v>
      </c>
      <c r="AQ805" s="140">
        <v>0</v>
      </c>
      <c r="AR805" s="140">
        <v>0</v>
      </c>
      <c r="AS805" s="140">
        <v>0</v>
      </c>
      <c r="AT805" s="140">
        <v>0</v>
      </c>
      <c r="AU805" s="140">
        <v>0</v>
      </c>
      <c r="AV805" s="140">
        <v>1</v>
      </c>
      <c r="AW805" s="140">
        <v>0</v>
      </c>
      <c r="AX805" s="140">
        <v>0</v>
      </c>
      <c r="AY805" s="140">
        <v>0</v>
      </c>
      <c r="AZ805" s="140">
        <v>0</v>
      </c>
      <c r="BA805" s="140">
        <v>0</v>
      </c>
      <c r="BB805" s="140">
        <v>0</v>
      </c>
      <c r="BC805" s="140">
        <v>0</v>
      </c>
      <c r="BD805" s="140">
        <v>0</v>
      </c>
      <c r="BE805" s="140">
        <v>0</v>
      </c>
      <c r="BF805" s="140">
        <v>0</v>
      </c>
      <c r="BG805" s="140">
        <v>0</v>
      </c>
      <c r="BH805" s="140">
        <v>0</v>
      </c>
      <c r="BI805" s="140">
        <v>0</v>
      </c>
      <c r="BJ805" s="140">
        <v>0</v>
      </c>
      <c r="BK805" s="140">
        <v>0</v>
      </c>
      <c r="BL805" s="140">
        <v>0</v>
      </c>
      <c r="BM805" s="140">
        <v>0</v>
      </c>
      <c r="BN805" s="140">
        <v>0</v>
      </c>
      <c r="BO805" s="140">
        <v>0</v>
      </c>
      <c r="BX805" s="43">
        <v>15</v>
      </c>
      <c r="BZ805" s="90">
        <f t="shared" si="104"/>
        <v>0.33333333333333331</v>
      </c>
      <c r="CA805" s="90">
        <f t="shared" si="104"/>
        <v>0.33333333333333331</v>
      </c>
      <c r="CB805" s="90">
        <f t="shared" si="104"/>
        <v>0.33333333333333331</v>
      </c>
      <c r="CT805" s="90">
        <f t="shared" si="96"/>
        <v>1</v>
      </c>
      <c r="CU805" s="90">
        <f t="shared" si="97"/>
        <v>1</v>
      </c>
    </row>
    <row r="806" spans="1:99" ht="12" customHeight="1">
      <c r="A806" s="43">
        <v>6667</v>
      </c>
      <c r="B806" s="89" t="s">
        <v>1515</v>
      </c>
      <c r="C806" s="89" t="s">
        <v>2245</v>
      </c>
      <c r="D806" s="89" t="s">
        <v>2246</v>
      </c>
      <c r="F806" s="43">
        <v>524795</v>
      </c>
      <c r="G806" s="43">
        <v>174423</v>
      </c>
      <c r="H806" s="89" t="s">
        <v>169</v>
      </c>
      <c r="K806" s="140">
        <v>1</v>
      </c>
      <c r="L806" s="140">
        <v>1</v>
      </c>
      <c r="M806" s="140">
        <v>0</v>
      </c>
      <c r="N806" s="140">
        <v>1</v>
      </c>
      <c r="O806" s="140">
        <v>0</v>
      </c>
      <c r="Q806" s="89" t="s">
        <v>2247</v>
      </c>
      <c r="R806" s="43" t="s">
        <v>316</v>
      </c>
      <c r="S806" s="125">
        <v>42949</v>
      </c>
      <c r="T806" s="117">
        <v>43063</v>
      </c>
      <c r="V806" s="43" t="s">
        <v>317</v>
      </c>
      <c r="X806" s="43" t="s">
        <v>318</v>
      </c>
      <c r="Y806" s="43" t="s">
        <v>361</v>
      </c>
      <c r="Z806" s="43" t="s">
        <v>320</v>
      </c>
      <c r="AA806" s="43" t="s">
        <v>353</v>
      </c>
      <c r="AB806" s="144">
        <v>4.3000001460313797E-2</v>
      </c>
      <c r="AF806" s="43" t="s">
        <v>75</v>
      </c>
      <c r="AG806" s="43" t="s">
        <v>322</v>
      </c>
      <c r="AJ806" s="140">
        <v>0</v>
      </c>
      <c r="AK806" s="140">
        <v>0</v>
      </c>
      <c r="AL806" s="140">
        <v>0</v>
      </c>
      <c r="AM806" s="140">
        <v>0</v>
      </c>
      <c r="AN806" s="140">
        <v>0</v>
      </c>
      <c r="AO806" s="140">
        <v>0</v>
      </c>
      <c r="AP806" s="140">
        <v>0</v>
      </c>
      <c r="AQ806" s="140">
        <v>0</v>
      </c>
      <c r="AR806" s="140">
        <v>1</v>
      </c>
      <c r="AS806" s="140">
        <v>-1</v>
      </c>
      <c r="AT806" s="140">
        <v>0</v>
      </c>
      <c r="AU806" s="140">
        <v>0</v>
      </c>
      <c r="AV806" s="140">
        <v>0</v>
      </c>
      <c r="AW806" s="140">
        <v>0</v>
      </c>
      <c r="AX806" s="140">
        <v>0</v>
      </c>
      <c r="AY806" s="140">
        <v>0</v>
      </c>
      <c r="AZ806" s="140">
        <v>0</v>
      </c>
      <c r="BA806" s="140">
        <v>0</v>
      </c>
      <c r="BB806" s="140">
        <v>0</v>
      </c>
      <c r="BC806" s="140">
        <v>0</v>
      </c>
      <c r="BD806" s="140">
        <v>0</v>
      </c>
      <c r="BE806" s="140">
        <v>0</v>
      </c>
      <c r="BF806" s="140">
        <v>1</v>
      </c>
      <c r="BG806" s="140">
        <v>-1</v>
      </c>
      <c r="BH806" s="140">
        <v>0</v>
      </c>
      <c r="BI806" s="140">
        <v>0</v>
      </c>
      <c r="BJ806" s="140">
        <v>0</v>
      </c>
      <c r="BK806" s="140">
        <v>0</v>
      </c>
      <c r="BL806" s="140">
        <v>0</v>
      </c>
      <c r="BM806" s="140">
        <v>0</v>
      </c>
      <c r="BN806" s="140">
        <v>0</v>
      </c>
      <c r="BO806" s="140">
        <v>0</v>
      </c>
      <c r="BX806" s="43">
        <v>6</v>
      </c>
      <c r="CA806" s="90">
        <f t="shared" ref="CA806:CD807" si="105">$M806/4</f>
        <v>0</v>
      </c>
      <c r="CB806" s="90">
        <f t="shared" si="105"/>
        <v>0</v>
      </c>
      <c r="CC806" s="90">
        <f t="shared" si="105"/>
        <v>0</v>
      </c>
      <c r="CD806" s="90">
        <f t="shared" si="105"/>
        <v>0</v>
      </c>
      <c r="CT806" s="90">
        <f t="shared" si="96"/>
        <v>0</v>
      </c>
      <c r="CU806" s="90">
        <f t="shared" si="97"/>
        <v>0</v>
      </c>
    </row>
    <row r="807" spans="1:99" ht="12" customHeight="1">
      <c r="A807" s="43">
        <v>6669</v>
      </c>
      <c r="B807" s="89" t="s">
        <v>1515</v>
      </c>
      <c r="C807" s="89" t="s">
        <v>2248</v>
      </c>
      <c r="D807" s="89" t="s">
        <v>2249</v>
      </c>
      <c r="F807" s="43">
        <v>527101</v>
      </c>
      <c r="G807" s="43">
        <v>170989</v>
      </c>
      <c r="H807" s="89" t="s">
        <v>141</v>
      </c>
      <c r="K807" s="140">
        <v>0</v>
      </c>
      <c r="L807" s="140">
        <v>1</v>
      </c>
      <c r="M807" s="140">
        <v>1</v>
      </c>
      <c r="N807" s="140">
        <v>1</v>
      </c>
      <c r="O807" s="140">
        <v>1</v>
      </c>
      <c r="Q807" s="89" t="s">
        <v>2250</v>
      </c>
      <c r="R807" s="43" t="s">
        <v>316</v>
      </c>
      <c r="S807" s="125">
        <v>43374</v>
      </c>
      <c r="T807" s="117">
        <v>43430</v>
      </c>
      <c r="V807" s="43" t="s">
        <v>317</v>
      </c>
      <c r="X807" s="43" t="s">
        <v>318</v>
      </c>
      <c r="Y807" s="43" t="s">
        <v>361</v>
      </c>
      <c r="Z807" s="43" t="s">
        <v>320</v>
      </c>
      <c r="AA807" s="43" t="s">
        <v>353</v>
      </c>
      <c r="AB807" s="144">
        <v>7.0000002160668399E-3</v>
      </c>
      <c r="AF807" s="43" t="s">
        <v>75</v>
      </c>
      <c r="AG807" s="43" t="s">
        <v>322</v>
      </c>
      <c r="AJ807" s="140">
        <v>0</v>
      </c>
      <c r="AK807" s="140">
        <v>0</v>
      </c>
      <c r="AL807" s="140">
        <v>0</v>
      </c>
      <c r="AM807" s="140">
        <v>0</v>
      </c>
      <c r="AN807" s="140">
        <v>0</v>
      </c>
      <c r="AO807" s="140">
        <v>1</v>
      </c>
      <c r="AP807" s="140">
        <v>0</v>
      </c>
      <c r="AQ807" s="140">
        <v>0</v>
      </c>
      <c r="AR807" s="140">
        <v>0</v>
      </c>
      <c r="AS807" s="140">
        <v>0</v>
      </c>
      <c r="AT807" s="140">
        <v>0</v>
      </c>
      <c r="AU807" s="140">
        <v>0</v>
      </c>
      <c r="AV807" s="140">
        <v>0</v>
      </c>
      <c r="AW807" s="140">
        <v>0</v>
      </c>
      <c r="AX807" s="140">
        <v>0</v>
      </c>
      <c r="AY807" s="140">
        <v>0</v>
      </c>
      <c r="AZ807" s="140">
        <v>0</v>
      </c>
      <c r="BA807" s="140">
        <v>0</v>
      </c>
      <c r="BB807" s="140">
        <v>0</v>
      </c>
      <c r="BC807" s="140">
        <v>1</v>
      </c>
      <c r="BD807" s="140">
        <v>0</v>
      </c>
      <c r="BE807" s="140">
        <v>0</v>
      </c>
      <c r="BF807" s="140">
        <v>0</v>
      </c>
      <c r="BG807" s="140">
        <v>0</v>
      </c>
      <c r="BH807" s="140">
        <v>0</v>
      </c>
      <c r="BI807" s="140">
        <v>0</v>
      </c>
      <c r="BJ807" s="140">
        <v>0</v>
      </c>
      <c r="BK807" s="140">
        <v>0</v>
      </c>
      <c r="BL807" s="140">
        <v>0</v>
      </c>
      <c r="BM807" s="140">
        <v>0</v>
      </c>
      <c r="BN807" s="140">
        <v>0</v>
      </c>
      <c r="BO807" s="140">
        <v>0</v>
      </c>
      <c r="BX807" s="43">
        <v>6</v>
      </c>
      <c r="CA807" s="90">
        <f t="shared" si="105"/>
        <v>0.25</v>
      </c>
      <c r="CB807" s="90">
        <f t="shared" si="105"/>
        <v>0.25</v>
      </c>
      <c r="CC807" s="90">
        <f t="shared" si="105"/>
        <v>0.25</v>
      </c>
      <c r="CD807" s="90">
        <f t="shared" si="105"/>
        <v>0.25</v>
      </c>
      <c r="CT807" s="90">
        <f t="shared" si="96"/>
        <v>1</v>
      </c>
      <c r="CU807" s="90">
        <f t="shared" si="97"/>
        <v>1</v>
      </c>
    </row>
    <row r="808" spans="1:99" ht="12" customHeight="1">
      <c r="A808" s="43">
        <v>6670</v>
      </c>
      <c r="B808" s="89" t="s">
        <v>1515</v>
      </c>
      <c r="C808" s="89" t="s">
        <v>2251</v>
      </c>
      <c r="D808" s="89" t="s">
        <v>2252</v>
      </c>
      <c r="F808" s="43">
        <v>527469</v>
      </c>
      <c r="G808" s="43">
        <v>171617</v>
      </c>
      <c r="H808" s="89" t="s">
        <v>141</v>
      </c>
      <c r="K808" s="140">
        <v>0</v>
      </c>
      <c r="L808" s="140">
        <v>8</v>
      </c>
      <c r="M808" s="140">
        <v>8</v>
      </c>
      <c r="N808" s="140">
        <v>8</v>
      </c>
      <c r="O808" s="140">
        <v>8</v>
      </c>
      <c r="Q808" s="89" t="s">
        <v>2253</v>
      </c>
      <c r="R808" s="43" t="s">
        <v>316</v>
      </c>
      <c r="S808" s="125">
        <v>42958</v>
      </c>
      <c r="T808" s="117">
        <v>43158</v>
      </c>
      <c r="V808" s="43" t="s">
        <v>317</v>
      </c>
      <c r="X808" s="43" t="s">
        <v>318</v>
      </c>
      <c r="Y808" s="43" t="s">
        <v>361</v>
      </c>
      <c r="Z808" s="43" t="s">
        <v>320</v>
      </c>
      <c r="AA808" s="43" t="s">
        <v>353</v>
      </c>
      <c r="AB808" s="144">
        <v>0.11599999666214</v>
      </c>
      <c r="AF808" s="43" t="s">
        <v>75</v>
      </c>
      <c r="AG808" s="43" t="s">
        <v>322</v>
      </c>
      <c r="AJ808" s="140">
        <v>0</v>
      </c>
      <c r="AK808" s="140">
        <v>8</v>
      </c>
      <c r="AL808" s="140">
        <v>0</v>
      </c>
      <c r="AM808" s="140">
        <v>0</v>
      </c>
      <c r="AN808" s="140">
        <v>0</v>
      </c>
      <c r="AO808" s="140">
        <v>2</v>
      </c>
      <c r="AP808" s="140">
        <v>5</v>
      </c>
      <c r="AQ808" s="140">
        <v>1</v>
      </c>
      <c r="AR808" s="140">
        <v>0</v>
      </c>
      <c r="AS808" s="140">
        <v>0</v>
      </c>
      <c r="AT808" s="140">
        <v>0</v>
      </c>
      <c r="AU808" s="140">
        <v>0</v>
      </c>
      <c r="AV808" s="140">
        <v>2</v>
      </c>
      <c r="AW808" s="140">
        <v>3</v>
      </c>
      <c r="AX808" s="140">
        <v>0</v>
      </c>
      <c r="AY808" s="140">
        <v>0</v>
      </c>
      <c r="AZ808" s="140">
        <v>0</v>
      </c>
      <c r="BA808" s="140">
        <v>0</v>
      </c>
      <c r="BB808" s="140">
        <v>0</v>
      </c>
      <c r="BC808" s="140">
        <v>0</v>
      </c>
      <c r="BD808" s="140">
        <v>2</v>
      </c>
      <c r="BE808" s="140">
        <v>1</v>
      </c>
      <c r="BF808" s="140">
        <v>0</v>
      </c>
      <c r="BG808" s="140">
        <v>0</v>
      </c>
      <c r="BH808" s="140">
        <v>0</v>
      </c>
      <c r="BI808" s="140">
        <v>0</v>
      </c>
      <c r="BJ808" s="140">
        <v>0</v>
      </c>
      <c r="BK808" s="140">
        <v>0</v>
      </c>
      <c r="BL808" s="140">
        <v>0</v>
      </c>
      <c r="BM808" s="140">
        <v>0</v>
      </c>
      <c r="BN808" s="140">
        <v>0</v>
      </c>
      <c r="BO808" s="140">
        <v>0</v>
      </c>
      <c r="BP808" s="43" t="s">
        <v>141</v>
      </c>
      <c r="BX808" s="43">
        <v>9</v>
      </c>
      <c r="CC808" s="90">
        <f>$M808/3</f>
        <v>2.6666666666666665</v>
      </c>
      <c r="CD808" s="90">
        <f>$M808/3</f>
        <v>2.6666666666666665</v>
      </c>
      <c r="CE808" s="90">
        <f>$M808/3</f>
        <v>2.6666666666666665</v>
      </c>
      <c r="CT808" s="90">
        <f t="shared" si="96"/>
        <v>5.333333333333333</v>
      </c>
      <c r="CU808" s="90">
        <f t="shared" si="97"/>
        <v>8</v>
      </c>
    </row>
    <row r="809" spans="1:99" ht="12" customHeight="1">
      <c r="A809" s="43">
        <v>6672</v>
      </c>
      <c r="B809" s="89" t="s">
        <v>1515</v>
      </c>
      <c r="C809" s="89" t="s">
        <v>2254</v>
      </c>
      <c r="D809" s="89" t="s">
        <v>2255</v>
      </c>
      <c r="F809" s="43">
        <v>528523</v>
      </c>
      <c r="G809" s="43">
        <v>172269</v>
      </c>
      <c r="H809" s="89" t="s">
        <v>167</v>
      </c>
      <c r="K809" s="140">
        <v>2</v>
      </c>
      <c r="L809" s="140">
        <v>3</v>
      </c>
      <c r="M809" s="140">
        <v>1</v>
      </c>
      <c r="N809" s="140">
        <v>3</v>
      </c>
      <c r="O809" s="140">
        <v>1</v>
      </c>
      <c r="Q809" s="89" t="s">
        <v>2256</v>
      </c>
      <c r="R809" s="43" t="s">
        <v>316</v>
      </c>
      <c r="S809" s="125">
        <v>42954</v>
      </c>
      <c r="T809" s="117">
        <v>43032</v>
      </c>
      <c r="V809" s="43" t="s">
        <v>317</v>
      </c>
      <c r="X809" s="43" t="s">
        <v>318</v>
      </c>
      <c r="Y809" s="43" t="s">
        <v>319</v>
      </c>
      <c r="Z809" s="43" t="s">
        <v>320</v>
      </c>
      <c r="AA809" s="43" t="s">
        <v>636</v>
      </c>
      <c r="AB809" s="144">
        <v>2.8999999165535001E-2</v>
      </c>
      <c r="AF809" s="43" t="s">
        <v>75</v>
      </c>
      <c r="AG809" s="43" t="s">
        <v>322</v>
      </c>
      <c r="AJ809" s="140">
        <v>0</v>
      </c>
      <c r="AK809" s="140">
        <v>0</v>
      </c>
      <c r="AL809" s="140">
        <v>0</v>
      </c>
      <c r="AM809" s="140">
        <v>0</v>
      </c>
      <c r="AN809" s="140">
        <v>-1</v>
      </c>
      <c r="AO809" s="140">
        <v>-1</v>
      </c>
      <c r="AP809" s="140">
        <v>2</v>
      </c>
      <c r="AQ809" s="140">
        <v>1</v>
      </c>
      <c r="AR809" s="140">
        <v>0</v>
      </c>
      <c r="AS809" s="140">
        <v>0</v>
      </c>
      <c r="AT809" s="140">
        <v>0</v>
      </c>
      <c r="AU809" s="140">
        <v>-1</v>
      </c>
      <c r="AV809" s="140">
        <v>-1</v>
      </c>
      <c r="AW809" s="140">
        <v>2</v>
      </c>
      <c r="AX809" s="140">
        <v>1</v>
      </c>
      <c r="AY809" s="140">
        <v>0</v>
      </c>
      <c r="AZ809" s="140">
        <v>0</v>
      </c>
      <c r="BA809" s="140">
        <v>0</v>
      </c>
      <c r="BB809" s="140">
        <v>0</v>
      </c>
      <c r="BC809" s="140">
        <v>0</v>
      </c>
      <c r="BD809" s="140">
        <v>0</v>
      </c>
      <c r="BE809" s="140">
        <v>0</v>
      </c>
      <c r="BF809" s="140">
        <v>0</v>
      </c>
      <c r="BG809" s="140">
        <v>0</v>
      </c>
      <c r="BH809" s="140">
        <v>0</v>
      </c>
      <c r="BI809" s="140">
        <v>0</v>
      </c>
      <c r="BJ809" s="140">
        <v>0</v>
      </c>
      <c r="BK809" s="140">
        <v>0</v>
      </c>
      <c r="BL809" s="140">
        <v>0</v>
      </c>
      <c r="BM809" s="140">
        <v>0</v>
      </c>
      <c r="BN809" s="140">
        <v>0</v>
      </c>
      <c r="BO809" s="140">
        <v>0</v>
      </c>
      <c r="BX809" s="43">
        <v>15</v>
      </c>
      <c r="BZ809" s="90">
        <f>$M809/3</f>
        <v>0.33333333333333331</v>
      </c>
      <c r="CA809" s="90">
        <f>$M809/3</f>
        <v>0.33333333333333331</v>
      </c>
      <c r="CB809" s="90">
        <f>$M809/3</f>
        <v>0.33333333333333331</v>
      </c>
      <c r="CT809" s="90">
        <f t="shared" si="96"/>
        <v>1</v>
      </c>
      <c r="CU809" s="90">
        <f t="shared" si="97"/>
        <v>1</v>
      </c>
    </row>
    <row r="810" spans="1:99" ht="12" customHeight="1">
      <c r="A810" s="43">
        <v>6679</v>
      </c>
      <c r="B810" s="89" t="s">
        <v>1515</v>
      </c>
      <c r="C810" s="89" t="s">
        <v>2257</v>
      </c>
      <c r="D810" s="89" t="s">
        <v>2258</v>
      </c>
      <c r="F810" s="43">
        <v>527032</v>
      </c>
      <c r="G810" s="43">
        <v>171903</v>
      </c>
      <c r="H810" s="89" t="s">
        <v>141</v>
      </c>
      <c r="K810" s="140">
        <v>0</v>
      </c>
      <c r="L810" s="140">
        <v>1</v>
      </c>
      <c r="M810" s="140">
        <v>1</v>
      </c>
      <c r="N810" s="140">
        <v>1</v>
      </c>
      <c r="O810" s="140">
        <v>1</v>
      </c>
      <c r="Q810" s="89" t="s">
        <v>2259</v>
      </c>
      <c r="R810" s="43" t="s">
        <v>316</v>
      </c>
      <c r="S810" s="125">
        <v>43122</v>
      </c>
      <c r="T810" s="117">
        <v>43175</v>
      </c>
      <c r="V810" s="43" t="s">
        <v>317</v>
      </c>
      <c r="X810" s="43" t="s">
        <v>318</v>
      </c>
      <c r="Y810" s="43" t="s">
        <v>361</v>
      </c>
      <c r="Z810" s="43" t="s">
        <v>320</v>
      </c>
      <c r="AA810" s="43" t="s">
        <v>353</v>
      </c>
      <c r="AB810" s="144">
        <v>3.0999999493360499E-2</v>
      </c>
      <c r="AF810" s="43" t="s">
        <v>75</v>
      </c>
      <c r="AG810" s="43" t="s">
        <v>322</v>
      </c>
      <c r="AJ810" s="140">
        <v>0</v>
      </c>
      <c r="AK810" s="140">
        <v>0</v>
      </c>
      <c r="AL810" s="140">
        <v>0</v>
      </c>
      <c r="AM810" s="140">
        <v>0</v>
      </c>
      <c r="AN810" s="140">
        <v>0</v>
      </c>
      <c r="AO810" s="140">
        <v>0</v>
      </c>
      <c r="AP810" s="140">
        <v>1</v>
      </c>
      <c r="AQ810" s="140">
        <v>0</v>
      </c>
      <c r="AR810" s="140">
        <v>0</v>
      </c>
      <c r="AS810" s="140">
        <v>0</v>
      </c>
      <c r="AT810" s="140">
        <v>0</v>
      </c>
      <c r="AU810" s="140">
        <v>0</v>
      </c>
      <c r="AV810" s="140">
        <v>0</v>
      </c>
      <c r="AW810" s="140">
        <v>0</v>
      </c>
      <c r="AX810" s="140">
        <v>0</v>
      </c>
      <c r="AY810" s="140">
        <v>0</v>
      </c>
      <c r="AZ810" s="140">
        <v>0</v>
      </c>
      <c r="BA810" s="140">
        <v>0</v>
      </c>
      <c r="BB810" s="140">
        <v>0</v>
      </c>
      <c r="BC810" s="140">
        <v>0</v>
      </c>
      <c r="BD810" s="140">
        <v>1</v>
      </c>
      <c r="BE810" s="140">
        <v>0</v>
      </c>
      <c r="BF810" s="140">
        <v>0</v>
      </c>
      <c r="BG810" s="140">
        <v>0</v>
      </c>
      <c r="BH810" s="140">
        <v>0</v>
      </c>
      <c r="BI810" s="140">
        <v>0</v>
      </c>
      <c r="BJ810" s="140">
        <v>0</v>
      </c>
      <c r="BK810" s="140">
        <v>0</v>
      </c>
      <c r="BL810" s="140">
        <v>0</v>
      </c>
      <c r="BM810" s="140">
        <v>0</v>
      </c>
      <c r="BN810" s="140">
        <v>0</v>
      </c>
      <c r="BO810" s="140">
        <v>0</v>
      </c>
      <c r="BX810" s="43">
        <v>6</v>
      </c>
      <c r="CA810" s="90">
        <f t="shared" ref="CA810:CD812" si="106">$M810/4</f>
        <v>0.25</v>
      </c>
      <c r="CB810" s="90">
        <f t="shared" si="106"/>
        <v>0.25</v>
      </c>
      <c r="CC810" s="90">
        <f t="shared" si="106"/>
        <v>0.25</v>
      </c>
      <c r="CD810" s="90">
        <f t="shared" si="106"/>
        <v>0.25</v>
      </c>
      <c r="CT810" s="90">
        <f t="shared" si="96"/>
        <v>1</v>
      </c>
      <c r="CU810" s="90">
        <f t="shared" si="97"/>
        <v>1</v>
      </c>
    </row>
    <row r="811" spans="1:99" ht="12" customHeight="1">
      <c r="A811" s="43">
        <v>6690</v>
      </c>
      <c r="B811" s="89" t="s">
        <v>1515</v>
      </c>
      <c r="C811" s="89" t="s">
        <v>2260</v>
      </c>
      <c r="D811" s="89" t="s">
        <v>2261</v>
      </c>
      <c r="F811" s="43">
        <v>523675</v>
      </c>
      <c r="G811" s="43">
        <v>175182</v>
      </c>
      <c r="H811" s="89" t="s">
        <v>178</v>
      </c>
      <c r="K811" s="140">
        <v>0</v>
      </c>
      <c r="L811" s="140">
        <v>1</v>
      </c>
      <c r="M811" s="140">
        <v>1</v>
      </c>
      <c r="N811" s="140">
        <v>1</v>
      </c>
      <c r="O811" s="140">
        <v>1</v>
      </c>
      <c r="Q811" s="89" t="s">
        <v>2262</v>
      </c>
      <c r="R811" s="43" t="s">
        <v>316</v>
      </c>
      <c r="S811" s="125">
        <v>43418</v>
      </c>
      <c r="T811" s="117">
        <v>43486</v>
      </c>
      <c r="V811" s="43" t="s">
        <v>317</v>
      </c>
      <c r="X811" s="43" t="s">
        <v>318</v>
      </c>
      <c r="Y811" s="43" t="s">
        <v>361</v>
      </c>
      <c r="Z811" s="43" t="s">
        <v>320</v>
      </c>
      <c r="AA811" s="43" t="s">
        <v>353</v>
      </c>
      <c r="AB811" s="144">
        <v>4.9999998882412902E-3</v>
      </c>
      <c r="AF811" s="43" t="s">
        <v>75</v>
      </c>
      <c r="AG811" s="43" t="s">
        <v>322</v>
      </c>
      <c r="AJ811" s="140">
        <v>0</v>
      </c>
      <c r="AK811" s="140">
        <v>0</v>
      </c>
      <c r="AL811" s="140">
        <v>0</v>
      </c>
      <c r="AM811" s="140">
        <v>0</v>
      </c>
      <c r="AN811" s="140">
        <v>0</v>
      </c>
      <c r="AO811" s="140">
        <v>1</v>
      </c>
      <c r="AP811" s="140">
        <v>0</v>
      </c>
      <c r="AQ811" s="140">
        <v>0</v>
      </c>
      <c r="AR811" s="140">
        <v>0</v>
      </c>
      <c r="AS811" s="140">
        <v>0</v>
      </c>
      <c r="AT811" s="140">
        <v>0</v>
      </c>
      <c r="AU811" s="140">
        <v>0</v>
      </c>
      <c r="AV811" s="140">
        <v>0</v>
      </c>
      <c r="AW811" s="140">
        <v>0</v>
      </c>
      <c r="AX811" s="140">
        <v>0</v>
      </c>
      <c r="AY811" s="140">
        <v>0</v>
      </c>
      <c r="AZ811" s="140">
        <v>0</v>
      </c>
      <c r="BA811" s="140">
        <v>0</v>
      </c>
      <c r="BB811" s="140">
        <v>0</v>
      </c>
      <c r="BC811" s="140">
        <v>1</v>
      </c>
      <c r="BD811" s="140">
        <v>0</v>
      </c>
      <c r="BE811" s="140">
        <v>0</v>
      </c>
      <c r="BF811" s="140">
        <v>0</v>
      </c>
      <c r="BG811" s="140">
        <v>0</v>
      </c>
      <c r="BH811" s="140">
        <v>0</v>
      </c>
      <c r="BI811" s="140">
        <v>0</v>
      </c>
      <c r="BJ811" s="140">
        <v>0</v>
      </c>
      <c r="BK811" s="140">
        <v>0</v>
      </c>
      <c r="BL811" s="140">
        <v>0</v>
      </c>
      <c r="BM811" s="140">
        <v>0</v>
      </c>
      <c r="BN811" s="140">
        <v>0</v>
      </c>
      <c r="BO811" s="140">
        <v>0</v>
      </c>
      <c r="BP811" s="43" t="s">
        <v>140</v>
      </c>
      <c r="BX811" s="43">
        <v>6</v>
      </c>
      <c r="CA811" s="90">
        <f t="shared" si="106"/>
        <v>0.25</v>
      </c>
      <c r="CB811" s="90">
        <f t="shared" si="106"/>
        <v>0.25</v>
      </c>
      <c r="CC811" s="90">
        <f t="shared" si="106"/>
        <v>0.25</v>
      </c>
      <c r="CD811" s="90">
        <f t="shared" si="106"/>
        <v>0.25</v>
      </c>
      <c r="CT811" s="90">
        <f t="shared" si="96"/>
        <v>1</v>
      </c>
      <c r="CU811" s="90">
        <f t="shared" si="97"/>
        <v>1</v>
      </c>
    </row>
    <row r="812" spans="1:99" ht="12" customHeight="1">
      <c r="A812" s="43">
        <v>6695</v>
      </c>
      <c r="B812" s="89" t="s">
        <v>1515</v>
      </c>
      <c r="C812" s="89" t="s">
        <v>2263</v>
      </c>
      <c r="D812" s="89" t="s">
        <v>2264</v>
      </c>
      <c r="F812" s="43">
        <v>526188</v>
      </c>
      <c r="G812" s="43">
        <v>172838</v>
      </c>
      <c r="H812" s="89" t="s">
        <v>168</v>
      </c>
      <c r="K812" s="140">
        <v>0</v>
      </c>
      <c r="L812" s="140">
        <v>3</v>
      </c>
      <c r="M812" s="140">
        <v>3</v>
      </c>
      <c r="N812" s="140">
        <v>3</v>
      </c>
      <c r="O812" s="140">
        <v>3</v>
      </c>
      <c r="Q812" s="89" t="s">
        <v>2265</v>
      </c>
      <c r="R812" s="43" t="s">
        <v>316</v>
      </c>
      <c r="S812" s="125">
        <v>42984</v>
      </c>
      <c r="T812" s="117">
        <v>43083</v>
      </c>
      <c r="V812" s="43" t="s">
        <v>317</v>
      </c>
      <c r="X812" s="43" t="s">
        <v>413</v>
      </c>
      <c r="Y812" s="43" t="s">
        <v>361</v>
      </c>
      <c r="Z812" s="43" t="s">
        <v>320</v>
      </c>
      <c r="AA812" s="43" t="s">
        <v>353</v>
      </c>
      <c r="AB812" s="144">
        <v>2.8000000864267301E-2</v>
      </c>
      <c r="AF812" s="43" t="s">
        <v>75</v>
      </c>
      <c r="AG812" s="43" t="s">
        <v>322</v>
      </c>
      <c r="AJ812" s="140">
        <v>0</v>
      </c>
      <c r="AK812" s="140">
        <v>0</v>
      </c>
      <c r="AL812" s="140">
        <v>0</v>
      </c>
      <c r="AM812" s="140">
        <v>0</v>
      </c>
      <c r="AN812" s="140">
        <v>0</v>
      </c>
      <c r="AO812" s="140">
        <v>3</v>
      </c>
      <c r="AP812" s="140">
        <v>0</v>
      </c>
      <c r="AQ812" s="140">
        <v>0</v>
      </c>
      <c r="AR812" s="140">
        <v>0</v>
      </c>
      <c r="AS812" s="140">
        <v>0</v>
      </c>
      <c r="AT812" s="140">
        <v>0</v>
      </c>
      <c r="AU812" s="140">
        <v>0</v>
      </c>
      <c r="AV812" s="140">
        <v>3</v>
      </c>
      <c r="AW812" s="140">
        <v>0</v>
      </c>
      <c r="AX812" s="140">
        <v>0</v>
      </c>
      <c r="AY812" s="140">
        <v>0</v>
      </c>
      <c r="AZ812" s="140">
        <v>0</v>
      </c>
      <c r="BA812" s="140">
        <v>0</v>
      </c>
      <c r="BB812" s="140">
        <v>0</v>
      </c>
      <c r="BC812" s="140">
        <v>0</v>
      </c>
      <c r="BD812" s="140">
        <v>0</v>
      </c>
      <c r="BE812" s="140">
        <v>0</v>
      </c>
      <c r="BF812" s="140">
        <v>0</v>
      </c>
      <c r="BG812" s="140">
        <v>0</v>
      </c>
      <c r="BH812" s="140">
        <v>0</v>
      </c>
      <c r="BI812" s="140">
        <v>0</v>
      </c>
      <c r="BJ812" s="140">
        <v>0</v>
      </c>
      <c r="BK812" s="140">
        <v>0</v>
      </c>
      <c r="BL812" s="140">
        <v>0</v>
      </c>
      <c r="BM812" s="140">
        <v>0</v>
      </c>
      <c r="BN812" s="140">
        <v>0</v>
      </c>
      <c r="BO812" s="140">
        <v>0</v>
      </c>
      <c r="BX812" s="43">
        <v>6</v>
      </c>
      <c r="CA812" s="90">
        <f t="shared" si="106"/>
        <v>0.75</v>
      </c>
      <c r="CB812" s="90">
        <f t="shared" si="106"/>
        <v>0.75</v>
      </c>
      <c r="CC812" s="90">
        <f t="shared" si="106"/>
        <v>0.75</v>
      </c>
      <c r="CD812" s="90">
        <f t="shared" si="106"/>
        <v>0.75</v>
      </c>
      <c r="CT812" s="90">
        <f t="shared" si="96"/>
        <v>3</v>
      </c>
      <c r="CU812" s="90">
        <f t="shared" si="97"/>
        <v>3</v>
      </c>
    </row>
    <row r="813" spans="1:99" ht="12" customHeight="1">
      <c r="A813" s="43">
        <v>6704</v>
      </c>
      <c r="B813" s="89" t="s">
        <v>1515</v>
      </c>
      <c r="C813" s="89" t="s">
        <v>2266</v>
      </c>
      <c r="D813" s="89" t="s">
        <v>2267</v>
      </c>
      <c r="F813" s="43">
        <v>523738</v>
      </c>
      <c r="G813" s="43">
        <v>173863</v>
      </c>
      <c r="H813" s="89" t="s">
        <v>169</v>
      </c>
      <c r="K813" s="140">
        <v>0</v>
      </c>
      <c r="L813" s="140">
        <v>1</v>
      </c>
      <c r="M813" s="140">
        <v>1</v>
      </c>
      <c r="N813" s="140">
        <v>1</v>
      </c>
      <c r="O813" s="140">
        <v>1</v>
      </c>
      <c r="Q813" s="89" t="s">
        <v>2268</v>
      </c>
      <c r="R813" s="43" t="s">
        <v>443</v>
      </c>
      <c r="S813" s="125">
        <v>43502</v>
      </c>
      <c r="T813" s="117">
        <v>43553</v>
      </c>
      <c r="V813" s="43" t="s">
        <v>317</v>
      </c>
      <c r="X813" s="43" t="s">
        <v>318</v>
      </c>
      <c r="Y813" s="43" t="s">
        <v>336</v>
      </c>
      <c r="Z813" s="43" t="s">
        <v>320</v>
      </c>
      <c r="AA813" s="43" t="s">
        <v>36</v>
      </c>
      <c r="AB813" s="144">
        <v>8.9999996125698107E-3</v>
      </c>
      <c r="AF813" s="43" t="s">
        <v>75</v>
      </c>
      <c r="AG813" s="43" t="s">
        <v>322</v>
      </c>
      <c r="AJ813" s="140">
        <v>0</v>
      </c>
      <c r="AK813" s="140">
        <v>0</v>
      </c>
      <c r="AL813" s="140">
        <v>0</v>
      </c>
      <c r="AM813" s="140">
        <v>0</v>
      </c>
      <c r="AN813" s="140">
        <v>0</v>
      </c>
      <c r="AO813" s="140">
        <v>1</v>
      </c>
      <c r="AP813" s="140">
        <v>0</v>
      </c>
      <c r="AQ813" s="140">
        <v>0</v>
      </c>
      <c r="AR813" s="140">
        <v>0</v>
      </c>
      <c r="AS813" s="140">
        <v>0</v>
      </c>
      <c r="AT813" s="140">
        <v>0</v>
      </c>
      <c r="AU813" s="140">
        <v>0</v>
      </c>
      <c r="AV813" s="140">
        <v>1</v>
      </c>
      <c r="AW813" s="140">
        <v>0</v>
      </c>
      <c r="AX813" s="140">
        <v>0</v>
      </c>
      <c r="AY813" s="140">
        <v>0</v>
      </c>
      <c r="AZ813" s="140">
        <v>0</v>
      </c>
      <c r="BA813" s="140">
        <v>0</v>
      </c>
      <c r="BB813" s="140">
        <v>0</v>
      </c>
      <c r="BC813" s="140">
        <v>0</v>
      </c>
      <c r="BD813" s="140">
        <v>0</v>
      </c>
      <c r="BE813" s="140">
        <v>0</v>
      </c>
      <c r="BF813" s="140">
        <v>0</v>
      </c>
      <c r="BG813" s="140">
        <v>0</v>
      </c>
      <c r="BH813" s="140">
        <v>0</v>
      </c>
      <c r="BI813" s="140">
        <v>0</v>
      </c>
      <c r="BJ813" s="140">
        <v>0</v>
      </c>
      <c r="BK813" s="140">
        <v>0</v>
      </c>
      <c r="BL813" s="140">
        <v>0</v>
      </c>
      <c r="BM813" s="140">
        <v>0</v>
      </c>
      <c r="BN813" s="140">
        <v>0</v>
      </c>
      <c r="BO813" s="140">
        <v>0</v>
      </c>
      <c r="BX813" s="43">
        <v>15</v>
      </c>
      <c r="BZ813" s="90">
        <f>$M813/3</f>
        <v>0.33333333333333331</v>
      </c>
      <c r="CA813" s="90">
        <f>$M813/3</f>
        <v>0.33333333333333331</v>
      </c>
      <c r="CB813" s="90">
        <f>$M813/3</f>
        <v>0.33333333333333331</v>
      </c>
      <c r="CT813" s="90">
        <f t="shared" si="96"/>
        <v>1</v>
      </c>
      <c r="CU813" s="90">
        <f t="shared" si="97"/>
        <v>1</v>
      </c>
    </row>
    <row r="814" spans="1:99" ht="12" customHeight="1">
      <c r="A814" s="43">
        <v>6707</v>
      </c>
      <c r="B814" s="89" t="s">
        <v>1515</v>
      </c>
      <c r="C814" s="89" t="s">
        <v>2269</v>
      </c>
      <c r="D814" s="89" t="s">
        <v>2270</v>
      </c>
      <c r="F814" s="43">
        <v>528529</v>
      </c>
      <c r="G814" s="43">
        <v>173387</v>
      </c>
      <c r="H814" s="89" t="s">
        <v>138</v>
      </c>
      <c r="K814" s="140">
        <v>0</v>
      </c>
      <c r="L814" s="140">
        <v>7</v>
      </c>
      <c r="M814" s="140">
        <v>7</v>
      </c>
      <c r="N814" s="140">
        <v>7</v>
      </c>
      <c r="O814" s="140">
        <v>7</v>
      </c>
      <c r="Q814" s="89" t="s">
        <v>2271</v>
      </c>
      <c r="R814" s="43" t="s">
        <v>443</v>
      </c>
      <c r="S814" s="125">
        <v>43003</v>
      </c>
      <c r="T814" s="117">
        <v>43059</v>
      </c>
      <c r="V814" s="43" t="s">
        <v>317</v>
      </c>
      <c r="X814" s="43" t="s">
        <v>318</v>
      </c>
      <c r="Y814" s="43" t="s">
        <v>336</v>
      </c>
      <c r="Z814" s="43" t="s">
        <v>320</v>
      </c>
      <c r="AA814" s="43" t="s">
        <v>33</v>
      </c>
      <c r="AB814" s="144">
        <v>2.70000007003546E-2</v>
      </c>
      <c r="AF814" s="43" t="s">
        <v>75</v>
      </c>
      <c r="AG814" s="43" t="s">
        <v>322</v>
      </c>
      <c r="AJ814" s="140">
        <v>0</v>
      </c>
      <c r="AK814" s="140">
        <v>0</v>
      </c>
      <c r="AL814" s="140">
        <v>0</v>
      </c>
      <c r="AM814" s="140">
        <v>0</v>
      </c>
      <c r="AN814" s="140">
        <v>7</v>
      </c>
      <c r="AO814" s="140">
        <v>0</v>
      </c>
      <c r="AP814" s="140">
        <v>0</v>
      </c>
      <c r="AQ814" s="140">
        <v>0</v>
      </c>
      <c r="AR814" s="140">
        <v>0</v>
      </c>
      <c r="AS814" s="140">
        <v>0</v>
      </c>
      <c r="AT814" s="140">
        <v>0</v>
      </c>
      <c r="AU814" s="140">
        <v>7</v>
      </c>
      <c r="AV814" s="140">
        <v>0</v>
      </c>
      <c r="AW814" s="140">
        <v>0</v>
      </c>
      <c r="AX814" s="140">
        <v>0</v>
      </c>
      <c r="AY814" s="140">
        <v>0</v>
      </c>
      <c r="AZ814" s="140">
        <v>0</v>
      </c>
      <c r="BA814" s="140">
        <v>0</v>
      </c>
      <c r="BB814" s="140">
        <v>0</v>
      </c>
      <c r="BC814" s="140">
        <v>0</v>
      </c>
      <c r="BD814" s="140">
        <v>0</v>
      </c>
      <c r="BE814" s="140">
        <v>0</v>
      </c>
      <c r="BF814" s="140">
        <v>0</v>
      </c>
      <c r="BG814" s="140">
        <v>0</v>
      </c>
      <c r="BH814" s="140">
        <v>0</v>
      </c>
      <c r="BI814" s="140">
        <v>0</v>
      </c>
      <c r="BJ814" s="140">
        <v>0</v>
      </c>
      <c r="BK814" s="140">
        <v>0</v>
      </c>
      <c r="BL814" s="140">
        <v>0</v>
      </c>
      <c r="BM814" s="140">
        <v>0</v>
      </c>
      <c r="BN814" s="140">
        <v>0</v>
      </c>
      <c r="BO814" s="140">
        <v>0</v>
      </c>
      <c r="BP814" s="43" t="s">
        <v>138</v>
      </c>
      <c r="BX814" s="43">
        <v>18</v>
      </c>
      <c r="CA814" s="90">
        <f t="shared" ref="CA814:CD815" si="107">$M814/4</f>
        <v>1.75</v>
      </c>
      <c r="CB814" s="90">
        <f t="shared" si="107"/>
        <v>1.75</v>
      </c>
      <c r="CC814" s="90">
        <f t="shared" si="107"/>
        <v>1.75</v>
      </c>
      <c r="CD814" s="90">
        <f t="shared" si="107"/>
        <v>1.75</v>
      </c>
      <c r="CT814" s="90">
        <f t="shared" si="96"/>
        <v>7</v>
      </c>
      <c r="CU814" s="90">
        <f t="shared" si="97"/>
        <v>7</v>
      </c>
    </row>
    <row r="815" spans="1:99" ht="12" customHeight="1">
      <c r="A815" s="43">
        <v>6707</v>
      </c>
      <c r="B815" s="89" t="s">
        <v>1515</v>
      </c>
      <c r="C815" s="89" t="s">
        <v>2272</v>
      </c>
      <c r="D815" s="89" t="s">
        <v>2270</v>
      </c>
      <c r="F815" s="43">
        <v>528529</v>
      </c>
      <c r="G815" s="43">
        <v>173387</v>
      </c>
      <c r="H815" s="89" t="s">
        <v>138</v>
      </c>
      <c r="K815" s="140">
        <v>0</v>
      </c>
      <c r="L815" s="140">
        <v>6</v>
      </c>
      <c r="M815" s="140">
        <v>6</v>
      </c>
      <c r="N815" s="140">
        <v>6</v>
      </c>
      <c r="O815" s="140">
        <v>6</v>
      </c>
      <c r="Q815" s="89" t="s">
        <v>2273</v>
      </c>
      <c r="R815" s="43" t="s">
        <v>316</v>
      </c>
      <c r="S815" s="125">
        <v>43553</v>
      </c>
      <c r="T815" s="117">
        <v>43675</v>
      </c>
      <c r="U815" s="43" t="s">
        <v>329</v>
      </c>
      <c r="V815" s="43" t="s">
        <v>317</v>
      </c>
      <c r="X815" s="43" t="s">
        <v>318</v>
      </c>
      <c r="Y815" s="43" t="s">
        <v>379</v>
      </c>
      <c r="Z815" s="43" t="s">
        <v>320</v>
      </c>
      <c r="AA815" s="43" t="s">
        <v>340</v>
      </c>
      <c r="AB815" s="144">
        <v>6.0000000521540598E-3</v>
      </c>
      <c r="AF815" s="43" t="s">
        <v>75</v>
      </c>
      <c r="AG815" s="43" t="s">
        <v>322</v>
      </c>
      <c r="AJ815" s="140">
        <v>0</v>
      </c>
      <c r="AK815" s="140">
        <v>0</v>
      </c>
      <c r="AL815" s="140">
        <v>0</v>
      </c>
      <c r="AM815" s="140">
        <v>0</v>
      </c>
      <c r="AN815" s="140">
        <v>0</v>
      </c>
      <c r="AO815" s="140">
        <v>3</v>
      </c>
      <c r="AP815" s="140">
        <v>3</v>
      </c>
      <c r="AQ815" s="140">
        <v>0</v>
      </c>
      <c r="AR815" s="140">
        <v>0</v>
      </c>
      <c r="AS815" s="140">
        <v>0</v>
      </c>
      <c r="AT815" s="140">
        <v>0</v>
      </c>
      <c r="AU815" s="140">
        <v>0</v>
      </c>
      <c r="AV815" s="140">
        <v>3</v>
      </c>
      <c r="AW815" s="140">
        <v>3</v>
      </c>
      <c r="AX815" s="140">
        <v>0</v>
      </c>
      <c r="AY815" s="140">
        <v>0</v>
      </c>
      <c r="AZ815" s="140">
        <v>0</v>
      </c>
      <c r="BA815" s="140">
        <v>0</v>
      </c>
      <c r="BB815" s="140">
        <v>0</v>
      </c>
      <c r="BC815" s="140">
        <v>0</v>
      </c>
      <c r="BD815" s="140">
        <v>0</v>
      </c>
      <c r="BE815" s="140">
        <v>0</v>
      </c>
      <c r="BF815" s="140">
        <v>0</v>
      </c>
      <c r="BG815" s="140">
        <v>0</v>
      </c>
      <c r="BH815" s="140">
        <v>0</v>
      </c>
      <c r="BI815" s="140">
        <v>0</v>
      </c>
      <c r="BJ815" s="140">
        <v>0</v>
      </c>
      <c r="BK815" s="140">
        <v>0</v>
      </c>
      <c r="BL815" s="140">
        <v>0</v>
      </c>
      <c r="BM815" s="140">
        <v>0</v>
      </c>
      <c r="BN815" s="140">
        <v>0</v>
      </c>
      <c r="BO815" s="140">
        <v>0</v>
      </c>
      <c r="BP815" s="43" t="s">
        <v>138</v>
      </c>
      <c r="BX815" s="43">
        <v>18</v>
      </c>
      <c r="CA815" s="90">
        <f t="shared" si="107"/>
        <v>1.5</v>
      </c>
      <c r="CB815" s="90">
        <f t="shared" si="107"/>
        <v>1.5</v>
      </c>
      <c r="CC815" s="90">
        <f t="shared" si="107"/>
        <v>1.5</v>
      </c>
      <c r="CD815" s="90">
        <f t="shared" si="107"/>
        <v>1.5</v>
      </c>
      <c r="CT815" s="90">
        <f t="shared" si="96"/>
        <v>6</v>
      </c>
      <c r="CU815" s="90">
        <f t="shared" si="97"/>
        <v>6</v>
      </c>
    </row>
    <row r="816" spans="1:99" ht="12" customHeight="1">
      <c r="A816" s="43">
        <v>6709</v>
      </c>
      <c r="B816" s="89" t="s">
        <v>1515</v>
      </c>
      <c r="C816" s="89" t="s">
        <v>2274</v>
      </c>
      <c r="D816" s="89" t="s">
        <v>2275</v>
      </c>
      <c r="F816" s="43">
        <v>528478</v>
      </c>
      <c r="G816" s="43">
        <v>175737</v>
      </c>
      <c r="H816" s="89" t="s">
        <v>175</v>
      </c>
      <c r="K816" s="140">
        <v>0</v>
      </c>
      <c r="L816" s="140">
        <v>2</v>
      </c>
      <c r="M816" s="140">
        <v>2</v>
      </c>
      <c r="N816" s="140">
        <v>2</v>
      </c>
      <c r="O816" s="140">
        <v>2</v>
      </c>
      <c r="Q816" s="89" t="s">
        <v>2276</v>
      </c>
      <c r="R816" s="43" t="s">
        <v>443</v>
      </c>
      <c r="S816" s="125">
        <v>43784</v>
      </c>
      <c r="T816" s="117">
        <v>43832</v>
      </c>
      <c r="U816" s="43" t="s">
        <v>329</v>
      </c>
      <c r="V816" s="43" t="s">
        <v>317</v>
      </c>
      <c r="X816" s="43" t="s">
        <v>318</v>
      </c>
      <c r="Y816" s="43" t="s">
        <v>336</v>
      </c>
      <c r="Z816" s="43" t="s">
        <v>320</v>
      </c>
      <c r="AA816" s="43" t="s">
        <v>36</v>
      </c>
      <c r="AB816" s="144">
        <v>7.0000002160668399E-3</v>
      </c>
      <c r="AF816" s="43" t="s">
        <v>75</v>
      </c>
      <c r="AG816" s="43" t="s">
        <v>322</v>
      </c>
      <c r="AJ816" s="140">
        <v>0</v>
      </c>
      <c r="AK816" s="140">
        <v>0</v>
      </c>
      <c r="AL816" s="140">
        <v>0</v>
      </c>
      <c r="AM816" s="140">
        <v>0</v>
      </c>
      <c r="AN816" s="140">
        <v>0</v>
      </c>
      <c r="AO816" s="140">
        <v>2</v>
      </c>
      <c r="AP816" s="140">
        <v>0</v>
      </c>
      <c r="AQ816" s="140">
        <v>0</v>
      </c>
      <c r="AR816" s="140">
        <v>0</v>
      </c>
      <c r="AS816" s="140">
        <v>0</v>
      </c>
      <c r="AT816" s="140">
        <v>0</v>
      </c>
      <c r="AU816" s="140">
        <v>0</v>
      </c>
      <c r="AV816" s="140">
        <v>2</v>
      </c>
      <c r="AW816" s="140">
        <v>0</v>
      </c>
      <c r="AX816" s="140">
        <v>0</v>
      </c>
      <c r="AY816" s="140">
        <v>0</v>
      </c>
      <c r="AZ816" s="140">
        <v>0</v>
      </c>
      <c r="BA816" s="140">
        <v>0</v>
      </c>
      <c r="BB816" s="140">
        <v>0</v>
      </c>
      <c r="BC816" s="140">
        <v>0</v>
      </c>
      <c r="BD816" s="140">
        <v>0</v>
      </c>
      <c r="BE816" s="140">
        <v>0</v>
      </c>
      <c r="BF816" s="140">
        <v>0</v>
      </c>
      <c r="BG816" s="140">
        <v>0</v>
      </c>
      <c r="BH816" s="140">
        <v>0</v>
      </c>
      <c r="BI816" s="140">
        <v>0</v>
      </c>
      <c r="BJ816" s="140">
        <v>0</v>
      </c>
      <c r="BK816" s="140">
        <v>0</v>
      </c>
      <c r="BL816" s="140">
        <v>0</v>
      </c>
      <c r="BM816" s="140">
        <v>0</v>
      </c>
      <c r="BN816" s="140">
        <v>0</v>
      </c>
      <c r="BO816" s="140">
        <v>0</v>
      </c>
      <c r="BX816" s="43">
        <v>15</v>
      </c>
      <c r="BZ816" s="90">
        <f t="shared" ref="BZ816:CB819" si="108">$M816/3</f>
        <v>0.66666666666666663</v>
      </c>
      <c r="CA816" s="90">
        <f t="shared" si="108"/>
        <v>0.66666666666666663</v>
      </c>
      <c r="CB816" s="90">
        <f t="shared" si="108"/>
        <v>0.66666666666666663</v>
      </c>
      <c r="CT816" s="90">
        <f t="shared" si="96"/>
        <v>2</v>
      </c>
      <c r="CU816" s="90">
        <f t="shared" si="97"/>
        <v>2</v>
      </c>
    </row>
    <row r="817" spans="1:99" ht="12" customHeight="1">
      <c r="A817" s="43">
        <v>6711</v>
      </c>
      <c r="B817" s="89" t="s">
        <v>1515</v>
      </c>
      <c r="C817" s="89" t="s">
        <v>2277</v>
      </c>
      <c r="D817" s="89" t="s">
        <v>2278</v>
      </c>
      <c r="F817" s="43">
        <v>523785</v>
      </c>
      <c r="G817" s="43">
        <v>175744</v>
      </c>
      <c r="H817" s="89" t="s">
        <v>178</v>
      </c>
      <c r="K817" s="140">
        <v>0</v>
      </c>
      <c r="L817" s="140">
        <v>2</v>
      </c>
      <c r="M817" s="140">
        <v>2</v>
      </c>
      <c r="N817" s="140">
        <v>2</v>
      </c>
      <c r="O817" s="140">
        <v>2</v>
      </c>
      <c r="Q817" s="89" t="s">
        <v>2279</v>
      </c>
      <c r="R817" s="43" t="s">
        <v>316</v>
      </c>
      <c r="S817" s="125">
        <v>43734</v>
      </c>
      <c r="T817" s="117">
        <v>43780</v>
      </c>
      <c r="U817" s="43" t="s">
        <v>329</v>
      </c>
      <c r="V817" s="43" t="s">
        <v>317</v>
      </c>
      <c r="X817" s="43" t="s">
        <v>318</v>
      </c>
      <c r="Y817" s="43" t="s">
        <v>336</v>
      </c>
      <c r="Z817" s="43" t="s">
        <v>320</v>
      </c>
      <c r="AA817" s="43" t="s">
        <v>30</v>
      </c>
      <c r="AB817" s="144">
        <v>1.09999999403954E-2</v>
      </c>
      <c r="AF817" s="43" t="s">
        <v>75</v>
      </c>
      <c r="AG817" s="43" t="s">
        <v>322</v>
      </c>
      <c r="AJ817" s="140">
        <v>0</v>
      </c>
      <c r="AK817" s="140">
        <v>0</v>
      </c>
      <c r="AL817" s="140">
        <v>0</v>
      </c>
      <c r="AM817" s="140">
        <v>0</v>
      </c>
      <c r="AN817" s="140">
        <v>0</v>
      </c>
      <c r="AO817" s="140">
        <v>2</v>
      </c>
      <c r="AP817" s="140">
        <v>0</v>
      </c>
      <c r="AQ817" s="140">
        <v>0</v>
      </c>
      <c r="AR817" s="140">
        <v>0</v>
      </c>
      <c r="AS817" s="140">
        <v>0</v>
      </c>
      <c r="AT817" s="140">
        <v>0</v>
      </c>
      <c r="AU817" s="140">
        <v>0</v>
      </c>
      <c r="AV817" s="140">
        <v>2</v>
      </c>
      <c r="AW817" s="140">
        <v>0</v>
      </c>
      <c r="AX817" s="140">
        <v>0</v>
      </c>
      <c r="AY817" s="140">
        <v>0</v>
      </c>
      <c r="AZ817" s="140">
        <v>0</v>
      </c>
      <c r="BA817" s="140">
        <v>0</v>
      </c>
      <c r="BB817" s="140">
        <v>0</v>
      </c>
      <c r="BC817" s="140">
        <v>0</v>
      </c>
      <c r="BD817" s="140">
        <v>0</v>
      </c>
      <c r="BE817" s="140">
        <v>0</v>
      </c>
      <c r="BF817" s="140">
        <v>0</v>
      </c>
      <c r="BG817" s="140">
        <v>0</v>
      </c>
      <c r="BH817" s="140">
        <v>0</v>
      </c>
      <c r="BI817" s="140">
        <v>0</v>
      </c>
      <c r="BJ817" s="140">
        <v>0</v>
      </c>
      <c r="BK817" s="140">
        <v>0</v>
      </c>
      <c r="BL817" s="140">
        <v>0</v>
      </c>
      <c r="BM817" s="140">
        <v>0</v>
      </c>
      <c r="BN817" s="140">
        <v>0</v>
      </c>
      <c r="BO817" s="140">
        <v>0</v>
      </c>
      <c r="BX817" s="43">
        <v>15</v>
      </c>
      <c r="BZ817" s="90">
        <f t="shared" si="108"/>
        <v>0.66666666666666663</v>
      </c>
      <c r="CA817" s="90">
        <f t="shared" si="108"/>
        <v>0.66666666666666663</v>
      </c>
      <c r="CB817" s="90">
        <f t="shared" si="108"/>
        <v>0.66666666666666663</v>
      </c>
      <c r="CT817" s="90">
        <f t="shared" si="96"/>
        <v>2</v>
      </c>
      <c r="CU817" s="90">
        <f t="shared" si="97"/>
        <v>2</v>
      </c>
    </row>
    <row r="818" spans="1:99" ht="12" customHeight="1">
      <c r="A818" s="43">
        <v>6732</v>
      </c>
      <c r="B818" s="89" t="s">
        <v>1515</v>
      </c>
      <c r="C818" s="89" t="s">
        <v>2280</v>
      </c>
      <c r="D818" s="89" t="s">
        <v>2281</v>
      </c>
      <c r="F818" s="43">
        <v>522795</v>
      </c>
      <c r="G818" s="43">
        <v>175193</v>
      </c>
      <c r="H818" s="89" t="s">
        <v>181</v>
      </c>
      <c r="K818" s="140">
        <v>2</v>
      </c>
      <c r="L818" s="140">
        <v>3</v>
      </c>
      <c r="M818" s="140">
        <v>1</v>
      </c>
      <c r="N818" s="140">
        <v>5</v>
      </c>
      <c r="O818" s="140">
        <v>1</v>
      </c>
      <c r="Q818" s="89" t="s">
        <v>2282</v>
      </c>
      <c r="R818" s="43" t="s">
        <v>316</v>
      </c>
      <c r="S818" s="125">
        <v>43019</v>
      </c>
      <c r="T818" s="117">
        <v>43063</v>
      </c>
      <c r="V818" s="43" t="s">
        <v>317</v>
      </c>
      <c r="X818" s="43" t="s">
        <v>318</v>
      </c>
      <c r="Y818" s="43" t="s">
        <v>319</v>
      </c>
      <c r="Z818" s="43" t="s">
        <v>320</v>
      </c>
      <c r="AA818" s="43" t="s">
        <v>353</v>
      </c>
      <c r="AB818" s="144">
        <v>4.6999998390674598E-2</v>
      </c>
      <c r="AF818" s="43" t="s">
        <v>75</v>
      </c>
      <c r="AG818" s="43" t="s">
        <v>322</v>
      </c>
      <c r="AJ818" s="140">
        <v>0</v>
      </c>
      <c r="AK818" s="140">
        <v>0</v>
      </c>
      <c r="AL818" s="140">
        <v>0</v>
      </c>
      <c r="AM818" s="140">
        <v>0</v>
      </c>
      <c r="AN818" s="140">
        <v>0</v>
      </c>
      <c r="AO818" s="140">
        <v>0</v>
      </c>
      <c r="AP818" s="140">
        <v>1</v>
      </c>
      <c r="AQ818" s="140">
        <v>0</v>
      </c>
      <c r="AR818" s="140">
        <v>0</v>
      </c>
      <c r="AS818" s="140">
        <v>0</v>
      </c>
      <c r="AT818" s="140">
        <v>0</v>
      </c>
      <c r="AU818" s="140">
        <v>0</v>
      </c>
      <c r="AV818" s="140">
        <v>0</v>
      </c>
      <c r="AW818" s="140">
        <v>1</v>
      </c>
      <c r="AX818" s="140">
        <v>0</v>
      </c>
      <c r="AY818" s="140">
        <v>0</v>
      </c>
      <c r="AZ818" s="140">
        <v>0</v>
      </c>
      <c r="BA818" s="140">
        <v>0</v>
      </c>
      <c r="BB818" s="140">
        <v>0</v>
      </c>
      <c r="BC818" s="140">
        <v>0</v>
      </c>
      <c r="BD818" s="140">
        <v>0</v>
      </c>
      <c r="BE818" s="140">
        <v>0</v>
      </c>
      <c r="BF818" s="140">
        <v>0</v>
      </c>
      <c r="BG818" s="140">
        <v>0</v>
      </c>
      <c r="BH818" s="140">
        <v>0</v>
      </c>
      <c r="BI818" s="140">
        <v>0</v>
      </c>
      <c r="BJ818" s="140">
        <v>0</v>
      </c>
      <c r="BK818" s="140">
        <v>0</v>
      </c>
      <c r="BL818" s="140">
        <v>0</v>
      </c>
      <c r="BM818" s="140">
        <v>0</v>
      </c>
      <c r="BN818" s="140">
        <v>0</v>
      </c>
      <c r="BO818" s="140">
        <v>0</v>
      </c>
      <c r="BX818" s="43">
        <v>15</v>
      </c>
      <c r="BZ818" s="90">
        <f t="shared" si="108"/>
        <v>0.33333333333333331</v>
      </c>
      <c r="CA818" s="90">
        <f t="shared" si="108"/>
        <v>0.33333333333333331</v>
      </c>
      <c r="CB818" s="90">
        <f t="shared" si="108"/>
        <v>0.33333333333333331</v>
      </c>
      <c r="CT818" s="90">
        <f t="shared" si="96"/>
        <v>1</v>
      </c>
      <c r="CU818" s="90">
        <f t="shared" si="97"/>
        <v>1</v>
      </c>
    </row>
    <row r="819" spans="1:99" ht="12" customHeight="1">
      <c r="A819" s="43">
        <v>6732</v>
      </c>
      <c r="B819" s="89" t="s">
        <v>1515</v>
      </c>
      <c r="C819" s="89" t="s">
        <v>2280</v>
      </c>
      <c r="D819" s="89" t="s">
        <v>2281</v>
      </c>
      <c r="F819" s="43">
        <v>522795</v>
      </c>
      <c r="G819" s="43">
        <v>175193</v>
      </c>
      <c r="H819" s="89" t="s">
        <v>181</v>
      </c>
      <c r="K819" s="140">
        <v>2</v>
      </c>
      <c r="L819" s="140">
        <v>2</v>
      </c>
      <c r="M819" s="140">
        <v>0</v>
      </c>
      <c r="N819" s="140">
        <v>5</v>
      </c>
      <c r="O819" s="140">
        <v>1</v>
      </c>
      <c r="Q819" s="89" t="s">
        <v>2282</v>
      </c>
      <c r="R819" s="43" t="s">
        <v>316</v>
      </c>
      <c r="S819" s="125">
        <v>43019</v>
      </c>
      <c r="T819" s="117">
        <v>43063</v>
      </c>
      <c r="V819" s="43" t="s">
        <v>317</v>
      </c>
      <c r="X819" s="43" t="s">
        <v>318</v>
      </c>
      <c r="Y819" s="43" t="s">
        <v>319</v>
      </c>
      <c r="Z819" s="43" t="s">
        <v>320</v>
      </c>
      <c r="AA819" s="43" t="s">
        <v>321</v>
      </c>
      <c r="AB819" s="144">
        <v>3.0999999493360499E-2</v>
      </c>
      <c r="AF819" s="43" t="s">
        <v>75</v>
      </c>
      <c r="AG819" s="43" t="s">
        <v>322</v>
      </c>
      <c r="AJ819" s="140">
        <v>0</v>
      </c>
      <c r="AK819" s="140">
        <v>0</v>
      </c>
      <c r="AL819" s="140">
        <v>0</v>
      </c>
      <c r="AM819" s="140">
        <v>0</v>
      </c>
      <c r="AN819" s="140">
        <v>0</v>
      </c>
      <c r="AO819" s="140">
        <v>-2</v>
      </c>
      <c r="AP819" s="140">
        <v>2</v>
      </c>
      <c r="AQ819" s="140">
        <v>0</v>
      </c>
      <c r="AR819" s="140">
        <v>0</v>
      </c>
      <c r="AS819" s="140">
        <v>0</v>
      </c>
      <c r="AT819" s="140">
        <v>0</v>
      </c>
      <c r="AU819" s="140">
        <v>0</v>
      </c>
      <c r="AV819" s="140">
        <v>-2</v>
      </c>
      <c r="AW819" s="140">
        <v>2</v>
      </c>
      <c r="AX819" s="140">
        <v>0</v>
      </c>
      <c r="AY819" s="140">
        <v>0</v>
      </c>
      <c r="AZ819" s="140">
        <v>0</v>
      </c>
      <c r="BA819" s="140">
        <v>0</v>
      </c>
      <c r="BB819" s="140">
        <v>0</v>
      </c>
      <c r="BC819" s="140">
        <v>0</v>
      </c>
      <c r="BD819" s="140">
        <v>0</v>
      </c>
      <c r="BE819" s="140">
        <v>0</v>
      </c>
      <c r="BF819" s="140">
        <v>0</v>
      </c>
      <c r="BG819" s="140">
        <v>0</v>
      </c>
      <c r="BH819" s="140">
        <v>0</v>
      </c>
      <c r="BI819" s="140">
        <v>0</v>
      </c>
      <c r="BJ819" s="140">
        <v>0</v>
      </c>
      <c r="BK819" s="140">
        <v>0</v>
      </c>
      <c r="BL819" s="140">
        <v>0</v>
      </c>
      <c r="BM819" s="140">
        <v>0</v>
      </c>
      <c r="BN819" s="140">
        <v>0</v>
      </c>
      <c r="BO819" s="140">
        <v>0</v>
      </c>
      <c r="BX819" s="43">
        <v>15</v>
      </c>
      <c r="BZ819" s="90">
        <f t="shared" si="108"/>
        <v>0</v>
      </c>
      <c r="CA819" s="90">
        <f t="shared" si="108"/>
        <v>0</v>
      </c>
      <c r="CB819" s="90">
        <f t="shared" si="108"/>
        <v>0</v>
      </c>
      <c r="CT819" s="90">
        <f t="shared" si="96"/>
        <v>0</v>
      </c>
      <c r="CU819" s="90">
        <f t="shared" si="97"/>
        <v>0</v>
      </c>
    </row>
    <row r="820" spans="1:99" ht="12" customHeight="1">
      <c r="A820" s="43">
        <v>6739</v>
      </c>
      <c r="B820" s="89" t="s">
        <v>1515</v>
      </c>
      <c r="C820" s="89" t="s">
        <v>2283</v>
      </c>
      <c r="D820" s="89" t="s">
        <v>2284</v>
      </c>
      <c r="F820" s="43">
        <v>528376</v>
      </c>
      <c r="G820" s="43">
        <v>173160</v>
      </c>
      <c r="H820" s="89" t="s">
        <v>173</v>
      </c>
      <c r="K820" s="140">
        <v>0</v>
      </c>
      <c r="L820" s="140">
        <v>77</v>
      </c>
      <c r="M820" s="140">
        <v>77</v>
      </c>
      <c r="N820" s="140">
        <v>77</v>
      </c>
      <c r="O820" s="140">
        <v>77</v>
      </c>
      <c r="P820" s="43" t="s">
        <v>329</v>
      </c>
      <c r="Q820" s="89" t="s">
        <v>2285</v>
      </c>
      <c r="R820" s="43" t="s">
        <v>443</v>
      </c>
      <c r="S820" s="125">
        <v>43188</v>
      </c>
      <c r="T820" s="117">
        <v>43231</v>
      </c>
      <c r="V820" s="43" t="s">
        <v>317</v>
      </c>
      <c r="X820" s="43" t="s">
        <v>318</v>
      </c>
      <c r="Y820" s="43" t="s">
        <v>336</v>
      </c>
      <c r="Z820" s="43" t="s">
        <v>444</v>
      </c>
      <c r="AA820" s="43" t="s">
        <v>320</v>
      </c>
      <c r="AB820" s="144">
        <v>0.25600001215934798</v>
      </c>
      <c r="AF820" s="43" t="s">
        <v>75</v>
      </c>
      <c r="AG820" s="43" t="s">
        <v>322</v>
      </c>
      <c r="AJ820" s="140">
        <v>0</v>
      </c>
      <c r="AK820" s="140">
        <v>0</v>
      </c>
      <c r="AL820" s="140">
        <v>0</v>
      </c>
      <c r="AM820" s="140">
        <v>0</v>
      </c>
      <c r="AN820" s="140">
        <v>58</v>
      </c>
      <c r="AO820" s="140">
        <v>19</v>
      </c>
      <c r="AP820" s="140">
        <v>0</v>
      </c>
      <c r="AQ820" s="140">
        <v>0</v>
      </c>
      <c r="AR820" s="140">
        <v>0</v>
      </c>
      <c r="AS820" s="140">
        <v>0</v>
      </c>
      <c r="AT820" s="140">
        <v>0</v>
      </c>
      <c r="AU820" s="140">
        <v>58</v>
      </c>
      <c r="AV820" s="140">
        <v>19</v>
      </c>
      <c r="AW820" s="140">
        <v>0</v>
      </c>
      <c r="AX820" s="140">
        <v>0</v>
      </c>
      <c r="AY820" s="140">
        <v>0</v>
      </c>
      <c r="AZ820" s="140">
        <v>0</v>
      </c>
      <c r="BA820" s="140">
        <v>0</v>
      </c>
      <c r="BB820" s="140">
        <v>0</v>
      </c>
      <c r="BC820" s="140">
        <v>0</v>
      </c>
      <c r="BD820" s="140">
        <v>0</v>
      </c>
      <c r="BE820" s="140">
        <v>0</v>
      </c>
      <c r="BF820" s="140">
        <v>0</v>
      </c>
      <c r="BG820" s="140">
        <v>0</v>
      </c>
      <c r="BH820" s="140">
        <v>0</v>
      </c>
      <c r="BI820" s="140">
        <v>0</v>
      </c>
      <c r="BJ820" s="140">
        <v>0</v>
      </c>
      <c r="BK820" s="140">
        <v>0</v>
      </c>
      <c r="BL820" s="140">
        <v>0</v>
      </c>
      <c r="BM820" s="140">
        <v>0</v>
      </c>
      <c r="BN820" s="140">
        <v>0</v>
      </c>
      <c r="BO820" s="140">
        <v>0</v>
      </c>
      <c r="BX820" s="43">
        <v>16</v>
      </c>
      <c r="CA820" s="90">
        <f>M820</f>
        <v>77</v>
      </c>
      <c r="CT820" s="90">
        <f t="shared" si="96"/>
        <v>77</v>
      </c>
      <c r="CU820" s="90">
        <f t="shared" si="97"/>
        <v>77</v>
      </c>
    </row>
    <row r="821" spans="1:99" ht="12" customHeight="1">
      <c r="A821" s="43">
        <v>6743</v>
      </c>
      <c r="B821" s="89" t="s">
        <v>1515</v>
      </c>
      <c r="C821" s="89" t="s">
        <v>2286</v>
      </c>
      <c r="D821" s="89" t="s">
        <v>2287</v>
      </c>
      <c r="F821" s="43">
        <v>528375</v>
      </c>
      <c r="G821" s="43">
        <v>171419</v>
      </c>
      <c r="H821" s="89" t="s">
        <v>172</v>
      </c>
      <c r="K821" s="140">
        <v>0</v>
      </c>
      <c r="L821" s="140">
        <v>1</v>
      </c>
      <c r="M821" s="140">
        <v>1</v>
      </c>
      <c r="N821" s="140">
        <v>1</v>
      </c>
      <c r="O821" s="140">
        <v>1</v>
      </c>
      <c r="Q821" s="89" t="s">
        <v>2288</v>
      </c>
      <c r="R821" s="43" t="s">
        <v>316</v>
      </c>
      <c r="S821" s="125">
        <v>43808</v>
      </c>
      <c r="T821" s="117">
        <v>43833</v>
      </c>
      <c r="U821" s="43" t="s">
        <v>329</v>
      </c>
      <c r="V821" s="43" t="s">
        <v>317</v>
      </c>
      <c r="X821" s="43" t="s">
        <v>318</v>
      </c>
      <c r="Y821" s="43" t="s">
        <v>361</v>
      </c>
      <c r="Z821" s="43" t="s">
        <v>320</v>
      </c>
      <c r="AA821" s="43" t="s">
        <v>353</v>
      </c>
      <c r="AB821" s="144">
        <v>7.0000002160668399E-3</v>
      </c>
      <c r="AF821" s="43" t="s">
        <v>75</v>
      </c>
      <c r="AG821" s="43" t="s">
        <v>322</v>
      </c>
      <c r="AJ821" s="140">
        <v>0</v>
      </c>
      <c r="AK821" s="140">
        <v>0</v>
      </c>
      <c r="AL821" s="140">
        <v>0</v>
      </c>
      <c r="AM821" s="140">
        <v>0</v>
      </c>
      <c r="AN821" s="140">
        <v>0</v>
      </c>
      <c r="AO821" s="140">
        <v>1</v>
      </c>
      <c r="AP821" s="140">
        <v>0</v>
      </c>
      <c r="AQ821" s="140">
        <v>0</v>
      </c>
      <c r="AR821" s="140">
        <v>0</v>
      </c>
      <c r="AS821" s="140">
        <v>0</v>
      </c>
      <c r="AT821" s="140">
        <v>0</v>
      </c>
      <c r="AU821" s="140">
        <v>0</v>
      </c>
      <c r="AV821" s="140">
        <v>0</v>
      </c>
      <c r="AW821" s="140">
        <v>0</v>
      </c>
      <c r="AX821" s="140">
        <v>0</v>
      </c>
      <c r="AY821" s="140">
        <v>0</v>
      </c>
      <c r="AZ821" s="140">
        <v>0</v>
      </c>
      <c r="BA821" s="140">
        <v>0</v>
      </c>
      <c r="BB821" s="140">
        <v>0</v>
      </c>
      <c r="BC821" s="140">
        <v>1</v>
      </c>
      <c r="BD821" s="140">
        <v>0</v>
      </c>
      <c r="BE821" s="140">
        <v>0</v>
      </c>
      <c r="BF821" s="140">
        <v>0</v>
      </c>
      <c r="BG821" s="140">
        <v>0</v>
      </c>
      <c r="BH821" s="140">
        <v>0</v>
      </c>
      <c r="BI821" s="140">
        <v>0</v>
      </c>
      <c r="BJ821" s="140">
        <v>0</v>
      </c>
      <c r="BK821" s="140">
        <v>0</v>
      </c>
      <c r="BL821" s="140">
        <v>0</v>
      </c>
      <c r="BM821" s="140">
        <v>0</v>
      </c>
      <c r="BN821" s="140">
        <v>0</v>
      </c>
      <c r="BO821" s="140">
        <v>0</v>
      </c>
      <c r="BX821" s="43">
        <v>6</v>
      </c>
      <c r="CA821" s="90">
        <f>$M821/4</f>
        <v>0.25</v>
      </c>
      <c r="CB821" s="90">
        <f>$M821/4</f>
        <v>0.25</v>
      </c>
      <c r="CC821" s="90">
        <f>$M821/4</f>
        <v>0.25</v>
      </c>
      <c r="CD821" s="90">
        <f>$M821/4</f>
        <v>0.25</v>
      </c>
      <c r="CT821" s="90">
        <f t="shared" si="96"/>
        <v>1</v>
      </c>
      <c r="CU821" s="90">
        <f t="shared" si="97"/>
        <v>1</v>
      </c>
    </row>
    <row r="822" spans="1:99" ht="12" customHeight="1">
      <c r="A822" s="43">
        <v>6745</v>
      </c>
      <c r="B822" s="89" t="s">
        <v>1515</v>
      </c>
      <c r="C822" s="89" t="s">
        <v>2289</v>
      </c>
      <c r="D822" s="89" t="s">
        <v>2290</v>
      </c>
      <c r="F822" s="43">
        <v>527847</v>
      </c>
      <c r="G822" s="43">
        <v>173159</v>
      </c>
      <c r="H822" s="89" t="s">
        <v>173</v>
      </c>
      <c r="K822" s="140">
        <v>3</v>
      </c>
      <c r="L822" s="140">
        <v>1</v>
      </c>
      <c r="M822" s="140">
        <v>-2</v>
      </c>
      <c r="N822" s="140">
        <v>1</v>
      </c>
      <c r="O822" s="140">
        <v>-2</v>
      </c>
      <c r="Q822" s="89" t="s">
        <v>2291</v>
      </c>
      <c r="R822" s="43" t="s">
        <v>316</v>
      </c>
      <c r="S822" s="125">
        <v>43056</v>
      </c>
      <c r="T822" s="117">
        <v>43112</v>
      </c>
      <c r="V822" s="43" t="s">
        <v>317</v>
      </c>
      <c r="X822" s="43" t="s">
        <v>318</v>
      </c>
      <c r="Y822" s="43" t="s">
        <v>348</v>
      </c>
      <c r="Z822" s="43" t="s">
        <v>320</v>
      </c>
      <c r="AA822" s="43" t="s">
        <v>22</v>
      </c>
      <c r="AB822" s="144">
        <v>2.8999999165535001E-2</v>
      </c>
      <c r="AF822" s="43" t="s">
        <v>75</v>
      </c>
      <c r="AG822" s="43" t="s">
        <v>322</v>
      </c>
      <c r="AJ822" s="140">
        <v>0</v>
      </c>
      <c r="AK822" s="140">
        <v>0</v>
      </c>
      <c r="AL822" s="140">
        <v>0</v>
      </c>
      <c r="AM822" s="140">
        <v>0</v>
      </c>
      <c r="AN822" s="140">
        <v>-1</v>
      </c>
      <c r="AO822" s="140">
        <v>0</v>
      </c>
      <c r="AP822" s="140">
        <v>-2</v>
      </c>
      <c r="AQ822" s="140">
        <v>0</v>
      </c>
      <c r="AR822" s="140">
        <v>1</v>
      </c>
      <c r="AS822" s="140">
        <v>0</v>
      </c>
      <c r="AT822" s="140">
        <v>0</v>
      </c>
      <c r="AU822" s="140">
        <v>-1</v>
      </c>
      <c r="AV822" s="140">
        <v>0</v>
      </c>
      <c r="AW822" s="140">
        <v>-2</v>
      </c>
      <c r="AX822" s="140">
        <v>0</v>
      </c>
      <c r="AY822" s="140">
        <v>0</v>
      </c>
      <c r="AZ822" s="140">
        <v>0</v>
      </c>
      <c r="BA822" s="140">
        <v>0</v>
      </c>
      <c r="BB822" s="140">
        <v>0</v>
      </c>
      <c r="BC822" s="140">
        <v>0</v>
      </c>
      <c r="BD822" s="140">
        <v>0</v>
      </c>
      <c r="BE822" s="140">
        <v>0</v>
      </c>
      <c r="BF822" s="140">
        <v>1</v>
      </c>
      <c r="BG822" s="140">
        <v>0</v>
      </c>
      <c r="BH822" s="140">
        <v>0</v>
      </c>
      <c r="BI822" s="140">
        <v>0</v>
      </c>
      <c r="BJ822" s="140">
        <v>0</v>
      </c>
      <c r="BK822" s="140">
        <v>0</v>
      </c>
      <c r="BL822" s="140">
        <v>0</v>
      </c>
      <c r="BM822" s="140">
        <v>0</v>
      </c>
      <c r="BN822" s="140">
        <v>0</v>
      </c>
      <c r="BO822" s="140">
        <v>0</v>
      </c>
      <c r="BX822" s="43">
        <v>15</v>
      </c>
      <c r="BZ822" s="90">
        <f t="shared" ref="BZ822:CB823" si="109">$M822/3</f>
        <v>-0.66666666666666663</v>
      </c>
      <c r="CA822" s="90">
        <f t="shared" si="109"/>
        <v>-0.66666666666666663</v>
      </c>
      <c r="CB822" s="90">
        <f t="shared" si="109"/>
        <v>-0.66666666666666663</v>
      </c>
      <c r="CT822" s="90">
        <f t="shared" si="96"/>
        <v>-2</v>
      </c>
      <c r="CU822" s="90">
        <f t="shared" si="97"/>
        <v>-2</v>
      </c>
    </row>
    <row r="823" spans="1:99" ht="12" customHeight="1">
      <c r="A823" s="43">
        <v>6750</v>
      </c>
      <c r="B823" s="89" t="s">
        <v>1515</v>
      </c>
      <c r="C823" s="89" t="s">
        <v>2292</v>
      </c>
      <c r="D823" s="89" t="s">
        <v>2293</v>
      </c>
      <c r="F823" s="43">
        <v>524932</v>
      </c>
      <c r="G823" s="43">
        <v>174725</v>
      </c>
      <c r="H823" s="89" t="s">
        <v>170</v>
      </c>
      <c r="K823" s="140">
        <v>1</v>
      </c>
      <c r="L823" s="140">
        <v>3</v>
      </c>
      <c r="M823" s="140">
        <v>2</v>
      </c>
      <c r="N823" s="140">
        <v>3</v>
      </c>
      <c r="O823" s="140">
        <v>2</v>
      </c>
      <c r="Q823" s="89" t="s">
        <v>2294</v>
      </c>
      <c r="R823" s="43" t="s">
        <v>316</v>
      </c>
      <c r="S823" s="125">
        <v>43462</v>
      </c>
      <c r="T823" s="117">
        <v>43797</v>
      </c>
      <c r="U823" s="43" t="s">
        <v>329</v>
      </c>
      <c r="V823" s="43" t="s">
        <v>317</v>
      </c>
      <c r="X823" s="43" t="s">
        <v>318</v>
      </c>
      <c r="Y823" s="43" t="s">
        <v>336</v>
      </c>
      <c r="Z823" s="43" t="s">
        <v>320</v>
      </c>
      <c r="AA823" s="43" t="s">
        <v>36</v>
      </c>
      <c r="AB823" s="144">
        <v>1.7000000923872001E-2</v>
      </c>
      <c r="AF823" s="43" t="s">
        <v>75</v>
      </c>
      <c r="AG823" s="43" t="s">
        <v>322</v>
      </c>
      <c r="AJ823" s="140">
        <v>0</v>
      </c>
      <c r="AK823" s="140">
        <v>0</v>
      </c>
      <c r="AL823" s="140">
        <v>0</v>
      </c>
      <c r="AM823" s="140">
        <v>0</v>
      </c>
      <c r="AN823" s="140">
        <v>0</v>
      </c>
      <c r="AO823" s="140">
        <v>0</v>
      </c>
      <c r="AP823" s="140">
        <v>2</v>
      </c>
      <c r="AQ823" s="140">
        <v>0</v>
      </c>
      <c r="AR823" s="140">
        <v>0</v>
      </c>
      <c r="AS823" s="140">
        <v>0</v>
      </c>
      <c r="AT823" s="140">
        <v>0</v>
      </c>
      <c r="AU823" s="140">
        <v>0</v>
      </c>
      <c r="AV823" s="140">
        <v>0</v>
      </c>
      <c r="AW823" s="140">
        <v>2</v>
      </c>
      <c r="AX823" s="140">
        <v>0</v>
      </c>
      <c r="AY823" s="140">
        <v>0</v>
      </c>
      <c r="AZ823" s="140">
        <v>0</v>
      </c>
      <c r="BA823" s="140">
        <v>0</v>
      </c>
      <c r="BB823" s="140">
        <v>0</v>
      </c>
      <c r="BC823" s="140">
        <v>0</v>
      </c>
      <c r="BD823" s="140">
        <v>0</v>
      </c>
      <c r="BE823" s="140">
        <v>0</v>
      </c>
      <c r="BF823" s="140">
        <v>0</v>
      </c>
      <c r="BG823" s="140">
        <v>0</v>
      </c>
      <c r="BH823" s="140">
        <v>0</v>
      </c>
      <c r="BI823" s="140">
        <v>0</v>
      </c>
      <c r="BJ823" s="140">
        <v>0</v>
      </c>
      <c r="BK823" s="140">
        <v>0</v>
      </c>
      <c r="BL823" s="140">
        <v>0</v>
      </c>
      <c r="BM823" s="140">
        <v>0</v>
      </c>
      <c r="BN823" s="140">
        <v>0</v>
      </c>
      <c r="BO823" s="140">
        <v>0</v>
      </c>
      <c r="BX823" s="43">
        <v>15</v>
      </c>
      <c r="BZ823" s="90">
        <f t="shared" si="109"/>
        <v>0.66666666666666663</v>
      </c>
      <c r="CA823" s="90">
        <f t="shared" si="109"/>
        <v>0.66666666666666663</v>
      </c>
      <c r="CB823" s="90">
        <f t="shared" si="109"/>
        <v>0.66666666666666663</v>
      </c>
      <c r="CT823" s="90">
        <f t="shared" si="96"/>
        <v>2</v>
      </c>
      <c r="CU823" s="90">
        <f t="shared" si="97"/>
        <v>2</v>
      </c>
    </row>
    <row r="824" spans="1:99" ht="12" customHeight="1">
      <c r="A824" s="43">
        <v>6753</v>
      </c>
      <c r="B824" s="89" t="s">
        <v>1515</v>
      </c>
      <c r="C824" s="89" t="s">
        <v>2295</v>
      </c>
      <c r="D824" s="89" t="s">
        <v>2296</v>
      </c>
      <c r="F824" s="43">
        <v>525803</v>
      </c>
      <c r="G824" s="43">
        <v>174168</v>
      </c>
      <c r="H824" s="89" t="s">
        <v>170</v>
      </c>
      <c r="K824" s="140">
        <v>0</v>
      </c>
      <c r="L824" s="140">
        <v>1</v>
      </c>
      <c r="M824" s="140">
        <v>1</v>
      </c>
      <c r="N824" s="140">
        <v>1</v>
      </c>
      <c r="O824" s="140">
        <v>1</v>
      </c>
      <c r="Q824" s="89" t="s">
        <v>2297</v>
      </c>
      <c r="R824" s="43" t="s">
        <v>316</v>
      </c>
      <c r="S824" s="125">
        <v>43066</v>
      </c>
      <c r="T824" s="117">
        <v>43122</v>
      </c>
      <c r="V824" s="43" t="s">
        <v>317</v>
      </c>
      <c r="X824" s="43" t="s">
        <v>318</v>
      </c>
      <c r="Y824" s="43" t="s">
        <v>361</v>
      </c>
      <c r="Z824" s="43" t="s">
        <v>320</v>
      </c>
      <c r="AA824" s="43" t="s">
        <v>353</v>
      </c>
      <c r="AB824" s="144">
        <v>8.9999996125698107E-3</v>
      </c>
      <c r="AF824" s="43" t="s">
        <v>75</v>
      </c>
      <c r="AG824" s="43" t="s">
        <v>322</v>
      </c>
      <c r="AJ824" s="140">
        <v>0</v>
      </c>
      <c r="AK824" s="140">
        <v>0</v>
      </c>
      <c r="AL824" s="140">
        <v>0</v>
      </c>
      <c r="AM824" s="140">
        <v>0</v>
      </c>
      <c r="AN824" s="140">
        <v>0</v>
      </c>
      <c r="AO824" s="140">
        <v>0</v>
      </c>
      <c r="AP824" s="140">
        <v>0</v>
      </c>
      <c r="AQ824" s="140">
        <v>1</v>
      </c>
      <c r="AR824" s="140">
        <v>0</v>
      </c>
      <c r="AS824" s="140">
        <v>0</v>
      </c>
      <c r="AT824" s="140">
        <v>0</v>
      </c>
      <c r="AU824" s="140">
        <v>0</v>
      </c>
      <c r="AV824" s="140">
        <v>0</v>
      </c>
      <c r="AW824" s="140">
        <v>0</v>
      </c>
      <c r="AX824" s="140">
        <v>0</v>
      </c>
      <c r="AY824" s="140">
        <v>0</v>
      </c>
      <c r="AZ824" s="140">
        <v>0</v>
      </c>
      <c r="BA824" s="140">
        <v>0</v>
      </c>
      <c r="BB824" s="140">
        <v>0</v>
      </c>
      <c r="BC824" s="140">
        <v>0</v>
      </c>
      <c r="BD824" s="140">
        <v>0</v>
      </c>
      <c r="BE824" s="140">
        <v>1</v>
      </c>
      <c r="BF824" s="140">
        <v>0</v>
      </c>
      <c r="BG824" s="140">
        <v>0</v>
      </c>
      <c r="BH824" s="140">
        <v>0</v>
      </c>
      <c r="BI824" s="140">
        <v>0</v>
      </c>
      <c r="BJ824" s="140">
        <v>0</v>
      </c>
      <c r="BK824" s="140">
        <v>0</v>
      </c>
      <c r="BL824" s="140">
        <v>0</v>
      </c>
      <c r="BM824" s="140">
        <v>0</v>
      </c>
      <c r="BN824" s="140">
        <v>0</v>
      </c>
      <c r="BO824" s="140">
        <v>0</v>
      </c>
      <c r="BX824" s="43">
        <v>6</v>
      </c>
      <c r="CA824" s="90">
        <f>$M824/4</f>
        <v>0.25</v>
      </c>
      <c r="CB824" s="90">
        <f>$M824/4</f>
        <v>0.25</v>
      </c>
      <c r="CC824" s="90">
        <f>$M824/4</f>
        <v>0.25</v>
      </c>
      <c r="CD824" s="90">
        <f>$M824/4</f>
        <v>0.25</v>
      </c>
      <c r="CT824" s="90">
        <f t="shared" si="96"/>
        <v>1</v>
      </c>
      <c r="CU824" s="90">
        <f t="shared" si="97"/>
        <v>1</v>
      </c>
    </row>
    <row r="825" spans="1:99" ht="12" customHeight="1">
      <c r="A825" s="43">
        <v>6765</v>
      </c>
      <c r="B825" s="89" t="s">
        <v>1515</v>
      </c>
      <c r="C825" s="89" t="s">
        <v>2298</v>
      </c>
      <c r="D825" s="89" t="s">
        <v>2299</v>
      </c>
      <c r="F825" s="43">
        <v>529291</v>
      </c>
      <c r="G825" s="43">
        <v>171713</v>
      </c>
      <c r="H825" s="89" t="s">
        <v>171</v>
      </c>
      <c r="K825" s="140">
        <v>0</v>
      </c>
      <c r="L825" s="140">
        <v>8</v>
      </c>
      <c r="M825" s="140">
        <v>8</v>
      </c>
      <c r="N825" s="140">
        <v>8</v>
      </c>
      <c r="O825" s="140">
        <v>8</v>
      </c>
      <c r="Q825" s="89" t="s">
        <v>2300</v>
      </c>
      <c r="R825" s="43" t="s">
        <v>316</v>
      </c>
      <c r="S825" s="125">
        <v>43090</v>
      </c>
      <c r="T825" s="117">
        <v>43427</v>
      </c>
      <c r="V825" s="43" t="s">
        <v>317</v>
      </c>
      <c r="X825" s="43" t="s">
        <v>318</v>
      </c>
      <c r="Y825" s="43" t="s">
        <v>361</v>
      </c>
      <c r="Z825" s="43" t="s">
        <v>320</v>
      </c>
      <c r="AA825" s="43" t="s">
        <v>353</v>
      </c>
      <c r="AB825" s="144">
        <v>3.70000004768372E-2</v>
      </c>
      <c r="AF825" s="43" t="s">
        <v>55</v>
      </c>
      <c r="AG825" s="43" t="s">
        <v>438</v>
      </c>
      <c r="AJ825" s="140">
        <v>0</v>
      </c>
      <c r="AK825" s="140">
        <v>0</v>
      </c>
      <c r="AL825" s="140">
        <v>0</v>
      </c>
      <c r="AM825" s="140">
        <v>0</v>
      </c>
      <c r="AN825" s="140">
        <v>0</v>
      </c>
      <c r="AO825" s="140">
        <v>8</v>
      </c>
      <c r="AP825" s="140">
        <v>0</v>
      </c>
      <c r="AQ825" s="140">
        <v>0</v>
      </c>
      <c r="AR825" s="140">
        <v>0</v>
      </c>
      <c r="AS825" s="140">
        <v>0</v>
      </c>
      <c r="AT825" s="140">
        <v>0</v>
      </c>
      <c r="AU825" s="140">
        <v>0</v>
      </c>
      <c r="AV825" s="140">
        <v>8</v>
      </c>
      <c r="AW825" s="140">
        <v>0</v>
      </c>
      <c r="AX825" s="140">
        <v>0</v>
      </c>
      <c r="AY825" s="140">
        <v>0</v>
      </c>
      <c r="AZ825" s="140">
        <v>0</v>
      </c>
      <c r="BA825" s="140">
        <v>0</v>
      </c>
      <c r="BB825" s="140">
        <v>0</v>
      </c>
      <c r="BC825" s="140">
        <v>0</v>
      </c>
      <c r="BD825" s="140">
        <v>0</v>
      </c>
      <c r="BE825" s="140">
        <v>0</v>
      </c>
      <c r="BF825" s="140">
        <v>0</v>
      </c>
      <c r="BG825" s="140">
        <v>0</v>
      </c>
      <c r="BH825" s="140">
        <v>0</v>
      </c>
      <c r="BI825" s="140">
        <v>0</v>
      </c>
      <c r="BJ825" s="140">
        <v>0</v>
      </c>
      <c r="BK825" s="140">
        <v>0</v>
      </c>
      <c r="BL825" s="140">
        <v>0</v>
      </c>
      <c r="BM825" s="140">
        <v>0</v>
      </c>
      <c r="BN825" s="140">
        <v>0</v>
      </c>
      <c r="BO825" s="140">
        <v>0</v>
      </c>
      <c r="BX825" s="43">
        <v>7</v>
      </c>
      <c r="CB825" s="90">
        <f>M825</f>
        <v>8</v>
      </c>
      <c r="CT825" s="90">
        <f t="shared" si="96"/>
        <v>8</v>
      </c>
      <c r="CU825" s="90">
        <f t="shared" si="97"/>
        <v>8</v>
      </c>
    </row>
    <row r="826" spans="1:99" ht="12" customHeight="1">
      <c r="A826" s="43">
        <v>6767</v>
      </c>
      <c r="B826" s="89" t="s">
        <v>1515</v>
      </c>
      <c r="C826" s="89" t="s">
        <v>2301</v>
      </c>
      <c r="D826" s="89" t="s">
        <v>2302</v>
      </c>
      <c r="F826" s="43">
        <v>527493</v>
      </c>
      <c r="G826" s="43">
        <v>173327</v>
      </c>
      <c r="H826" s="89" t="s">
        <v>173</v>
      </c>
      <c r="K826" s="140">
        <v>1</v>
      </c>
      <c r="L826" s="140">
        <v>4</v>
      </c>
      <c r="M826" s="140">
        <v>3</v>
      </c>
      <c r="N826" s="140">
        <v>4</v>
      </c>
      <c r="O826" s="140">
        <v>3</v>
      </c>
      <c r="Q826" s="89" t="s">
        <v>2303</v>
      </c>
      <c r="R826" s="43" t="s">
        <v>316</v>
      </c>
      <c r="S826" s="125">
        <v>43083</v>
      </c>
      <c r="T826" s="117">
        <v>43210</v>
      </c>
      <c r="V826" s="43" t="s">
        <v>317</v>
      </c>
      <c r="X826" s="43" t="s">
        <v>318</v>
      </c>
      <c r="Y826" s="43" t="s">
        <v>319</v>
      </c>
      <c r="Z826" s="43" t="s">
        <v>320</v>
      </c>
      <c r="AA826" s="43" t="s">
        <v>20</v>
      </c>
      <c r="AB826" s="144">
        <v>2.19999998807907E-2</v>
      </c>
      <c r="AF826" s="43" t="s">
        <v>75</v>
      </c>
      <c r="AG826" s="43" t="s">
        <v>322</v>
      </c>
      <c r="AJ826" s="140">
        <v>0</v>
      </c>
      <c r="AK826" s="140">
        <v>0</v>
      </c>
      <c r="AL826" s="140">
        <v>0</v>
      </c>
      <c r="AM826" s="140">
        <v>0</v>
      </c>
      <c r="AN826" s="140">
        <v>0</v>
      </c>
      <c r="AO826" s="140">
        <v>1</v>
      </c>
      <c r="AP826" s="140">
        <v>1</v>
      </c>
      <c r="AQ826" s="140">
        <v>2</v>
      </c>
      <c r="AR826" s="140">
        <v>-1</v>
      </c>
      <c r="AS826" s="140">
        <v>0</v>
      </c>
      <c r="AT826" s="140">
        <v>0</v>
      </c>
      <c r="AU826" s="140">
        <v>0</v>
      </c>
      <c r="AV826" s="140">
        <v>1</v>
      </c>
      <c r="AW826" s="140">
        <v>1</v>
      </c>
      <c r="AX826" s="140">
        <v>2</v>
      </c>
      <c r="AY826" s="140">
        <v>0</v>
      </c>
      <c r="AZ826" s="140">
        <v>0</v>
      </c>
      <c r="BA826" s="140">
        <v>0</v>
      </c>
      <c r="BB826" s="140">
        <v>0</v>
      </c>
      <c r="BC826" s="140">
        <v>0</v>
      </c>
      <c r="BD826" s="140">
        <v>0</v>
      </c>
      <c r="BE826" s="140">
        <v>0</v>
      </c>
      <c r="BF826" s="140">
        <v>-1</v>
      </c>
      <c r="BG826" s="140">
        <v>0</v>
      </c>
      <c r="BH826" s="140">
        <v>0</v>
      </c>
      <c r="BI826" s="140">
        <v>0</v>
      </c>
      <c r="BJ826" s="140">
        <v>0</v>
      </c>
      <c r="BK826" s="140">
        <v>0</v>
      </c>
      <c r="BL826" s="140">
        <v>0</v>
      </c>
      <c r="BM826" s="140">
        <v>0</v>
      </c>
      <c r="BN826" s="140">
        <v>0</v>
      </c>
      <c r="BO826" s="140">
        <v>0</v>
      </c>
      <c r="BX826" s="43">
        <v>15</v>
      </c>
      <c r="BZ826" s="90">
        <f>$M826/3</f>
        <v>1</v>
      </c>
      <c r="CA826" s="90">
        <f>$M826/3</f>
        <v>1</v>
      </c>
      <c r="CB826" s="90">
        <f>$M826/3</f>
        <v>1</v>
      </c>
      <c r="CT826" s="90">
        <f t="shared" si="96"/>
        <v>3</v>
      </c>
      <c r="CU826" s="90">
        <f t="shared" si="97"/>
        <v>3</v>
      </c>
    </row>
    <row r="827" spans="1:99" ht="12" customHeight="1">
      <c r="A827" s="43">
        <v>6772</v>
      </c>
      <c r="B827" s="89" t="s">
        <v>1515</v>
      </c>
      <c r="C827" s="89" t="s">
        <v>2304</v>
      </c>
      <c r="D827" s="89" t="s">
        <v>2305</v>
      </c>
      <c r="F827" s="43">
        <v>522806</v>
      </c>
      <c r="G827" s="43">
        <v>175115</v>
      </c>
      <c r="H827" s="89" t="s">
        <v>181</v>
      </c>
      <c r="K827" s="140">
        <v>1</v>
      </c>
      <c r="L827" s="140">
        <v>1</v>
      </c>
      <c r="M827" s="140">
        <v>0</v>
      </c>
      <c r="N827" s="140">
        <v>1</v>
      </c>
      <c r="O827" s="140">
        <v>0</v>
      </c>
      <c r="Q827" s="89" t="s">
        <v>2306</v>
      </c>
      <c r="R827" s="43" t="s">
        <v>316</v>
      </c>
      <c r="S827" s="125">
        <v>43389</v>
      </c>
      <c r="T827" s="117">
        <v>43560</v>
      </c>
      <c r="U827" s="43" t="s">
        <v>329</v>
      </c>
      <c r="V827" s="43" t="s">
        <v>317</v>
      </c>
      <c r="X827" s="43" t="s">
        <v>318</v>
      </c>
      <c r="Y827" s="43" t="s">
        <v>361</v>
      </c>
      <c r="Z827" s="43" t="s">
        <v>320</v>
      </c>
      <c r="AA827" s="43" t="s">
        <v>353</v>
      </c>
      <c r="AB827" s="144">
        <v>3.0999999493360499E-2</v>
      </c>
      <c r="AF827" s="43" t="s">
        <v>75</v>
      </c>
      <c r="AG827" s="43" t="s">
        <v>322</v>
      </c>
      <c r="AJ827" s="140">
        <v>0</v>
      </c>
      <c r="AK827" s="140">
        <v>0</v>
      </c>
      <c r="AL827" s="140">
        <v>0</v>
      </c>
      <c r="AM827" s="140">
        <v>0</v>
      </c>
      <c r="AN827" s="140">
        <v>0</v>
      </c>
      <c r="AO827" s="140">
        <v>0</v>
      </c>
      <c r="AP827" s="140">
        <v>-1</v>
      </c>
      <c r="AQ827" s="140">
        <v>0</v>
      </c>
      <c r="AR827" s="140">
        <v>0</v>
      </c>
      <c r="AS827" s="140">
        <v>1</v>
      </c>
      <c r="AT827" s="140">
        <v>0</v>
      </c>
      <c r="AU827" s="140">
        <v>0</v>
      </c>
      <c r="AV827" s="140">
        <v>0</v>
      </c>
      <c r="AW827" s="140">
        <v>0</v>
      </c>
      <c r="AX827" s="140">
        <v>0</v>
      </c>
      <c r="AY827" s="140">
        <v>0</v>
      </c>
      <c r="AZ827" s="140">
        <v>0</v>
      </c>
      <c r="BA827" s="140">
        <v>0</v>
      </c>
      <c r="BB827" s="140">
        <v>0</v>
      </c>
      <c r="BC827" s="140">
        <v>0</v>
      </c>
      <c r="BD827" s="140">
        <v>-1</v>
      </c>
      <c r="BE827" s="140">
        <v>0</v>
      </c>
      <c r="BF827" s="140">
        <v>0</v>
      </c>
      <c r="BG827" s="140">
        <v>1</v>
      </c>
      <c r="BH827" s="140">
        <v>0</v>
      </c>
      <c r="BI827" s="140">
        <v>0</v>
      </c>
      <c r="BJ827" s="140">
        <v>0</v>
      </c>
      <c r="BK827" s="140">
        <v>0</v>
      </c>
      <c r="BL827" s="140">
        <v>0</v>
      </c>
      <c r="BM827" s="140">
        <v>0</v>
      </c>
      <c r="BN827" s="140">
        <v>0</v>
      </c>
      <c r="BO827" s="140">
        <v>0</v>
      </c>
      <c r="BX827" s="43">
        <v>6</v>
      </c>
      <c r="CA827" s="90">
        <f>$M827/4</f>
        <v>0</v>
      </c>
      <c r="CB827" s="90">
        <f>$M827/4</f>
        <v>0</v>
      </c>
      <c r="CC827" s="90">
        <f>$M827/4</f>
        <v>0</v>
      </c>
      <c r="CD827" s="90">
        <f>$M827/4</f>
        <v>0</v>
      </c>
      <c r="CT827" s="90">
        <f t="shared" si="96"/>
        <v>0</v>
      </c>
      <c r="CU827" s="90">
        <f t="shared" si="97"/>
        <v>0</v>
      </c>
    </row>
    <row r="828" spans="1:99" ht="12" customHeight="1">
      <c r="A828" s="43">
        <v>6773</v>
      </c>
      <c r="B828" s="89" t="s">
        <v>1515</v>
      </c>
      <c r="C828" s="89" t="s">
        <v>2307</v>
      </c>
      <c r="D828" s="89" t="s">
        <v>2308</v>
      </c>
      <c r="F828" s="43">
        <v>529047</v>
      </c>
      <c r="G828" s="43">
        <v>171267</v>
      </c>
      <c r="H828" s="89" t="s">
        <v>171</v>
      </c>
      <c r="K828" s="140">
        <v>1</v>
      </c>
      <c r="L828" s="140">
        <v>3</v>
      </c>
      <c r="M828" s="140">
        <v>2</v>
      </c>
      <c r="N828" s="140">
        <v>3</v>
      </c>
      <c r="O828" s="140">
        <v>2</v>
      </c>
      <c r="Q828" s="89" t="s">
        <v>2309</v>
      </c>
      <c r="R828" s="43" t="s">
        <v>383</v>
      </c>
      <c r="S828" s="125">
        <v>43374</v>
      </c>
      <c r="T828" s="117">
        <v>43430</v>
      </c>
      <c r="U828" s="43" t="s">
        <v>329</v>
      </c>
      <c r="V828" s="43" t="s">
        <v>384</v>
      </c>
      <c r="W828" s="117">
        <v>43682</v>
      </c>
      <c r="X828" s="43" t="s">
        <v>318</v>
      </c>
      <c r="Y828" s="43" t="s">
        <v>348</v>
      </c>
      <c r="Z828" s="43" t="s">
        <v>320</v>
      </c>
      <c r="AA828" s="43" t="s">
        <v>20</v>
      </c>
      <c r="AB828" s="144">
        <v>1.7000000923872001E-2</v>
      </c>
      <c r="AF828" s="43" t="s">
        <v>75</v>
      </c>
      <c r="AG828" s="43" t="s">
        <v>322</v>
      </c>
      <c r="AJ828" s="140">
        <v>0</v>
      </c>
      <c r="AK828" s="140">
        <v>0</v>
      </c>
      <c r="AL828" s="140">
        <v>0</v>
      </c>
      <c r="AM828" s="140">
        <v>0</v>
      </c>
      <c r="AN828" s="140">
        <v>0</v>
      </c>
      <c r="AO828" s="140">
        <v>1</v>
      </c>
      <c r="AP828" s="140">
        <v>1</v>
      </c>
      <c r="AQ828" s="140">
        <v>1</v>
      </c>
      <c r="AR828" s="140">
        <v>-1</v>
      </c>
      <c r="AS828" s="140">
        <v>0</v>
      </c>
      <c r="AT828" s="140">
        <v>0</v>
      </c>
      <c r="AU828" s="140">
        <v>0</v>
      </c>
      <c r="AV828" s="140">
        <v>1</v>
      </c>
      <c r="AW828" s="140">
        <v>1</v>
      </c>
      <c r="AX828" s="140">
        <v>1</v>
      </c>
      <c r="AY828" s="140">
        <v>0</v>
      </c>
      <c r="AZ828" s="140">
        <v>0</v>
      </c>
      <c r="BA828" s="140">
        <v>0</v>
      </c>
      <c r="BB828" s="140">
        <v>0</v>
      </c>
      <c r="BC828" s="140">
        <v>0</v>
      </c>
      <c r="BD828" s="140">
        <v>0</v>
      </c>
      <c r="BE828" s="140">
        <v>0</v>
      </c>
      <c r="BF828" s="140">
        <v>-1</v>
      </c>
      <c r="BG828" s="140">
        <v>0</v>
      </c>
      <c r="BH828" s="140">
        <v>0</v>
      </c>
      <c r="BI828" s="140">
        <v>0</v>
      </c>
      <c r="BJ828" s="140">
        <v>0</v>
      </c>
      <c r="BK828" s="140">
        <v>0</v>
      </c>
      <c r="BL828" s="140">
        <v>0</v>
      </c>
      <c r="BM828" s="140">
        <v>0</v>
      </c>
      <c r="BN828" s="140">
        <v>0</v>
      </c>
      <c r="BO828" s="140">
        <v>0</v>
      </c>
      <c r="BX828" s="43">
        <v>15</v>
      </c>
      <c r="BZ828" s="90">
        <f t="shared" ref="BZ828:CB831" si="110">$M828/3</f>
        <v>0.66666666666666663</v>
      </c>
      <c r="CA828" s="90">
        <f t="shared" si="110"/>
        <v>0.66666666666666663</v>
      </c>
      <c r="CB828" s="90">
        <f t="shared" si="110"/>
        <v>0.66666666666666663</v>
      </c>
      <c r="CT828" s="90">
        <f t="shared" si="96"/>
        <v>2</v>
      </c>
      <c r="CU828" s="90">
        <f t="shared" si="97"/>
        <v>2</v>
      </c>
    </row>
    <row r="829" spans="1:99" ht="12" customHeight="1">
      <c r="A829" s="43">
        <v>6779</v>
      </c>
      <c r="B829" s="89" t="s">
        <v>1515</v>
      </c>
      <c r="C829" s="89" t="s">
        <v>2310</v>
      </c>
      <c r="D829" s="89" t="s">
        <v>2311</v>
      </c>
      <c r="E829" s="89" t="s">
        <v>1598</v>
      </c>
      <c r="F829" s="43">
        <v>524846</v>
      </c>
      <c r="G829" s="43">
        <v>174902</v>
      </c>
      <c r="H829" s="89" t="s">
        <v>169</v>
      </c>
      <c r="K829" s="140">
        <v>0</v>
      </c>
      <c r="L829" s="140">
        <v>1</v>
      </c>
      <c r="M829" s="140">
        <v>1</v>
      </c>
      <c r="N829" s="140">
        <v>1</v>
      </c>
      <c r="O829" s="140">
        <v>1</v>
      </c>
      <c r="Q829" s="89" t="s">
        <v>2312</v>
      </c>
      <c r="R829" s="43" t="s">
        <v>316</v>
      </c>
      <c r="S829" s="125">
        <v>43116</v>
      </c>
      <c r="T829" s="117">
        <v>43249</v>
      </c>
      <c r="V829" s="43" t="s">
        <v>317</v>
      </c>
      <c r="X829" s="43" t="s">
        <v>318</v>
      </c>
      <c r="Y829" s="43" t="s">
        <v>379</v>
      </c>
      <c r="Z829" s="43" t="s">
        <v>320</v>
      </c>
      <c r="AA829" s="43" t="s">
        <v>340</v>
      </c>
      <c r="AB829" s="144">
        <v>6.0000000521540598E-3</v>
      </c>
      <c r="AF829" s="43" t="s">
        <v>75</v>
      </c>
      <c r="AG829" s="43" t="s">
        <v>322</v>
      </c>
      <c r="AJ829" s="140">
        <v>0</v>
      </c>
      <c r="AK829" s="140">
        <v>0</v>
      </c>
      <c r="AL829" s="140">
        <v>0</v>
      </c>
      <c r="AM829" s="140">
        <v>0</v>
      </c>
      <c r="AN829" s="140">
        <v>0</v>
      </c>
      <c r="AO829" s="140">
        <v>0</v>
      </c>
      <c r="AP829" s="140">
        <v>1</v>
      </c>
      <c r="AQ829" s="140">
        <v>0</v>
      </c>
      <c r="AR829" s="140">
        <v>0</v>
      </c>
      <c r="AS829" s="140">
        <v>0</v>
      </c>
      <c r="AT829" s="140">
        <v>0</v>
      </c>
      <c r="AU829" s="140">
        <v>0</v>
      </c>
      <c r="AV829" s="140">
        <v>0</v>
      </c>
      <c r="AW829" s="140">
        <v>1</v>
      </c>
      <c r="AX829" s="140">
        <v>0</v>
      </c>
      <c r="AY829" s="140">
        <v>0</v>
      </c>
      <c r="AZ829" s="140">
        <v>0</v>
      </c>
      <c r="BA829" s="140">
        <v>0</v>
      </c>
      <c r="BB829" s="140">
        <v>0</v>
      </c>
      <c r="BC829" s="140">
        <v>0</v>
      </c>
      <c r="BD829" s="140">
        <v>0</v>
      </c>
      <c r="BE829" s="140">
        <v>0</v>
      </c>
      <c r="BF829" s="140">
        <v>0</v>
      </c>
      <c r="BG829" s="140">
        <v>0</v>
      </c>
      <c r="BH829" s="140">
        <v>0</v>
      </c>
      <c r="BI829" s="140">
        <v>0</v>
      </c>
      <c r="BJ829" s="140">
        <v>0</v>
      </c>
      <c r="BK829" s="140">
        <v>0</v>
      </c>
      <c r="BL829" s="140">
        <v>0</v>
      </c>
      <c r="BM829" s="140">
        <v>0</v>
      </c>
      <c r="BN829" s="140">
        <v>0</v>
      </c>
      <c r="BO829" s="140">
        <v>0</v>
      </c>
      <c r="BX829" s="43">
        <v>15</v>
      </c>
      <c r="BZ829" s="90">
        <f t="shared" si="110"/>
        <v>0.33333333333333331</v>
      </c>
      <c r="CA829" s="90">
        <f t="shared" si="110"/>
        <v>0.33333333333333331</v>
      </c>
      <c r="CB829" s="90">
        <f t="shared" si="110"/>
        <v>0.33333333333333331</v>
      </c>
      <c r="CT829" s="90">
        <f t="shared" si="96"/>
        <v>1</v>
      </c>
      <c r="CU829" s="90">
        <f t="shared" si="97"/>
        <v>1</v>
      </c>
    </row>
    <row r="830" spans="1:99" ht="12" customHeight="1">
      <c r="A830" s="43">
        <v>6781</v>
      </c>
      <c r="B830" s="89" t="s">
        <v>1515</v>
      </c>
      <c r="C830" s="89" t="s">
        <v>2313</v>
      </c>
      <c r="D830" s="89" t="s">
        <v>2314</v>
      </c>
      <c r="F830" s="43">
        <v>527446</v>
      </c>
      <c r="G830" s="43">
        <v>171022</v>
      </c>
      <c r="H830" s="89" t="s">
        <v>172</v>
      </c>
      <c r="K830" s="140">
        <v>0</v>
      </c>
      <c r="L830" s="140">
        <v>1</v>
      </c>
      <c r="M830" s="140">
        <v>1</v>
      </c>
      <c r="N830" s="140">
        <v>1</v>
      </c>
      <c r="O830" s="140">
        <v>1</v>
      </c>
      <c r="Q830" s="89" t="s">
        <v>2315</v>
      </c>
      <c r="R830" s="43" t="s">
        <v>316</v>
      </c>
      <c r="S830" s="125">
        <v>43108</v>
      </c>
      <c r="T830" s="117">
        <v>43164</v>
      </c>
      <c r="V830" s="43" t="s">
        <v>317</v>
      </c>
      <c r="X830" s="43" t="s">
        <v>318</v>
      </c>
      <c r="Y830" s="43" t="s">
        <v>379</v>
      </c>
      <c r="Z830" s="43" t="s">
        <v>320</v>
      </c>
      <c r="AA830" s="43" t="s">
        <v>340</v>
      </c>
      <c r="AB830" s="144">
        <v>4.9999998882412902E-3</v>
      </c>
      <c r="AF830" s="43" t="s">
        <v>75</v>
      </c>
      <c r="AG830" s="43" t="s">
        <v>322</v>
      </c>
      <c r="AJ830" s="140">
        <v>0</v>
      </c>
      <c r="AK830" s="140">
        <v>0</v>
      </c>
      <c r="AL830" s="140">
        <v>0</v>
      </c>
      <c r="AM830" s="140">
        <v>0</v>
      </c>
      <c r="AN830" s="140">
        <v>0</v>
      </c>
      <c r="AO830" s="140">
        <v>1</v>
      </c>
      <c r="AP830" s="140">
        <v>0</v>
      </c>
      <c r="AQ830" s="140">
        <v>0</v>
      </c>
      <c r="AR830" s="140">
        <v>0</v>
      </c>
      <c r="AS830" s="140">
        <v>0</v>
      </c>
      <c r="AT830" s="140">
        <v>0</v>
      </c>
      <c r="AU830" s="140">
        <v>0</v>
      </c>
      <c r="AV830" s="140">
        <v>1</v>
      </c>
      <c r="AW830" s="140">
        <v>0</v>
      </c>
      <c r="AX830" s="140">
        <v>0</v>
      </c>
      <c r="AY830" s="140">
        <v>0</v>
      </c>
      <c r="AZ830" s="140">
        <v>0</v>
      </c>
      <c r="BA830" s="140">
        <v>0</v>
      </c>
      <c r="BB830" s="140">
        <v>0</v>
      </c>
      <c r="BC830" s="140">
        <v>0</v>
      </c>
      <c r="BD830" s="140">
        <v>0</v>
      </c>
      <c r="BE830" s="140">
        <v>0</v>
      </c>
      <c r="BF830" s="140">
        <v>0</v>
      </c>
      <c r="BG830" s="140">
        <v>0</v>
      </c>
      <c r="BH830" s="140">
        <v>0</v>
      </c>
      <c r="BI830" s="140">
        <v>0</v>
      </c>
      <c r="BJ830" s="140">
        <v>0</v>
      </c>
      <c r="BK830" s="140">
        <v>0</v>
      </c>
      <c r="BL830" s="140">
        <v>0</v>
      </c>
      <c r="BM830" s="140">
        <v>0</v>
      </c>
      <c r="BN830" s="140">
        <v>0</v>
      </c>
      <c r="BO830" s="140">
        <v>0</v>
      </c>
      <c r="BX830" s="43">
        <v>15</v>
      </c>
      <c r="BZ830" s="90">
        <f t="shared" si="110"/>
        <v>0.33333333333333331</v>
      </c>
      <c r="CA830" s="90">
        <f t="shared" si="110"/>
        <v>0.33333333333333331</v>
      </c>
      <c r="CB830" s="90">
        <f t="shared" si="110"/>
        <v>0.33333333333333331</v>
      </c>
      <c r="CT830" s="90">
        <f t="shared" si="96"/>
        <v>1</v>
      </c>
      <c r="CU830" s="90">
        <f t="shared" si="97"/>
        <v>1</v>
      </c>
    </row>
    <row r="831" spans="1:99" ht="12" customHeight="1">
      <c r="A831" s="43">
        <v>6789</v>
      </c>
      <c r="B831" s="89" t="s">
        <v>1515</v>
      </c>
      <c r="C831" s="89" t="s">
        <v>2316</v>
      </c>
      <c r="D831" s="89" t="s">
        <v>2317</v>
      </c>
      <c r="E831" s="89" t="s">
        <v>1598</v>
      </c>
      <c r="F831" s="43">
        <v>528385</v>
      </c>
      <c r="G831" s="43">
        <v>175721</v>
      </c>
      <c r="H831" s="89" t="s">
        <v>175</v>
      </c>
      <c r="K831" s="140">
        <v>0</v>
      </c>
      <c r="L831" s="140">
        <v>3</v>
      </c>
      <c r="M831" s="140">
        <v>3</v>
      </c>
      <c r="N831" s="140">
        <v>3</v>
      </c>
      <c r="O831" s="140">
        <v>3</v>
      </c>
      <c r="Q831" s="89" t="s">
        <v>2318</v>
      </c>
      <c r="R831" s="43" t="s">
        <v>316</v>
      </c>
      <c r="S831" s="125">
        <v>43116</v>
      </c>
      <c r="T831" s="117">
        <v>43250</v>
      </c>
      <c r="V831" s="43" t="s">
        <v>317</v>
      </c>
      <c r="X831" s="43" t="s">
        <v>318</v>
      </c>
      <c r="Y831" s="43" t="s">
        <v>379</v>
      </c>
      <c r="Z831" s="43" t="s">
        <v>320</v>
      </c>
      <c r="AA831" s="43" t="s">
        <v>340</v>
      </c>
      <c r="AB831" s="144">
        <v>1.4000000432133701E-2</v>
      </c>
      <c r="AF831" s="43" t="s">
        <v>75</v>
      </c>
      <c r="AG831" s="43" t="s">
        <v>322</v>
      </c>
      <c r="AJ831" s="140">
        <v>0</v>
      </c>
      <c r="AK831" s="140">
        <v>0</v>
      </c>
      <c r="AL831" s="140">
        <v>0</v>
      </c>
      <c r="AM831" s="140">
        <v>0</v>
      </c>
      <c r="AN831" s="140">
        <v>1</v>
      </c>
      <c r="AO831" s="140">
        <v>2</v>
      </c>
      <c r="AP831" s="140">
        <v>0</v>
      </c>
      <c r="AQ831" s="140">
        <v>0</v>
      </c>
      <c r="AR831" s="140">
        <v>0</v>
      </c>
      <c r="AS831" s="140">
        <v>0</v>
      </c>
      <c r="AT831" s="140">
        <v>0</v>
      </c>
      <c r="AU831" s="140">
        <v>1</v>
      </c>
      <c r="AV831" s="140">
        <v>2</v>
      </c>
      <c r="AW831" s="140">
        <v>0</v>
      </c>
      <c r="AX831" s="140">
        <v>0</v>
      </c>
      <c r="AY831" s="140">
        <v>0</v>
      </c>
      <c r="AZ831" s="140">
        <v>0</v>
      </c>
      <c r="BA831" s="140">
        <v>0</v>
      </c>
      <c r="BB831" s="140">
        <v>0</v>
      </c>
      <c r="BC831" s="140">
        <v>0</v>
      </c>
      <c r="BD831" s="140">
        <v>0</v>
      </c>
      <c r="BE831" s="140">
        <v>0</v>
      </c>
      <c r="BF831" s="140">
        <v>0</v>
      </c>
      <c r="BG831" s="140">
        <v>0</v>
      </c>
      <c r="BH831" s="140">
        <v>0</v>
      </c>
      <c r="BI831" s="140">
        <v>0</v>
      </c>
      <c r="BJ831" s="140">
        <v>0</v>
      </c>
      <c r="BK831" s="140">
        <v>0</v>
      </c>
      <c r="BL831" s="140">
        <v>0</v>
      </c>
      <c r="BM831" s="140">
        <v>0</v>
      </c>
      <c r="BN831" s="140">
        <v>0</v>
      </c>
      <c r="BO831" s="140">
        <v>0</v>
      </c>
      <c r="BX831" s="43">
        <v>15</v>
      </c>
      <c r="BZ831" s="90">
        <f t="shared" si="110"/>
        <v>1</v>
      </c>
      <c r="CA831" s="90">
        <f t="shared" si="110"/>
        <v>1</v>
      </c>
      <c r="CB831" s="90">
        <f t="shared" si="110"/>
        <v>1</v>
      </c>
      <c r="CT831" s="90">
        <f t="shared" si="96"/>
        <v>3</v>
      </c>
      <c r="CU831" s="90">
        <f t="shared" si="97"/>
        <v>3</v>
      </c>
    </row>
    <row r="832" spans="1:99" ht="12" customHeight="1">
      <c r="A832" s="43">
        <v>6798</v>
      </c>
      <c r="B832" s="89" t="s">
        <v>1515</v>
      </c>
      <c r="C832" s="89" t="s">
        <v>2319</v>
      </c>
      <c r="D832" s="89" t="s">
        <v>2320</v>
      </c>
      <c r="F832" s="43">
        <v>527317</v>
      </c>
      <c r="G832" s="43">
        <v>171519</v>
      </c>
      <c r="H832" s="89" t="s">
        <v>141</v>
      </c>
      <c r="K832" s="140">
        <v>0</v>
      </c>
      <c r="L832" s="140">
        <v>1</v>
      </c>
      <c r="M832" s="140">
        <v>1</v>
      </c>
      <c r="N832" s="140">
        <v>1</v>
      </c>
      <c r="O832" s="140">
        <v>1</v>
      </c>
      <c r="Q832" s="89" t="s">
        <v>2321</v>
      </c>
      <c r="R832" s="43" t="s">
        <v>316</v>
      </c>
      <c r="S832" s="125">
        <v>43038</v>
      </c>
      <c r="T832" s="117">
        <v>43133</v>
      </c>
      <c r="V832" s="43" t="s">
        <v>317</v>
      </c>
      <c r="X832" s="43" t="s">
        <v>318</v>
      </c>
      <c r="Y832" s="43" t="s">
        <v>361</v>
      </c>
      <c r="Z832" s="43" t="s">
        <v>320</v>
      </c>
      <c r="AA832" s="43" t="s">
        <v>353</v>
      </c>
      <c r="AB832" s="144">
        <v>3.0000000260770299E-3</v>
      </c>
      <c r="AF832" s="43" t="s">
        <v>75</v>
      </c>
      <c r="AG832" s="43" t="s">
        <v>322</v>
      </c>
      <c r="AJ832" s="140">
        <v>0</v>
      </c>
      <c r="AK832" s="140">
        <v>0</v>
      </c>
      <c r="AL832" s="140">
        <v>0</v>
      </c>
      <c r="AM832" s="140">
        <v>0</v>
      </c>
      <c r="AN832" s="140">
        <v>0</v>
      </c>
      <c r="AO832" s="140">
        <v>0</v>
      </c>
      <c r="AP832" s="140">
        <v>1</v>
      </c>
      <c r="AQ832" s="140">
        <v>0</v>
      </c>
      <c r="AR832" s="140">
        <v>0</v>
      </c>
      <c r="AS832" s="140">
        <v>0</v>
      </c>
      <c r="AT832" s="140">
        <v>0</v>
      </c>
      <c r="AU832" s="140">
        <v>0</v>
      </c>
      <c r="AV832" s="140">
        <v>0</v>
      </c>
      <c r="AW832" s="140">
        <v>0</v>
      </c>
      <c r="AX832" s="140">
        <v>0</v>
      </c>
      <c r="AY832" s="140">
        <v>0</v>
      </c>
      <c r="AZ832" s="140">
        <v>0</v>
      </c>
      <c r="BA832" s="140">
        <v>0</v>
      </c>
      <c r="BB832" s="140">
        <v>0</v>
      </c>
      <c r="BC832" s="140">
        <v>0</v>
      </c>
      <c r="BD832" s="140">
        <v>1</v>
      </c>
      <c r="BE832" s="140">
        <v>0</v>
      </c>
      <c r="BF832" s="140">
        <v>0</v>
      </c>
      <c r="BG832" s="140">
        <v>0</v>
      </c>
      <c r="BH832" s="140">
        <v>0</v>
      </c>
      <c r="BI832" s="140">
        <v>0</v>
      </c>
      <c r="BJ832" s="140">
        <v>0</v>
      </c>
      <c r="BK832" s="140">
        <v>0</v>
      </c>
      <c r="BL832" s="140">
        <v>0</v>
      </c>
      <c r="BM832" s="140">
        <v>0</v>
      </c>
      <c r="BN832" s="140">
        <v>0</v>
      </c>
      <c r="BO832" s="140">
        <v>0</v>
      </c>
      <c r="BX832" s="43">
        <v>6</v>
      </c>
      <c r="CA832" s="90">
        <f>$M832/4</f>
        <v>0.25</v>
      </c>
      <c r="CB832" s="90">
        <f>$M832/4</f>
        <v>0.25</v>
      </c>
      <c r="CC832" s="90">
        <f>$M832/4</f>
        <v>0.25</v>
      </c>
      <c r="CD832" s="90">
        <f>$M832/4</f>
        <v>0.25</v>
      </c>
      <c r="CT832" s="90">
        <f t="shared" si="96"/>
        <v>1</v>
      </c>
      <c r="CU832" s="90">
        <f t="shared" si="97"/>
        <v>1</v>
      </c>
    </row>
    <row r="833" spans="1:99" ht="12" customHeight="1">
      <c r="A833" s="43">
        <v>6804</v>
      </c>
      <c r="B833" s="89" t="s">
        <v>1515</v>
      </c>
      <c r="C833" s="89" t="s">
        <v>2322</v>
      </c>
      <c r="D833" s="89" t="s">
        <v>2323</v>
      </c>
      <c r="F833" s="43">
        <v>523594</v>
      </c>
      <c r="G833" s="43">
        <v>175801</v>
      </c>
      <c r="H833" s="89" t="s">
        <v>178</v>
      </c>
      <c r="K833" s="140">
        <v>0</v>
      </c>
      <c r="L833" s="140">
        <v>1</v>
      </c>
      <c r="M833" s="140">
        <v>1</v>
      </c>
      <c r="N833" s="140">
        <v>3</v>
      </c>
      <c r="O833" s="140">
        <v>1</v>
      </c>
      <c r="Q833" s="89" t="s">
        <v>2324</v>
      </c>
      <c r="R833" s="43" t="s">
        <v>316</v>
      </c>
      <c r="S833" s="125">
        <v>43123</v>
      </c>
      <c r="T833" s="117">
        <v>43208</v>
      </c>
      <c r="V833" s="43" t="s">
        <v>317</v>
      </c>
      <c r="X833" s="43" t="s">
        <v>318</v>
      </c>
      <c r="Y833" s="43" t="s">
        <v>319</v>
      </c>
      <c r="Z833" s="43" t="s">
        <v>320</v>
      </c>
      <c r="AA833" s="43" t="s">
        <v>353</v>
      </c>
      <c r="AB833" s="144">
        <v>4.0000001899898104E-3</v>
      </c>
      <c r="AF833" s="43" t="s">
        <v>75</v>
      </c>
      <c r="AG833" s="43" t="s">
        <v>322</v>
      </c>
      <c r="AJ833" s="140">
        <v>0</v>
      </c>
      <c r="AK833" s="140">
        <v>0</v>
      </c>
      <c r="AL833" s="140">
        <v>0</v>
      </c>
      <c r="AM833" s="140">
        <v>0</v>
      </c>
      <c r="AN833" s="140">
        <v>0</v>
      </c>
      <c r="AO833" s="140">
        <v>1</v>
      </c>
      <c r="AP833" s="140">
        <v>0</v>
      </c>
      <c r="AQ833" s="140">
        <v>0</v>
      </c>
      <c r="AR833" s="140">
        <v>0</v>
      </c>
      <c r="AS833" s="140">
        <v>0</v>
      </c>
      <c r="AT833" s="140">
        <v>0</v>
      </c>
      <c r="AU833" s="140">
        <v>0</v>
      </c>
      <c r="AV833" s="140">
        <v>1</v>
      </c>
      <c r="AW833" s="140">
        <v>0</v>
      </c>
      <c r="AX833" s="140">
        <v>0</v>
      </c>
      <c r="AY833" s="140">
        <v>0</v>
      </c>
      <c r="AZ833" s="140">
        <v>0</v>
      </c>
      <c r="BA833" s="140">
        <v>0</v>
      </c>
      <c r="BB833" s="140">
        <v>0</v>
      </c>
      <c r="BC833" s="140">
        <v>0</v>
      </c>
      <c r="BD833" s="140">
        <v>0</v>
      </c>
      <c r="BE833" s="140">
        <v>0</v>
      </c>
      <c r="BF833" s="140">
        <v>0</v>
      </c>
      <c r="BG833" s="140">
        <v>0</v>
      </c>
      <c r="BH833" s="140">
        <v>0</v>
      </c>
      <c r="BI833" s="140">
        <v>0</v>
      </c>
      <c r="BJ833" s="140">
        <v>0</v>
      </c>
      <c r="BK833" s="140">
        <v>0</v>
      </c>
      <c r="BL833" s="140">
        <v>0</v>
      </c>
      <c r="BM833" s="140">
        <v>0</v>
      </c>
      <c r="BN833" s="140">
        <v>0</v>
      </c>
      <c r="BO833" s="140">
        <v>0</v>
      </c>
      <c r="BX833" s="43">
        <v>15</v>
      </c>
      <c r="BZ833" s="90">
        <f t="shared" ref="BZ833:CB834" si="111">$M833/3</f>
        <v>0.33333333333333331</v>
      </c>
      <c r="CA833" s="90">
        <f t="shared" si="111"/>
        <v>0.33333333333333331</v>
      </c>
      <c r="CB833" s="90">
        <f t="shared" si="111"/>
        <v>0.33333333333333331</v>
      </c>
      <c r="CT833" s="90">
        <f t="shared" si="96"/>
        <v>1</v>
      </c>
      <c r="CU833" s="90">
        <f t="shared" si="97"/>
        <v>1</v>
      </c>
    </row>
    <row r="834" spans="1:99" ht="12" customHeight="1">
      <c r="A834" s="43">
        <v>6804</v>
      </c>
      <c r="B834" s="89" t="s">
        <v>1515</v>
      </c>
      <c r="C834" s="89" t="s">
        <v>2325</v>
      </c>
      <c r="D834" s="89" t="s">
        <v>2323</v>
      </c>
      <c r="F834" s="43">
        <v>523594</v>
      </c>
      <c r="G834" s="43">
        <v>175801</v>
      </c>
      <c r="H834" s="89" t="s">
        <v>178</v>
      </c>
      <c r="K834" s="140">
        <v>2</v>
      </c>
      <c r="L834" s="140">
        <v>2</v>
      </c>
      <c r="M834" s="140">
        <v>0</v>
      </c>
      <c r="N834" s="140">
        <v>2</v>
      </c>
      <c r="O834" s="140">
        <v>0</v>
      </c>
      <c r="Q834" s="89" t="s">
        <v>2326</v>
      </c>
      <c r="R834" s="43" t="s">
        <v>406</v>
      </c>
      <c r="S834" s="125">
        <v>43250</v>
      </c>
      <c r="T834" s="117">
        <v>43271</v>
      </c>
      <c r="V834" s="43" t="s">
        <v>317</v>
      </c>
      <c r="X834" s="43" t="s">
        <v>318</v>
      </c>
      <c r="Y834" s="43" t="s">
        <v>348</v>
      </c>
      <c r="Z834" s="43" t="s">
        <v>320</v>
      </c>
      <c r="AA834" s="43" t="s">
        <v>321</v>
      </c>
      <c r="AB834" s="144">
        <v>7.0000002160668399E-3</v>
      </c>
      <c r="AF834" s="43" t="s">
        <v>75</v>
      </c>
      <c r="AG834" s="43" t="s">
        <v>322</v>
      </c>
      <c r="AJ834" s="140">
        <v>0</v>
      </c>
      <c r="AK834" s="140">
        <v>0</v>
      </c>
      <c r="AL834" s="140">
        <v>0</v>
      </c>
      <c r="AM834" s="140">
        <v>0</v>
      </c>
      <c r="AN834" s="140">
        <v>0</v>
      </c>
      <c r="AO834" s="140">
        <v>0</v>
      </c>
      <c r="AP834" s="140">
        <v>-1</v>
      </c>
      <c r="AQ834" s="140">
        <v>1</v>
      </c>
      <c r="AR834" s="140">
        <v>0</v>
      </c>
      <c r="AS834" s="140">
        <v>0</v>
      </c>
      <c r="AT834" s="140">
        <v>0</v>
      </c>
      <c r="AU834" s="140">
        <v>0</v>
      </c>
      <c r="AV834" s="140">
        <v>0</v>
      </c>
      <c r="AW834" s="140">
        <v>-1</v>
      </c>
      <c r="AX834" s="140">
        <v>1</v>
      </c>
      <c r="AY834" s="140">
        <v>0</v>
      </c>
      <c r="AZ834" s="140">
        <v>0</v>
      </c>
      <c r="BA834" s="140">
        <v>0</v>
      </c>
      <c r="BB834" s="140">
        <v>0</v>
      </c>
      <c r="BC834" s="140">
        <v>0</v>
      </c>
      <c r="BD834" s="140">
        <v>0</v>
      </c>
      <c r="BE834" s="140">
        <v>0</v>
      </c>
      <c r="BF834" s="140">
        <v>0</v>
      </c>
      <c r="BG834" s="140">
        <v>0</v>
      </c>
      <c r="BH834" s="140">
        <v>0</v>
      </c>
      <c r="BI834" s="140">
        <v>0</v>
      </c>
      <c r="BJ834" s="140">
        <v>0</v>
      </c>
      <c r="BK834" s="140">
        <v>0</v>
      </c>
      <c r="BL834" s="140">
        <v>0</v>
      </c>
      <c r="BM834" s="140">
        <v>0</v>
      </c>
      <c r="BN834" s="140">
        <v>0</v>
      </c>
      <c r="BO834" s="140">
        <v>0</v>
      </c>
      <c r="BX834" s="43">
        <v>15</v>
      </c>
      <c r="BZ834" s="90">
        <f t="shared" si="111"/>
        <v>0</v>
      </c>
      <c r="CA834" s="90">
        <f t="shared" si="111"/>
        <v>0</v>
      </c>
      <c r="CB834" s="90">
        <f t="shared" si="111"/>
        <v>0</v>
      </c>
      <c r="CT834" s="90">
        <f t="shared" ref="CT834:CT897" si="112">SUM(BZ834:CD834)</f>
        <v>0</v>
      </c>
      <c r="CU834" s="90">
        <f t="shared" ref="CU834:CU897" si="113">SUM(BZ834:CI834)</f>
        <v>0</v>
      </c>
    </row>
    <row r="835" spans="1:99" ht="12" customHeight="1">
      <c r="A835" s="43">
        <v>6805</v>
      </c>
      <c r="B835" s="89" t="s">
        <v>1515</v>
      </c>
      <c r="C835" s="89" t="s">
        <v>2327</v>
      </c>
      <c r="D835" s="89" t="s">
        <v>2328</v>
      </c>
      <c r="E835" s="89" t="s">
        <v>2329</v>
      </c>
      <c r="F835" s="43">
        <v>524490</v>
      </c>
      <c r="G835" s="43">
        <v>175266</v>
      </c>
      <c r="H835" s="89" t="s">
        <v>178</v>
      </c>
      <c r="K835" s="140">
        <v>0</v>
      </c>
      <c r="L835" s="140">
        <v>5</v>
      </c>
      <c r="M835" s="140">
        <v>5</v>
      </c>
      <c r="N835" s="140">
        <v>6</v>
      </c>
      <c r="O835" s="140">
        <v>6</v>
      </c>
      <c r="Q835" s="89" t="s">
        <v>2330</v>
      </c>
      <c r="R835" s="43" t="s">
        <v>316</v>
      </c>
      <c r="S835" s="125">
        <v>43136</v>
      </c>
      <c r="T835" s="117">
        <v>43278</v>
      </c>
      <c r="V835" s="43" t="s">
        <v>317</v>
      </c>
      <c r="X835" s="43" t="s">
        <v>318</v>
      </c>
      <c r="Y835" s="43" t="s">
        <v>319</v>
      </c>
      <c r="Z835" s="43" t="s">
        <v>320</v>
      </c>
      <c r="AA835" s="43" t="s">
        <v>36</v>
      </c>
      <c r="AB835" s="144">
        <v>1.60000007599592E-2</v>
      </c>
      <c r="AF835" s="43" t="s">
        <v>75</v>
      </c>
      <c r="AG835" s="43" t="s">
        <v>322</v>
      </c>
      <c r="AJ835" s="140">
        <v>0</v>
      </c>
      <c r="AK835" s="140">
        <v>0</v>
      </c>
      <c r="AL835" s="140">
        <v>0</v>
      </c>
      <c r="AM835" s="140">
        <v>0</v>
      </c>
      <c r="AN835" s="140">
        <v>0</v>
      </c>
      <c r="AO835" s="140">
        <v>1</v>
      </c>
      <c r="AP835" s="140">
        <v>4</v>
      </c>
      <c r="AQ835" s="140">
        <v>0</v>
      </c>
      <c r="AR835" s="140">
        <v>0</v>
      </c>
      <c r="AS835" s="140">
        <v>0</v>
      </c>
      <c r="AT835" s="140">
        <v>0</v>
      </c>
      <c r="AU835" s="140">
        <v>0</v>
      </c>
      <c r="AV835" s="140">
        <v>1</v>
      </c>
      <c r="AW835" s="140">
        <v>4</v>
      </c>
      <c r="AX835" s="140">
        <v>0</v>
      </c>
      <c r="AY835" s="140">
        <v>0</v>
      </c>
      <c r="AZ835" s="140">
        <v>0</v>
      </c>
      <c r="BA835" s="140">
        <v>0</v>
      </c>
      <c r="BB835" s="140">
        <v>0</v>
      </c>
      <c r="BC835" s="140">
        <v>0</v>
      </c>
      <c r="BD835" s="140">
        <v>0</v>
      </c>
      <c r="BE835" s="140">
        <v>0</v>
      </c>
      <c r="BF835" s="140">
        <v>0</v>
      </c>
      <c r="BG835" s="140">
        <v>0</v>
      </c>
      <c r="BH835" s="140">
        <v>0</v>
      </c>
      <c r="BI835" s="140">
        <v>0</v>
      </c>
      <c r="BJ835" s="140">
        <v>0</v>
      </c>
      <c r="BK835" s="140">
        <v>0</v>
      </c>
      <c r="BL835" s="140">
        <v>0</v>
      </c>
      <c r="BM835" s="140">
        <v>0</v>
      </c>
      <c r="BN835" s="140">
        <v>0</v>
      </c>
      <c r="BO835" s="140">
        <v>0</v>
      </c>
      <c r="BX835" s="43">
        <v>18</v>
      </c>
      <c r="CA835" s="90">
        <f t="shared" ref="CA835:CD837" si="114">$M835/4</f>
        <v>1.25</v>
      </c>
      <c r="CB835" s="90">
        <f t="shared" si="114"/>
        <v>1.25</v>
      </c>
      <c r="CC835" s="90">
        <f t="shared" si="114"/>
        <v>1.25</v>
      </c>
      <c r="CD835" s="90">
        <f t="shared" si="114"/>
        <v>1.25</v>
      </c>
      <c r="CT835" s="90">
        <f t="shared" si="112"/>
        <v>5</v>
      </c>
      <c r="CU835" s="90">
        <f t="shared" si="113"/>
        <v>5</v>
      </c>
    </row>
    <row r="836" spans="1:99" ht="12" customHeight="1">
      <c r="A836" s="43">
        <v>6805</v>
      </c>
      <c r="B836" s="89" t="s">
        <v>1515</v>
      </c>
      <c r="C836" s="89" t="s">
        <v>2327</v>
      </c>
      <c r="D836" s="89" t="s">
        <v>2328</v>
      </c>
      <c r="E836" s="89" t="s">
        <v>661</v>
      </c>
      <c r="F836" s="43">
        <v>524490</v>
      </c>
      <c r="G836" s="43">
        <v>175266</v>
      </c>
      <c r="H836" s="89" t="s">
        <v>178</v>
      </c>
      <c r="K836" s="140">
        <v>0</v>
      </c>
      <c r="L836" s="140">
        <v>1</v>
      </c>
      <c r="M836" s="140">
        <v>1</v>
      </c>
      <c r="N836" s="140">
        <v>6</v>
      </c>
      <c r="O836" s="140">
        <v>6</v>
      </c>
      <c r="Q836" s="89" t="s">
        <v>2330</v>
      </c>
      <c r="R836" s="43" t="s">
        <v>316</v>
      </c>
      <c r="S836" s="125">
        <v>43136</v>
      </c>
      <c r="T836" s="117">
        <v>43278</v>
      </c>
      <c r="V836" s="43" t="s">
        <v>317</v>
      </c>
      <c r="X836" s="43" t="s">
        <v>318</v>
      </c>
      <c r="Y836" s="43" t="s">
        <v>319</v>
      </c>
      <c r="Z836" s="43" t="s">
        <v>320</v>
      </c>
      <c r="AA836" s="43" t="s">
        <v>353</v>
      </c>
      <c r="AB836" s="144">
        <v>4.0000001899898104E-3</v>
      </c>
      <c r="AF836" s="43" t="s">
        <v>75</v>
      </c>
      <c r="AG836" s="43" t="s">
        <v>322</v>
      </c>
      <c r="AJ836" s="140">
        <v>0</v>
      </c>
      <c r="AK836" s="140">
        <v>0</v>
      </c>
      <c r="AL836" s="140">
        <v>0</v>
      </c>
      <c r="AM836" s="140">
        <v>0</v>
      </c>
      <c r="AN836" s="140">
        <v>0</v>
      </c>
      <c r="AO836" s="140">
        <v>1</v>
      </c>
      <c r="AP836" s="140">
        <v>0</v>
      </c>
      <c r="AQ836" s="140">
        <v>0</v>
      </c>
      <c r="AR836" s="140">
        <v>0</v>
      </c>
      <c r="AS836" s="140">
        <v>0</v>
      </c>
      <c r="AT836" s="140">
        <v>0</v>
      </c>
      <c r="AU836" s="140">
        <v>0</v>
      </c>
      <c r="AV836" s="140">
        <v>1</v>
      </c>
      <c r="AW836" s="140">
        <v>0</v>
      </c>
      <c r="AX836" s="140">
        <v>0</v>
      </c>
      <c r="AY836" s="140">
        <v>0</v>
      </c>
      <c r="AZ836" s="140">
        <v>0</v>
      </c>
      <c r="BA836" s="140">
        <v>0</v>
      </c>
      <c r="BB836" s="140">
        <v>0</v>
      </c>
      <c r="BC836" s="140">
        <v>0</v>
      </c>
      <c r="BD836" s="140">
        <v>0</v>
      </c>
      <c r="BE836" s="140">
        <v>0</v>
      </c>
      <c r="BF836" s="140">
        <v>0</v>
      </c>
      <c r="BG836" s="140">
        <v>0</v>
      </c>
      <c r="BH836" s="140">
        <v>0</v>
      </c>
      <c r="BI836" s="140">
        <v>0</v>
      </c>
      <c r="BJ836" s="140">
        <v>0</v>
      </c>
      <c r="BK836" s="140">
        <v>0</v>
      </c>
      <c r="BL836" s="140">
        <v>0</v>
      </c>
      <c r="BM836" s="140">
        <v>0</v>
      </c>
      <c r="BN836" s="140">
        <v>0</v>
      </c>
      <c r="BO836" s="140">
        <v>0</v>
      </c>
      <c r="BX836" s="43">
        <v>18</v>
      </c>
      <c r="CA836" s="90">
        <f t="shared" si="114"/>
        <v>0.25</v>
      </c>
      <c r="CB836" s="90">
        <f t="shared" si="114"/>
        <v>0.25</v>
      </c>
      <c r="CC836" s="90">
        <f t="shared" si="114"/>
        <v>0.25</v>
      </c>
      <c r="CD836" s="90">
        <f t="shared" si="114"/>
        <v>0.25</v>
      </c>
      <c r="CT836" s="90">
        <f t="shared" si="112"/>
        <v>1</v>
      </c>
      <c r="CU836" s="90">
        <f t="shared" si="113"/>
        <v>1</v>
      </c>
    </row>
    <row r="837" spans="1:99" ht="12" customHeight="1">
      <c r="A837" s="43">
        <v>6806</v>
      </c>
      <c r="B837" s="89" t="s">
        <v>1515</v>
      </c>
      <c r="C837" s="89" t="s">
        <v>2331</v>
      </c>
      <c r="D837" s="89" t="s">
        <v>2332</v>
      </c>
      <c r="F837" s="43">
        <v>527133</v>
      </c>
      <c r="G837" s="43">
        <v>171843</v>
      </c>
      <c r="H837" s="89" t="s">
        <v>141</v>
      </c>
      <c r="K837" s="140">
        <v>0</v>
      </c>
      <c r="L837" s="140">
        <v>1</v>
      </c>
      <c r="M837" s="140">
        <v>1</v>
      </c>
      <c r="N837" s="140">
        <v>1</v>
      </c>
      <c r="O837" s="140">
        <v>1</v>
      </c>
      <c r="Q837" s="89" t="s">
        <v>2333</v>
      </c>
      <c r="R837" s="43" t="s">
        <v>316</v>
      </c>
      <c r="S837" s="125">
        <v>43658</v>
      </c>
      <c r="T837" s="117">
        <v>43700</v>
      </c>
      <c r="U837" s="43" t="s">
        <v>329</v>
      </c>
      <c r="V837" s="43" t="s">
        <v>317</v>
      </c>
      <c r="X837" s="43" t="s">
        <v>318</v>
      </c>
      <c r="Y837" s="43" t="s">
        <v>361</v>
      </c>
      <c r="Z837" s="43" t="s">
        <v>320</v>
      </c>
      <c r="AA837" s="43" t="s">
        <v>353</v>
      </c>
      <c r="AB837" s="144">
        <v>1.30000002682209E-2</v>
      </c>
      <c r="AF837" s="43" t="s">
        <v>75</v>
      </c>
      <c r="AG837" s="43" t="s">
        <v>322</v>
      </c>
      <c r="AJ837" s="140">
        <v>0</v>
      </c>
      <c r="AK837" s="140">
        <v>0</v>
      </c>
      <c r="AL837" s="140">
        <v>0</v>
      </c>
      <c r="AM837" s="140">
        <v>0</v>
      </c>
      <c r="AN837" s="140">
        <v>0</v>
      </c>
      <c r="AO837" s="140">
        <v>1</v>
      </c>
      <c r="AP837" s="140">
        <v>0</v>
      </c>
      <c r="AQ837" s="140">
        <v>0</v>
      </c>
      <c r="AR837" s="140">
        <v>0</v>
      </c>
      <c r="AS837" s="140">
        <v>0</v>
      </c>
      <c r="AT837" s="140">
        <v>0</v>
      </c>
      <c r="AU837" s="140">
        <v>0</v>
      </c>
      <c r="AV837" s="140">
        <v>0</v>
      </c>
      <c r="AW837" s="140">
        <v>0</v>
      </c>
      <c r="AX837" s="140">
        <v>0</v>
      </c>
      <c r="AY837" s="140">
        <v>0</v>
      </c>
      <c r="AZ837" s="140">
        <v>0</v>
      </c>
      <c r="BA837" s="140">
        <v>0</v>
      </c>
      <c r="BB837" s="140">
        <v>0</v>
      </c>
      <c r="BC837" s="140">
        <v>1</v>
      </c>
      <c r="BD837" s="140">
        <v>0</v>
      </c>
      <c r="BE837" s="140">
        <v>0</v>
      </c>
      <c r="BF837" s="140">
        <v>0</v>
      </c>
      <c r="BG837" s="140">
        <v>0</v>
      </c>
      <c r="BH837" s="140">
        <v>0</v>
      </c>
      <c r="BI837" s="140">
        <v>0</v>
      </c>
      <c r="BJ837" s="140">
        <v>0</v>
      </c>
      <c r="BK837" s="140">
        <v>0</v>
      </c>
      <c r="BL837" s="140">
        <v>0</v>
      </c>
      <c r="BM837" s="140">
        <v>0</v>
      </c>
      <c r="BN837" s="140">
        <v>0</v>
      </c>
      <c r="BO837" s="140">
        <v>0</v>
      </c>
      <c r="BX837" s="43">
        <v>6</v>
      </c>
      <c r="CA837" s="90">
        <f t="shared" si="114"/>
        <v>0.25</v>
      </c>
      <c r="CB837" s="90">
        <f t="shared" si="114"/>
        <v>0.25</v>
      </c>
      <c r="CC837" s="90">
        <f t="shared" si="114"/>
        <v>0.25</v>
      </c>
      <c r="CD837" s="90">
        <f t="shared" si="114"/>
        <v>0.25</v>
      </c>
      <c r="CT837" s="90">
        <f t="shared" si="112"/>
        <v>1</v>
      </c>
      <c r="CU837" s="90">
        <f t="shared" si="113"/>
        <v>1</v>
      </c>
    </row>
    <row r="838" spans="1:99" ht="12" customHeight="1">
      <c r="A838" s="43">
        <v>6809</v>
      </c>
      <c r="B838" s="89" t="s">
        <v>1515</v>
      </c>
      <c r="C838" s="89" t="s">
        <v>2334</v>
      </c>
      <c r="D838" s="89" t="s">
        <v>2335</v>
      </c>
      <c r="F838" s="43">
        <v>529284</v>
      </c>
      <c r="G838" s="43">
        <v>171134</v>
      </c>
      <c r="H838" s="89" t="s">
        <v>171</v>
      </c>
      <c r="K838" s="140">
        <v>0</v>
      </c>
      <c r="L838" s="140">
        <v>1</v>
      </c>
      <c r="M838" s="140">
        <v>1</v>
      </c>
      <c r="N838" s="140">
        <v>1</v>
      </c>
      <c r="O838" s="140">
        <v>1</v>
      </c>
      <c r="Q838" s="89" t="s">
        <v>2336</v>
      </c>
      <c r="R838" s="43" t="s">
        <v>316</v>
      </c>
      <c r="S838" s="125">
        <v>43697</v>
      </c>
      <c r="T838" s="117">
        <v>43740</v>
      </c>
      <c r="U838" s="43" t="s">
        <v>329</v>
      </c>
      <c r="V838" s="43" t="s">
        <v>317</v>
      </c>
      <c r="X838" s="43" t="s">
        <v>318</v>
      </c>
      <c r="Y838" s="43" t="s">
        <v>379</v>
      </c>
      <c r="Z838" s="43" t="s">
        <v>320</v>
      </c>
      <c r="AA838" s="43" t="s">
        <v>340</v>
      </c>
      <c r="AB838" s="144">
        <v>3.0000000260770299E-3</v>
      </c>
      <c r="AF838" s="43" t="s">
        <v>75</v>
      </c>
      <c r="AG838" s="43" t="s">
        <v>322</v>
      </c>
      <c r="AJ838" s="140">
        <v>0</v>
      </c>
      <c r="AK838" s="140">
        <v>0</v>
      </c>
      <c r="AL838" s="140">
        <v>0</v>
      </c>
      <c r="AM838" s="140">
        <v>0</v>
      </c>
      <c r="AN838" s="140">
        <v>0</v>
      </c>
      <c r="AO838" s="140">
        <v>1</v>
      </c>
      <c r="AP838" s="140">
        <v>0</v>
      </c>
      <c r="AQ838" s="140">
        <v>0</v>
      </c>
      <c r="AR838" s="140">
        <v>0</v>
      </c>
      <c r="AS838" s="140">
        <v>0</v>
      </c>
      <c r="AT838" s="140">
        <v>0</v>
      </c>
      <c r="AU838" s="140">
        <v>0</v>
      </c>
      <c r="AV838" s="140">
        <v>1</v>
      </c>
      <c r="AW838" s="140">
        <v>0</v>
      </c>
      <c r="AX838" s="140">
        <v>0</v>
      </c>
      <c r="AY838" s="140">
        <v>0</v>
      </c>
      <c r="AZ838" s="140">
        <v>0</v>
      </c>
      <c r="BA838" s="140">
        <v>0</v>
      </c>
      <c r="BB838" s="140">
        <v>0</v>
      </c>
      <c r="BC838" s="140">
        <v>0</v>
      </c>
      <c r="BD838" s="140">
        <v>0</v>
      </c>
      <c r="BE838" s="140">
        <v>0</v>
      </c>
      <c r="BF838" s="140">
        <v>0</v>
      </c>
      <c r="BG838" s="140">
        <v>0</v>
      </c>
      <c r="BH838" s="140">
        <v>0</v>
      </c>
      <c r="BI838" s="140">
        <v>0</v>
      </c>
      <c r="BJ838" s="140">
        <v>0</v>
      </c>
      <c r="BK838" s="140">
        <v>0</v>
      </c>
      <c r="BL838" s="140">
        <v>0</v>
      </c>
      <c r="BM838" s="140">
        <v>0</v>
      </c>
      <c r="BN838" s="140">
        <v>0</v>
      </c>
      <c r="BO838" s="140">
        <v>0</v>
      </c>
      <c r="BX838" s="43">
        <v>15</v>
      </c>
      <c r="BZ838" s="90">
        <f t="shared" ref="BZ838:CB840" si="115">$M838/3</f>
        <v>0.33333333333333331</v>
      </c>
      <c r="CA838" s="90">
        <f t="shared" si="115"/>
        <v>0.33333333333333331</v>
      </c>
      <c r="CB838" s="90">
        <f t="shared" si="115"/>
        <v>0.33333333333333331</v>
      </c>
      <c r="CT838" s="90">
        <f t="shared" si="112"/>
        <v>1</v>
      </c>
      <c r="CU838" s="90">
        <f t="shared" si="113"/>
        <v>1</v>
      </c>
    </row>
    <row r="839" spans="1:99" ht="12" customHeight="1">
      <c r="A839" s="43">
        <v>6809</v>
      </c>
      <c r="B839" s="89" t="s">
        <v>1515</v>
      </c>
      <c r="C839" s="89" t="s">
        <v>2337</v>
      </c>
      <c r="D839" s="89" t="s">
        <v>2335</v>
      </c>
      <c r="F839" s="43">
        <v>529284</v>
      </c>
      <c r="G839" s="43">
        <v>171134</v>
      </c>
      <c r="H839" s="89" t="s">
        <v>171</v>
      </c>
      <c r="K839" s="140">
        <v>0</v>
      </c>
      <c r="L839" s="140">
        <v>3</v>
      </c>
      <c r="M839" s="140">
        <v>3</v>
      </c>
      <c r="N839" s="140">
        <v>3</v>
      </c>
      <c r="O839" s="140">
        <v>3</v>
      </c>
      <c r="Q839" s="89" t="s">
        <v>2338</v>
      </c>
      <c r="R839" s="43" t="s">
        <v>620</v>
      </c>
      <c r="S839" s="125">
        <v>43782</v>
      </c>
      <c r="T839" s="117">
        <v>43832</v>
      </c>
      <c r="U839" s="43" t="s">
        <v>329</v>
      </c>
      <c r="V839" s="43" t="s">
        <v>317</v>
      </c>
      <c r="X839" s="43" t="s">
        <v>318</v>
      </c>
      <c r="Y839" s="43" t="s">
        <v>336</v>
      </c>
      <c r="Z839" s="43" t="s">
        <v>320</v>
      </c>
      <c r="AA839" s="43" t="s">
        <v>30</v>
      </c>
      <c r="AB839" s="144">
        <v>1.09999999403954E-2</v>
      </c>
      <c r="AF839" s="43" t="s">
        <v>75</v>
      </c>
      <c r="AG839" s="43" t="s">
        <v>322</v>
      </c>
      <c r="AJ839" s="140">
        <v>0</v>
      </c>
      <c r="AK839" s="140">
        <v>0</v>
      </c>
      <c r="AL839" s="140">
        <v>0</v>
      </c>
      <c r="AM839" s="140">
        <v>0</v>
      </c>
      <c r="AN839" s="140">
        <v>0</v>
      </c>
      <c r="AO839" s="140">
        <v>1</v>
      </c>
      <c r="AP839" s="140">
        <v>2</v>
      </c>
      <c r="AQ839" s="140">
        <v>0</v>
      </c>
      <c r="AR839" s="140">
        <v>0</v>
      </c>
      <c r="AS839" s="140">
        <v>0</v>
      </c>
      <c r="AT839" s="140">
        <v>0</v>
      </c>
      <c r="AU839" s="140">
        <v>0</v>
      </c>
      <c r="AV839" s="140">
        <v>1</v>
      </c>
      <c r="AW839" s="140">
        <v>2</v>
      </c>
      <c r="AX839" s="140">
        <v>0</v>
      </c>
      <c r="AY839" s="140">
        <v>0</v>
      </c>
      <c r="AZ839" s="140">
        <v>0</v>
      </c>
      <c r="BA839" s="140">
        <v>0</v>
      </c>
      <c r="BB839" s="140">
        <v>0</v>
      </c>
      <c r="BC839" s="140">
        <v>0</v>
      </c>
      <c r="BD839" s="140">
        <v>0</v>
      </c>
      <c r="BE839" s="140">
        <v>0</v>
      </c>
      <c r="BF839" s="140">
        <v>0</v>
      </c>
      <c r="BG839" s="140">
        <v>0</v>
      </c>
      <c r="BH839" s="140">
        <v>0</v>
      </c>
      <c r="BI839" s="140">
        <v>0</v>
      </c>
      <c r="BJ839" s="140">
        <v>0</v>
      </c>
      <c r="BK839" s="140">
        <v>0</v>
      </c>
      <c r="BL839" s="140">
        <v>0</v>
      </c>
      <c r="BM839" s="140">
        <v>0</v>
      </c>
      <c r="BN839" s="140">
        <v>0</v>
      </c>
      <c r="BO839" s="140">
        <v>0</v>
      </c>
      <c r="BX839" s="43">
        <v>15</v>
      </c>
      <c r="BZ839" s="90">
        <f t="shared" si="115"/>
        <v>1</v>
      </c>
      <c r="CA839" s="90">
        <f t="shared" si="115"/>
        <v>1</v>
      </c>
      <c r="CB839" s="90">
        <f t="shared" si="115"/>
        <v>1</v>
      </c>
      <c r="CT839" s="90">
        <f t="shared" si="112"/>
        <v>3</v>
      </c>
      <c r="CU839" s="90">
        <f t="shared" si="113"/>
        <v>3</v>
      </c>
    </row>
    <row r="840" spans="1:99" ht="12" customHeight="1">
      <c r="A840" s="43">
        <v>6810</v>
      </c>
      <c r="B840" s="89" t="s">
        <v>1515</v>
      </c>
      <c r="C840" s="89" t="s">
        <v>2339</v>
      </c>
      <c r="D840" s="89" t="s">
        <v>2340</v>
      </c>
      <c r="F840" s="43">
        <v>521688</v>
      </c>
      <c r="G840" s="43">
        <v>172441</v>
      </c>
      <c r="H840" s="89" t="s">
        <v>149</v>
      </c>
      <c r="K840" s="140">
        <v>1</v>
      </c>
      <c r="L840" s="140">
        <v>4</v>
      </c>
      <c r="M840" s="140">
        <v>3</v>
      </c>
      <c r="N840" s="140">
        <v>4</v>
      </c>
      <c r="O840" s="140">
        <v>3</v>
      </c>
      <c r="Q840" s="89" t="s">
        <v>2341</v>
      </c>
      <c r="R840" s="43" t="s">
        <v>316</v>
      </c>
      <c r="S840" s="125">
        <v>43147</v>
      </c>
      <c r="T840" s="117">
        <v>43241</v>
      </c>
      <c r="V840" s="43" t="s">
        <v>317</v>
      </c>
      <c r="X840" s="43" t="s">
        <v>318</v>
      </c>
      <c r="Y840" s="43" t="s">
        <v>319</v>
      </c>
      <c r="Z840" s="43" t="s">
        <v>320</v>
      </c>
      <c r="AA840" s="43" t="s">
        <v>20</v>
      </c>
      <c r="AB840" s="144">
        <v>5.0000000745058101E-2</v>
      </c>
      <c r="AF840" s="43" t="s">
        <v>75</v>
      </c>
      <c r="AG840" s="43" t="s">
        <v>322</v>
      </c>
      <c r="AJ840" s="140">
        <v>0</v>
      </c>
      <c r="AK840" s="140">
        <v>0</v>
      </c>
      <c r="AL840" s="140">
        <v>0</v>
      </c>
      <c r="AM840" s="140">
        <v>0</v>
      </c>
      <c r="AN840" s="140">
        <v>0</v>
      </c>
      <c r="AO840" s="140">
        <v>1</v>
      </c>
      <c r="AP840" s="140">
        <v>2</v>
      </c>
      <c r="AQ840" s="140">
        <v>1</v>
      </c>
      <c r="AR840" s="140">
        <v>0</v>
      </c>
      <c r="AS840" s="140">
        <v>-1</v>
      </c>
      <c r="AT840" s="140">
        <v>0</v>
      </c>
      <c r="AU840" s="140">
        <v>0</v>
      </c>
      <c r="AV840" s="140">
        <v>1</v>
      </c>
      <c r="AW840" s="140">
        <v>2</v>
      </c>
      <c r="AX840" s="140">
        <v>1</v>
      </c>
      <c r="AY840" s="140">
        <v>0</v>
      </c>
      <c r="AZ840" s="140">
        <v>0</v>
      </c>
      <c r="BA840" s="140">
        <v>0</v>
      </c>
      <c r="BB840" s="140">
        <v>0</v>
      </c>
      <c r="BC840" s="140">
        <v>0</v>
      </c>
      <c r="BD840" s="140">
        <v>0</v>
      </c>
      <c r="BE840" s="140">
        <v>0</v>
      </c>
      <c r="BF840" s="140">
        <v>0</v>
      </c>
      <c r="BG840" s="140">
        <v>-1</v>
      </c>
      <c r="BH840" s="140">
        <v>0</v>
      </c>
      <c r="BI840" s="140">
        <v>0</v>
      </c>
      <c r="BJ840" s="140">
        <v>0</v>
      </c>
      <c r="BK840" s="140">
        <v>0</v>
      </c>
      <c r="BL840" s="140">
        <v>0</v>
      </c>
      <c r="BM840" s="140">
        <v>0</v>
      </c>
      <c r="BN840" s="140">
        <v>0</v>
      </c>
      <c r="BO840" s="140">
        <v>0</v>
      </c>
      <c r="BX840" s="43">
        <v>15</v>
      </c>
      <c r="BZ840" s="90">
        <f t="shared" si="115"/>
        <v>1</v>
      </c>
      <c r="CA840" s="90">
        <f t="shared" si="115"/>
        <v>1</v>
      </c>
      <c r="CB840" s="90">
        <f t="shared" si="115"/>
        <v>1</v>
      </c>
      <c r="CT840" s="90">
        <f t="shared" si="112"/>
        <v>3</v>
      </c>
      <c r="CU840" s="90">
        <f t="shared" si="113"/>
        <v>3</v>
      </c>
    </row>
    <row r="841" spans="1:99" ht="12" customHeight="1">
      <c r="A841" s="43">
        <v>6812</v>
      </c>
      <c r="B841" s="89" t="s">
        <v>1515</v>
      </c>
      <c r="C841" s="89" t="s">
        <v>2342</v>
      </c>
      <c r="D841" s="89" t="s">
        <v>2343</v>
      </c>
      <c r="F841" s="43">
        <v>525084</v>
      </c>
      <c r="G841" s="43">
        <v>173575</v>
      </c>
      <c r="H841" s="89" t="s">
        <v>176</v>
      </c>
      <c r="K841" s="140">
        <v>1</v>
      </c>
      <c r="L841" s="140">
        <v>3</v>
      </c>
      <c r="M841" s="140">
        <v>2</v>
      </c>
      <c r="N841" s="140">
        <v>3</v>
      </c>
      <c r="O841" s="140">
        <v>2</v>
      </c>
      <c r="Q841" s="89" t="s">
        <v>2344</v>
      </c>
      <c r="R841" s="43" t="s">
        <v>316</v>
      </c>
      <c r="S841" s="125">
        <v>43545</v>
      </c>
      <c r="T841" s="117">
        <v>43767</v>
      </c>
      <c r="U841" s="43" t="s">
        <v>329</v>
      </c>
      <c r="V841" s="43" t="s">
        <v>317</v>
      </c>
      <c r="X841" s="43" t="s">
        <v>318</v>
      </c>
      <c r="Y841" s="43" t="s">
        <v>361</v>
      </c>
      <c r="Z841" s="43" t="s">
        <v>320</v>
      </c>
      <c r="AA841" s="43" t="s">
        <v>353</v>
      </c>
      <c r="AB841" s="144">
        <v>1.09999999403954E-2</v>
      </c>
      <c r="AF841" s="43" t="s">
        <v>75</v>
      </c>
      <c r="AG841" s="43" t="s">
        <v>322</v>
      </c>
      <c r="AJ841" s="140">
        <v>0</v>
      </c>
      <c r="AK841" s="140">
        <v>0</v>
      </c>
      <c r="AL841" s="140">
        <v>0</v>
      </c>
      <c r="AM841" s="140">
        <v>0</v>
      </c>
      <c r="AN841" s="140">
        <v>0</v>
      </c>
      <c r="AO841" s="140">
        <v>2</v>
      </c>
      <c r="AP841" s="140">
        <v>0</v>
      </c>
      <c r="AQ841" s="140">
        <v>0</v>
      </c>
      <c r="AR841" s="140">
        <v>0</v>
      </c>
      <c r="AS841" s="140">
        <v>0</v>
      </c>
      <c r="AT841" s="140">
        <v>0</v>
      </c>
      <c r="AU841" s="140">
        <v>0</v>
      </c>
      <c r="AV841" s="140">
        <v>2</v>
      </c>
      <c r="AW841" s="140">
        <v>0</v>
      </c>
      <c r="AX841" s="140">
        <v>1</v>
      </c>
      <c r="AY841" s="140">
        <v>0</v>
      </c>
      <c r="AZ841" s="140">
        <v>0</v>
      </c>
      <c r="BA841" s="140">
        <v>0</v>
      </c>
      <c r="BB841" s="140">
        <v>0</v>
      </c>
      <c r="BC841" s="140">
        <v>0</v>
      </c>
      <c r="BD841" s="140">
        <v>0</v>
      </c>
      <c r="BE841" s="140">
        <v>-1</v>
      </c>
      <c r="BF841" s="140">
        <v>0</v>
      </c>
      <c r="BG841" s="140">
        <v>0</v>
      </c>
      <c r="BH841" s="140">
        <v>0</v>
      </c>
      <c r="BI841" s="140">
        <v>0</v>
      </c>
      <c r="BJ841" s="140">
        <v>0</v>
      </c>
      <c r="BK841" s="140">
        <v>0</v>
      </c>
      <c r="BL841" s="140">
        <v>0</v>
      </c>
      <c r="BM841" s="140">
        <v>0</v>
      </c>
      <c r="BN841" s="140">
        <v>0</v>
      </c>
      <c r="BO841" s="140">
        <v>0</v>
      </c>
      <c r="BX841" s="43">
        <v>6</v>
      </c>
      <c r="CA841" s="90">
        <f>$M841/4</f>
        <v>0.5</v>
      </c>
      <c r="CB841" s="90">
        <f>$M841/4</f>
        <v>0.5</v>
      </c>
      <c r="CC841" s="90">
        <f>$M841/4</f>
        <v>0.5</v>
      </c>
      <c r="CD841" s="90">
        <f>$M841/4</f>
        <v>0.5</v>
      </c>
      <c r="CT841" s="90">
        <f t="shared" si="112"/>
        <v>2</v>
      </c>
      <c r="CU841" s="90">
        <f t="shared" si="113"/>
        <v>2</v>
      </c>
    </row>
    <row r="842" spans="1:99" ht="12" customHeight="1">
      <c r="A842" s="43">
        <v>6819</v>
      </c>
      <c r="B842" s="89" t="s">
        <v>1515</v>
      </c>
      <c r="C842" s="89" t="s">
        <v>2345</v>
      </c>
      <c r="D842" s="89" t="s">
        <v>2346</v>
      </c>
      <c r="E842" s="89" t="s">
        <v>2347</v>
      </c>
      <c r="F842" s="43">
        <v>522285</v>
      </c>
      <c r="G842" s="43">
        <v>173138</v>
      </c>
      <c r="H842" s="89" t="s">
        <v>149</v>
      </c>
      <c r="I842" s="125">
        <v>43848</v>
      </c>
      <c r="K842" s="140">
        <v>64</v>
      </c>
      <c r="L842" s="140">
        <v>41</v>
      </c>
      <c r="M842" s="140">
        <v>-23</v>
      </c>
      <c r="N842" s="140">
        <v>95</v>
      </c>
      <c r="O842" s="140">
        <v>31</v>
      </c>
      <c r="P842" s="43" t="s">
        <v>329</v>
      </c>
      <c r="Q842" s="89" t="s">
        <v>2348</v>
      </c>
      <c r="R842" s="43" t="s">
        <v>392</v>
      </c>
      <c r="S842" s="125">
        <v>43150</v>
      </c>
      <c r="T842" s="117">
        <v>43539</v>
      </c>
      <c r="V842" s="43" t="s">
        <v>317</v>
      </c>
      <c r="X842" s="43" t="s">
        <v>318</v>
      </c>
      <c r="Y842" s="43" t="s">
        <v>361</v>
      </c>
      <c r="Z842" s="43" t="s">
        <v>361</v>
      </c>
      <c r="AA842" s="43" t="s">
        <v>320</v>
      </c>
      <c r="AB842" s="144">
        <v>0.178000003099442</v>
      </c>
      <c r="AF842" s="43" t="s">
        <v>55</v>
      </c>
      <c r="AG842" s="43" t="s">
        <v>526</v>
      </c>
      <c r="AJ842" s="140">
        <v>0</v>
      </c>
      <c r="AK842" s="140">
        <v>33</v>
      </c>
      <c r="AL842" s="140">
        <v>0</v>
      </c>
      <c r="AM842" s="140">
        <v>8</v>
      </c>
      <c r="AN842" s="140">
        <v>-53</v>
      </c>
      <c r="AO842" s="140">
        <v>30</v>
      </c>
      <c r="AP842" s="140">
        <v>0</v>
      </c>
      <c r="AQ842" s="140">
        <v>0</v>
      </c>
      <c r="AR842" s="140">
        <v>0</v>
      </c>
      <c r="AS842" s="140">
        <v>0</v>
      </c>
      <c r="AT842" s="140">
        <v>0</v>
      </c>
      <c r="AU842" s="140">
        <v>-53</v>
      </c>
      <c r="AV842" s="140">
        <v>30</v>
      </c>
      <c r="AW842" s="140">
        <v>0</v>
      </c>
      <c r="AX842" s="140">
        <v>0</v>
      </c>
      <c r="AY842" s="140">
        <v>0</v>
      </c>
      <c r="AZ842" s="140">
        <v>0</v>
      </c>
      <c r="BA842" s="140">
        <v>0</v>
      </c>
      <c r="BB842" s="140">
        <v>0</v>
      </c>
      <c r="BC842" s="140">
        <v>0</v>
      </c>
      <c r="BD842" s="140">
        <v>0</v>
      </c>
      <c r="BE842" s="140">
        <v>0</v>
      </c>
      <c r="BF842" s="140">
        <v>0</v>
      </c>
      <c r="BG842" s="140">
        <v>0</v>
      </c>
      <c r="BH842" s="140">
        <v>0</v>
      </c>
      <c r="BI842" s="140">
        <v>0</v>
      </c>
      <c r="BJ842" s="140">
        <v>0</v>
      </c>
      <c r="BK842" s="140">
        <v>0</v>
      </c>
      <c r="BL842" s="140">
        <v>0</v>
      </c>
      <c r="BM842" s="140">
        <v>0</v>
      </c>
      <c r="BN842" s="140">
        <v>0</v>
      </c>
      <c r="BO842" s="140">
        <v>0</v>
      </c>
      <c r="BX842" s="43">
        <v>7</v>
      </c>
      <c r="CA842" s="90">
        <f>M842</f>
        <v>-23</v>
      </c>
      <c r="CT842" s="90">
        <f t="shared" si="112"/>
        <v>-23</v>
      </c>
      <c r="CU842" s="90">
        <f t="shared" si="113"/>
        <v>-23</v>
      </c>
    </row>
    <row r="843" spans="1:99" ht="12" customHeight="1">
      <c r="A843" s="43">
        <v>6819</v>
      </c>
      <c r="B843" s="89" t="s">
        <v>1515</v>
      </c>
      <c r="C843" s="89" t="s">
        <v>2345</v>
      </c>
      <c r="D843" s="89" t="s">
        <v>2346</v>
      </c>
      <c r="E843" s="89" t="s">
        <v>2349</v>
      </c>
      <c r="F843" s="43">
        <v>522285</v>
      </c>
      <c r="G843" s="43">
        <v>173138</v>
      </c>
      <c r="H843" s="89" t="s">
        <v>149</v>
      </c>
      <c r="I843" s="125">
        <v>43848</v>
      </c>
      <c r="K843" s="140">
        <v>0</v>
      </c>
      <c r="L843" s="140">
        <v>28</v>
      </c>
      <c r="M843" s="140">
        <v>28</v>
      </c>
      <c r="N843" s="140">
        <v>95</v>
      </c>
      <c r="O843" s="140">
        <v>31</v>
      </c>
      <c r="P843" s="43" t="s">
        <v>329</v>
      </c>
      <c r="Q843" s="89" t="s">
        <v>2348</v>
      </c>
      <c r="R843" s="43" t="s">
        <v>392</v>
      </c>
      <c r="S843" s="125">
        <v>43150</v>
      </c>
      <c r="T843" s="117">
        <v>43539</v>
      </c>
      <c r="V843" s="43" t="s">
        <v>317</v>
      </c>
      <c r="X843" s="43" t="s">
        <v>318</v>
      </c>
      <c r="Y843" s="43" t="s">
        <v>361</v>
      </c>
      <c r="Z843" s="43" t="s">
        <v>361</v>
      </c>
      <c r="AA843" s="43" t="s">
        <v>320</v>
      </c>
      <c r="AB843" s="144">
        <v>0.17499999701976801</v>
      </c>
      <c r="AF843" s="43" t="s">
        <v>54</v>
      </c>
      <c r="AG843" s="43" t="s">
        <v>1659</v>
      </c>
      <c r="AJ843" s="140">
        <v>0</v>
      </c>
      <c r="AK843" s="140">
        <v>28</v>
      </c>
      <c r="AL843" s="140">
        <v>0</v>
      </c>
      <c r="AM843" s="140">
        <v>0</v>
      </c>
      <c r="AN843" s="140">
        <v>0</v>
      </c>
      <c r="AO843" s="140">
        <v>15</v>
      </c>
      <c r="AP843" s="140">
        <v>10</v>
      </c>
      <c r="AQ843" s="140">
        <v>3</v>
      </c>
      <c r="AR843" s="140">
        <v>0</v>
      </c>
      <c r="AS843" s="140">
        <v>0</v>
      </c>
      <c r="AT843" s="140">
        <v>0</v>
      </c>
      <c r="AU843" s="140">
        <v>0</v>
      </c>
      <c r="AV843" s="140">
        <v>15</v>
      </c>
      <c r="AW843" s="140">
        <v>10</v>
      </c>
      <c r="AX843" s="140">
        <v>3</v>
      </c>
      <c r="AY843" s="140">
        <v>0</v>
      </c>
      <c r="AZ843" s="140">
        <v>0</v>
      </c>
      <c r="BA843" s="140">
        <v>0</v>
      </c>
      <c r="BB843" s="140">
        <v>0</v>
      </c>
      <c r="BC843" s="140">
        <v>0</v>
      </c>
      <c r="BD843" s="140">
        <v>0</v>
      </c>
      <c r="BE843" s="140">
        <v>0</v>
      </c>
      <c r="BF843" s="140">
        <v>0</v>
      </c>
      <c r="BG843" s="140">
        <v>0</v>
      </c>
      <c r="BH843" s="140">
        <v>0</v>
      </c>
      <c r="BI843" s="140">
        <v>0</v>
      </c>
      <c r="BJ843" s="140">
        <v>0</v>
      </c>
      <c r="BK843" s="140">
        <v>0</v>
      </c>
      <c r="BL843" s="140">
        <v>0</v>
      </c>
      <c r="BM843" s="140">
        <v>0</v>
      </c>
      <c r="BN843" s="140">
        <v>0</v>
      </c>
      <c r="BO843" s="140">
        <v>0</v>
      </c>
      <c r="BX843" s="43">
        <v>7</v>
      </c>
      <c r="CA843" s="90">
        <f>M843</f>
        <v>28</v>
      </c>
      <c r="CT843" s="90">
        <f t="shared" si="112"/>
        <v>28</v>
      </c>
      <c r="CU843" s="90">
        <f t="shared" si="113"/>
        <v>28</v>
      </c>
    </row>
    <row r="844" spans="1:99" ht="12" customHeight="1">
      <c r="A844" s="43">
        <v>6819</v>
      </c>
      <c r="B844" s="89" t="s">
        <v>1515</v>
      </c>
      <c r="C844" s="89" t="s">
        <v>2345</v>
      </c>
      <c r="D844" s="89" t="s">
        <v>2346</v>
      </c>
      <c r="E844" s="89" t="s">
        <v>2350</v>
      </c>
      <c r="F844" s="43">
        <v>522285</v>
      </c>
      <c r="G844" s="43">
        <v>173138</v>
      </c>
      <c r="H844" s="89" t="s">
        <v>149</v>
      </c>
      <c r="I844" s="125">
        <v>43848</v>
      </c>
      <c r="K844" s="140">
        <v>0</v>
      </c>
      <c r="L844" s="140">
        <v>26</v>
      </c>
      <c r="M844" s="140">
        <v>26</v>
      </c>
      <c r="N844" s="140">
        <v>95</v>
      </c>
      <c r="O844" s="140">
        <v>31</v>
      </c>
      <c r="P844" s="43" t="s">
        <v>329</v>
      </c>
      <c r="Q844" s="89" t="s">
        <v>2348</v>
      </c>
      <c r="R844" s="43" t="s">
        <v>392</v>
      </c>
      <c r="S844" s="125">
        <v>43150</v>
      </c>
      <c r="T844" s="117">
        <v>43539</v>
      </c>
      <c r="V844" s="43" t="s">
        <v>317</v>
      </c>
      <c r="X844" s="43" t="s">
        <v>318</v>
      </c>
      <c r="Y844" s="43" t="s">
        <v>361</v>
      </c>
      <c r="Z844" s="43" t="s">
        <v>361</v>
      </c>
      <c r="AA844" s="43" t="s">
        <v>320</v>
      </c>
      <c r="AB844" s="144">
        <v>0.167999997735023</v>
      </c>
      <c r="AF844" s="43" t="s">
        <v>54</v>
      </c>
      <c r="AG844" s="43" t="s">
        <v>1659</v>
      </c>
      <c r="AJ844" s="140">
        <v>0</v>
      </c>
      <c r="AK844" s="140">
        <v>24</v>
      </c>
      <c r="AL844" s="140">
        <v>0</v>
      </c>
      <c r="AM844" s="140">
        <v>2</v>
      </c>
      <c r="AN844" s="140">
        <v>0</v>
      </c>
      <c r="AO844" s="140">
        <v>9</v>
      </c>
      <c r="AP844" s="140">
        <v>14</v>
      </c>
      <c r="AQ844" s="140">
        <v>3</v>
      </c>
      <c r="AR844" s="140">
        <v>0</v>
      </c>
      <c r="AS844" s="140">
        <v>0</v>
      </c>
      <c r="AT844" s="140">
        <v>0</v>
      </c>
      <c r="AU844" s="140">
        <v>0</v>
      </c>
      <c r="AV844" s="140">
        <v>9</v>
      </c>
      <c r="AW844" s="140">
        <v>14</v>
      </c>
      <c r="AX844" s="140">
        <v>3</v>
      </c>
      <c r="AY844" s="140">
        <v>0</v>
      </c>
      <c r="AZ844" s="140">
        <v>0</v>
      </c>
      <c r="BA844" s="140">
        <v>0</v>
      </c>
      <c r="BB844" s="140">
        <v>0</v>
      </c>
      <c r="BC844" s="140">
        <v>0</v>
      </c>
      <c r="BD844" s="140">
        <v>0</v>
      </c>
      <c r="BE844" s="140">
        <v>0</v>
      </c>
      <c r="BF844" s="140">
        <v>0</v>
      </c>
      <c r="BG844" s="140">
        <v>0</v>
      </c>
      <c r="BH844" s="140">
        <v>0</v>
      </c>
      <c r="BI844" s="140">
        <v>0</v>
      </c>
      <c r="BJ844" s="140">
        <v>0</v>
      </c>
      <c r="BK844" s="140">
        <v>0</v>
      </c>
      <c r="BL844" s="140">
        <v>0</v>
      </c>
      <c r="BM844" s="140">
        <v>0</v>
      </c>
      <c r="BN844" s="140">
        <v>0</v>
      </c>
      <c r="BO844" s="140">
        <v>0</v>
      </c>
      <c r="BX844" s="43">
        <v>7</v>
      </c>
      <c r="CA844" s="90">
        <f>M844</f>
        <v>26</v>
      </c>
      <c r="CT844" s="90">
        <f t="shared" si="112"/>
        <v>26</v>
      </c>
      <c r="CU844" s="90">
        <f t="shared" si="113"/>
        <v>26</v>
      </c>
    </row>
    <row r="845" spans="1:99" ht="12" customHeight="1">
      <c r="A845" s="43">
        <v>6822</v>
      </c>
      <c r="B845" s="89" t="s">
        <v>1515</v>
      </c>
      <c r="C845" s="89" t="s">
        <v>2351</v>
      </c>
      <c r="D845" s="89" t="s">
        <v>2352</v>
      </c>
      <c r="F845" s="43">
        <v>527295</v>
      </c>
      <c r="G845" s="43">
        <v>177182</v>
      </c>
      <c r="H845" s="89" t="s">
        <v>177</v>
      </c>
      <c r="K845" s="140">
        <v>0</v>
      </c>
      <c r="L845" s="140">
        <v>1</v>
      </c>
      <c r="M845" s="140">
        <v>1</v>
      </c>
      <c r="N845" s="140">
        <v>1</v>
      </c>
      <c r="O845" s="140">
        <v>1</v>
      </c>
      <c r="Q845" s="89" t="s">
        <v>2353</v>
      </c>
      <c r="R845" s="43" t="s">
        <v>620</v>
      </c>
      <c r="S845" s="125">
        <v>43151</v>
      </c>
      <c r="T845" s="117">
        <v>43196</v>
      </c>
      <c r="V845" s="43" t="s">
        <v>317</v>
      </c>
      <c r="X845" s="43" t="s">
        <v>318</v>
      </c>
      <c r="Y845" s="43" t="s">
        <v>336</v>
      </c>
      <c r="Z845" s="43" t="s">
        <v>320</v>
      </c>
      <c r="AA845" s="43" t="s">
        <v>33</v>
      </c>
      <c r="AB845" s="144">
        <v>1.4000000432133701E-2</v>
      </c>
      <c r="AF845" s="43" t="s">
        <v>75</v>
      </c>
      <c r="AG845" s="43" t="s">
        <v>322</v>
      </c>
      <c r="AJ845" s="140">
        <v>0</v>
      </c>
      <c r="AK845" s="140">
        <v>0</v>
      </c>
      <c r="AL845" s="140">
        <v>0</v>
      </c>
      <c r="AM845" s="140">
        <v>0</v>
      </c>
      <c r="AN845" s="140">
        <v>1</v>
      </c>
      <c r="AO845" s="140">
        <v>0</v>
      </c>
      <c r="AP845" s="140">
        <v>0</v>
      </c>
      <c r="AQ845" s="140">
        <v>0</v>
      </c>
      <c r="AR845" s="140">
        <v>0</v>
      </c>
      <c r="AS845" s="140">
        <v>0</v>
      </c>
      <c r="AT845" s="140">
        <v>0</v>
      </c>
      <c r="AU845" s="140">
        <v>1</v>
      </c>
      <c r="AV845" s="140">
        <v>0</v>
      </c>
      <c r="AW845" s="140">
        <v>0</v>
      </c>
      <c r="AX845" s="140">
        <v>0</v>
      </c>
      <c r="AY845" s="140">
        <v>0</v>
      </c>
      <c r="AZ845" s="140">
        <v>0</v>
      </c>
      <c r="BA845" s="140">
        <v>0</v>
      </c>
      <c r="BB845" s="140">
        <v>0</v>
      </c>
      <c r="BC845" s="140">
        <v>0</v>
      </c>
      <c r="BD845" s="140">
        <v>0</v>
      </c>
      <c r="BE845" s="140">
        <v>0</v>
      </c>
      <c r="BF845" s="140">
        <v>0</v>
      </c>
      <c r="BG845" s="140">
        <v>0</v>
      </c>
      <c r="BH845" s="140">
        <v>0</v>
      </c>
      <c r="BI845" s="140">
        <v>0</v>
      </c>
      <c r="BJ845" s="140">
        <v>0</v>
      </c>
      <c r="BK845" s="140">
        <v>0</v>
      </c>
      <c r="BL845" s="140">
        <v>0</v>
      </c>
      <c r="BM845" s="140">
        <v>0</v>
      </c>
      <c r="BN845" s="140">
        <v>0</v>
      </c>
      <c r="BO845" s="140">
        <v>0</v>
      </c>
      <c r="BV845" s="43" t="s">
        <v>329</v>
      </c>
      <c r="BX845" s="43">
        <v>15</v>
      </c>
      <c r="BZ845" s="90">
        <f t="shared" ref="BZ845:CB849" si="116">$M845/3</f>
        <v>0.33333333333333331</v>
      </c>
      <c r="CA845" s="90">
        <f t="shared" si="116"/>
        <v>0.33333333333333331</v>
      </c>
      <c r="CB845" s="90">
        <f t="shared" si="116"/>
        <v>0.33333333333333331</v>
      </c>
      <c r="CT845" s="90">
        <f t="shared" si="112"/>
        <v>1</v>
      </c>
      <c r="CU845" s="90">
        <f t="shared" si="113"/>
        <v>1</v>
      </c>
    </row>
    <row r="846" spans="1:99" ht="12" customHeight="1">
      <c r="A846" s="43">
        <v>6823</v>
      </c>
      <c r="B846" s="89" t="s">
        <v>1515</v>
      </c>
      <c r="C846" s="89" t="s">
        <v>2354</v>
      </c>
      <c r="D846" s="89" t="s">
        <v>2355</v>
      </c>
      <c r="F846" s="43">
        <v>527310</v>
      </c>
      <c r="G846" s="43">
        <v>177159</v>
      </c>
      <c r="H846" s="89" t="s">
        <v>177</v>
      </c>
      <c r="K846" s="140">
        <v>0</v>
      </c>
      <c r="L846" s="140">
        <v>2</v>
      </c>
      <c r="M846" s="140">
        <v>2</v>
      </c>
      <c r="N846" s="140">
        <v>2</v>
      </c>
      <c r="O846" s="140">
        <v>2</v>
      </c>
      <c r="Q846" s="89" t="s">
        <v>2356</v>
      </c>
      <c r="R846" s="43" t="s">
        <v>443</v>
      </c>
      <c r="S846" s="125">
        <v>43188</v>
      </c>
      <c r="T846" s="117">
        <v>43234</v>
      </c>
      <c r="V846" s="43" t="s">
        <v>317</v>
      </c>
      <c r="X846" s="43" t="s">
        <v>318</v>
      </c>
      <c r="Y846" s="43" t="s">
        <v>336</v>
      </c>
      <c r="Z846" s="43" t="s">
        <v>320</v>
      </c>
      <c r="AA846" s="43" t="s">
        <v>33</v>
      </c>
      <c r="AB846" s="144">
        <v>1.30000002682209E-2</v>
      </c>
      <c r="AF846" s="43" t="s">
        <v>75</v>
      </c>
      <c r="AG846" s="43" t="s">
        <v>322</v>
      </c>
      <c r="AJ846" s="140">
        <v>0</v>
      </c>
      <c r="AK846" s="140">
        <v>0</v>
      </c>
      <c r="AL846" s="140">
        <v>0</v>
      </c>
      <c r="AM846" s="140">
        <v>0</v>
      </c>
      <c r="AN846" s="140">
        <v>0</v>
      </c>
      <c r="AO846" s="140">
        <v>2</v>
      </c>
      <c r="AP846" s="140">
        <v>0</v>
      </c>
      <c r="AQ846" s="140">
        <v>0</v>
      </c>
      <c r="AR846" s="140">
        <v>0</v>
      </c>
      <c r="AS846" s="140">
        <v>0</v>
      </c>
      <c r="AT846" s="140">
        <v>0</v>
      </c>
      <c r="AU846" s="140">
        <v>0</v>
      </c>
      <c r="AV846" s="140">
        <v>2</v>
      </c>
      <c r="AW846" s="140">
        <v>0</v>
      </c>
      <c r="AX846" s="140">
        <v>0</v>
      </c>
      <c r="AY846" s="140">
        <v>0</v>
      </c>
      <c r="AZ846" s="140">
        <v>0</v>
      </c>
      <c r="BA846" s="140">
        <v>0</v>
      </c>
      <c r="BB846" s="140">
        <v>0</v>
      </c>
      <c r="BC846" s="140">
        <v>0</v>
      </c>
      <c r="BD846" s="140">
        <v>0</v>
      </c>
      <c r="BE846" s="140">
        <v>0</v>
      </c>
      <c r="BF846" s="140">
        <v>0</v>
      </c>
      <c r="BG846" s="140">
        <v>0</v>
      </c>
      <c r="BH846" s="140">
        <v>0</v>
      </c>
      <c r="BI846" s="140">
        <v>0</v>
      </c>
      <c r="BJ846" s="140">
        <v>0</v>
      </c>
      <c r="BK846" s="140">
        <v>0</v>
      </c>
      <c r="BL846" s="140">
        <v>0</v>
      </c>
      <c r="BM846" s="140">
        <v>0</v>
      </c>
      <c r="BN846" s="140">
        <v>0</v>
      </c>
      <c r="BO846" s="140">
        <v>0</v>
      </c>
      <c r="BV846" s="43" t="s">
        <v>329</v>
      </c>
      <c r="BX846" s="43">
        <v>15</v>
      </c>
      <c r="BZ846" s="90">
        <f t="shared" si="116"/>
        <v>0.66666666666666663</v>
      </c>
      <c r="CA846" s="90">
        <f t="shared" si="116"/>
        <v>0.66666666666666663</v>
      </c>
      <c r="CB846" s="90">
        <f t="shared" si="116"/>
        <v>0.66666666666666663</v>
      </c>
      <c r="CT846" s="90">
        <f t="shared" si="112"/>
        <v>2</v>
      </c>
      <c r="CU846" s="90">
        <f t="shared" si="113"/>
        <v>2</v>
      </c>
    </row>
    <row r="847" spans="1:99" ht="12" customHeight="1">
      <c r="A847" s="43">
        <v>6824</v>
      </c>
      <c r="B847" s="89" t="s">
        <v>1515</v>
      </c>
      <c r="C847" s="89" t="s">
        <v>2357</v>
      </c>
      <c r="D847" s="89" t="s">
        <v>2358</v>
      </c>
      <c r="F847" s="43">
        <v>527310</v>
      </c>
      <c r="G847" s="43">
        <v>177159</v>
      </c>
      <c r="H847" s="89" t="s">
        <v>177</v>
      </c>
      <c r="K847" s="140">
        <v>0</v>
      </c>
      <c r="L847" s="140">
        <v>1</v>
      </c>
      <c r="M847" s="140">
        <v>1</v>
      </c>
      <c r="N847" s="140">
        <v>1</v>
      </c>
      <c r="O847" s="140">
        <v>1</v>
      </c>
      <c r="Q847" s="89" t="s">
        <v>2359</v>
      </c>
      <c r="R847" s="43" t="s">
        <v>620</v>
      </c>
      <c r="S847" s="125">
        <v>43151</v>
      </c>
      <c r="T847" s="117">
        <v>43196</v>
      </c>
      <c r="V847" s="43" t="s">
        <v>317</v>
      </c>
      <c r="X847" s="43" t="s">
        <v>318</v>
      </c>
      <c r="Y847" s="43" t="s">
        <v>336</v>
      </c>
      <c r="Z847" s="43" t="s">
        <v>320</v>
      </c>
      <c r="AA847" s="43" t="s">
        <v>33</v>
      </c>
      <c r="AB847" s="144">
        <v>9.9999997764825804E-3</v>
      </c>
      <c r="AF847" s="43" t="s">
        <v>75</v>
      </c>
      <c r="AG847" s="43" t="s">
        <v>322</v>
      </c>
      <c r="AJ847" s="140">
        <v>0</v>
      </c>
      <c r="AK847" s="140">
        <v>0</v>
      </c>
      <c r="AL847" s="140">
        <v>0</v>
      </c>
      <c r="AM847" s="140">
        <v>0</v>
      </c>
      <c r="AN847" s="140">
        <v>0</v>
      </c>
      <c r="AO847" s="140">
        <v>0</v>
      </c>
      <c r="AP847" s="140">
        <v>1</v>
      </c>
      <c r="AQ847" s="140">
        <v>0</v>
      </c>
      <c r="AR847" s="140">
        <v>0</v>
      </c>
      <c r="AS847" s="140">
        <v>0</v>
      </c>
      <c r="AT847" s="140">
        <v>0</v>
      </c>
      <c r="AU847" s="140">
        <v>0</v>
      </c>
      <c r="AV847" s="140">
        <v>0</v>
      </c>
      <c r="AW847" s="140">
        <v>1</v>
      </c>
      <c r="AX847" s="140">
        <v>0</v>
      </c>
      <c r="AY847" s="140">
        <v>0</v>
      </c>
      <c r="AZ847" s="140">
        <v>0</v>
      </c>
      <c r="BA847" s="140">
        <v>0</v>
      </c>
      <c r="BB847" s="140">
        <v>0</v>
      </c>
      <c r="BC847" s="140">
        <v>0</v>
      </c>
      <c r="BD847" s="140">
        <v>0</v>
      </c>
      <c r="BE847" s="140">
        <v>0</v>
      </c>
      <c r="BF847" s="140">
        <v>0</v>
      </c>
      <c r="BG847" s="140">
        <v>0</v>
      </c>
      <c r="BH847" s="140">
        <v>0</v>
      </c>
      <c r="BI847" s="140">
        <v>0</v>
      </c>
      <c r="BJ847" s="140">
        <v>0</v>
      </c>
      <c r="BK847" s="140">
        <v>0</v>
      </c>
      <c r="BL847" s="140">
        <v>0</v>
      </c>
      <c r="BM847" s="140">
        <v>0</v>
      </c>
      <c r="BN847" s="140">
        <v>0</v>
      </c>
      <c r="BO847" s="140">
        <v>0</v>
      </c>
      <c r="BV847" s="43" t="s">
        <v>329</v>
      </c>
      <c r="BX847" s="43">
        <v>15</v>
      </c>
      <c r="BZ847" s="90">
        <f t="shared" si="116"/>
        <v>0.33333333333333331</v>
      </c>
      <c r="CA847" s="90">
        <f t="shared" si="116"/>
        <v>0.33333333333333331</v>
      </c>
      <c r="CB847" s="90">
        <f t="shared" si="116"/>
        <v>0.33333333333333331</v>
      </c>
      <c r="CT847" s="90">
        <f t="shared" si="112"/>
        <v>1</v>
      </c>
      <c r="CU847" s="90">
        <f t="shared" si="113"/>
        <v>1</v>
      </c>
    </row>
    <row r="848" spans="1:99" ht="12" customHeight="1">
      <c r="A848" s="43">
        <v>6825</v>
      </c>
      <c r="B848" s="89" t="s">
        <v>1515</v>
      </c>
      <c r="C848" s="89" t="s">
        <v>2360</v>
      </c>
      <c r="D848" s="89" t="s">
        <v>2361</v>
      </c>
      <c r="F848" s="43">
        <v>527310</v>
      </c>
      <c r="G848" s="43">
        <v>177159</v>
      </c>
      <c r="H848" s="89" t="s">
        <v>177</v>
      </c>
      <c r="K848" s="140">
        <v>0</v>
      </c>
      <c r="L848" s="140">
        <v>1</v>
      </c>
      <c r="M848" s="140">
        <v>1</v>
      </c>
      <c r="N848" s="140">
        <v>1</v>
      </c>
      <c r="O848" s="140">
        <v>1</v>
      </c>
      <c r="Q848" s="89" t="s">
        <v>2362</v>
      </c>
      <c r="R848" s="43" t="s">
        <v>620</v>
      </c>
      <c r="S848" s="125">
        <v>43151</v>
      </c>
      <c r="T848" s="117">
        <v>43195</v>
      </c>
      <c r="V848" s="43" t="s">
        <v>317</v>
      </c>
      <c r="X848" s="43" t="s">
        <v>318</v>
      </c>
      <c r="Y848" s="43" t="s">
        <v>336</v>
      </c>
      <c r="Z848" s="43" t="s">
        <v>320</v>
      </c>
      <c r="AA848" s="43" t="s">
        <v>33</v>
      </c>
      <c r="AB848" s="144">
        <v>1.09999999403954E-2</v>
      </c>
      <c r="AF848" s="43" t="s">
        <v>75</v>
      </c>
      <c r="AG848" s="43" t="s">
        <v>322</v>
      </c>
      <c r="AJ848" s="140">
        <v>0</v>
      </c>
      <c r="AK848" s="140">
        <v>0</v>
      </c>
      <c r="AL848" s="140">
        <v>0</v>
      </c>
      <c r="AM848" s="140">
        <v>0</v>
      </c>
      <c r="AN848" s="140">
        <v>0</v>
      </c>
      <c r="AO848" s="140">
        <v>0</v>
      </c>
      <c r="AP848" s="140">
        <v>1</v>
      </c>
      <c r="AQ848" s="140">
        <v>0</v>
      </c>
      <c r="AR848" s="140">
        <v>0</v>
      </c>
      <c r="AS848" s="140">
        <v>0</v>
      </c>
      <c r="AT848" s="140">
        <v>0</v>
      </c>
      <c r="AU848" s="140">
        <v>0</v>
      </c>
      <c r="AV848" s="140">
        <v>0</v>
      </c>
      <c r="AW848" s="140">
        <v>1</v>
      </c>
      <c r="AX848" s="140">
        <v>0</v>
      </c>
      <c r="AY848" s="140">
        <v>0</v>
      </c>
      <c r="AZ848" s="140">
        <v>0</v>
      </c>
      <c r="BA848" s="140">
        <v>0</v>
      </c>
      <c r="BB848" s="140">
        <v>0</v>
      </c>
      <c r="BC848" s="140">
        <v>0</v>
      </c>
      <c r="BD848" s="140">
        <v>0</v>
      </c>
      <c r="BE848" s="140">
        <v>0</v>
      </c>
      <c r="BF848" s="140">
        <v>0</v>
      </c>
      <c r="BG848" s="140">
        <v>0</v>
      </c>
      <c r="BH848" s="140">
        <v>0</v>
      </c>
      <c r="BI848" s="140">
        <v>0</v>
      </c>
      <c r="BJ848" s="140">
        <v>0</v>
      </c>
      <c r="BK848" s="140">
        <v>0</v>
      </c>
      <c r="BL848" s="140">
        <v>0</v>
      </c>
      <c r="BM848" s="140">
        <v>0</v>
      </c>
      <c r="BN848" s="140">
        <v>0</v>
      </c>
      <c r="BO848" s="140">
        <v>0</v>
      </c>
      <c r="BV848" s="43" t="s">
        <v>329</v>
      </c>
      <c r="BX848" s="43">
        <v>15</v>
      </c>
      <c r="BZ848" s="90">
        <f t="shared" si="116"/>
        <v>0.33333333333333331</v>
      </c>
      <c r="CA848" s="90">
        <f t="shared" si="116"/>
        <v>0.33333333333333331</v>
      </c>
      <c r="CB848" s="90">
        <f t="shared" si="116"/>
        <v>0.33333333333333331</v>
      </c>
      <c r="CT848" s="90">
        <f t="shared" si="112"/>
        <v>1</v>
      </c>
      <c r="CU848" s="90">
        <f t="shared" si="113"/>
        <v>1</v>
      </c>
    </row>
    <row r="849" spans="1:99" ht="12" customHeight="1">
      <c r="A849" s="43">
        <v>6826</v>
      </c>
      <c r="B849" s="89" t="s">
        <v>1515</v>
      </c>
      <c r="C849" s="89" t="s">
        <v>2363</v>
      </c>
      <c r="D849" s="89" t="s">
        <v>2364</v>
      </c>
      <c r="F849" s="43">
        <v>527310</v>
      </c>
      <c r="G849" s="43">
        <v>177159</v>
      </c>
      <c r="H849" s="89" t="s">
        <v>177</v>
      </c>
      <c r="K849" s="140">
        <v>0</v>
      </c>
      <c r="L849" s="140">
        <v>2</v>
      </c>
      <c r="M849" s="140">
        <v>2</v>
      </c>
      <c r="N849" s="140">
        <v>2</v>
      </c>
      <c r="O849" s="140">
        <v>2</v>
      </c>
      <c r="Q849" s="89" t="s">
        <v>2365</v>
      </c>
      <c r="R849" s="43" t="s">
        <v>620</v>
      </c>
      <c r="S849" s="125">
        <v>43151</v>
      </c>
      <c r="T849" s="117">
        <v>43196</v>
      </c>
      <c r="V849" s="43" t="s">
        <v>317</v>
      </c>
      <c r="X849" s="43" t="s">
        <v>318</v>
      </c>
      <c r="Y849" s="43" t="s">
        <v>336</v>
      </c>
      <c r="Z849" s="43" t="s">
        <v>320</v>
      </c>
      <c r="AA849" s="43" t="s">
        <v>33</v>
      </c>
      <c r="AB849" s="144">
        <v>1.60000007599592E-2</v>
      </c>
      <c r="AF849" s="43" t="s">
        <v>75</v>
      </c>
      <c r="AG849" s="43" t="s">
        <v>322</v>
      </c>
      <c r="AJ849" s="140">
        <v>0</v>
      </c>
      <c r="AK849" s="140">
        <v>0</v>
      </c>
      <c r="AL849" s="140">
        <v>0</v>
      </c>
      <c r="AM849" s="140">
        <v>0</v>
      </c>
      <c r="AN849" s="140">
        <v>0</v>
      </c>
      <c r="AO849" s="140">
        <v>1</v>
      </c>
      <c r="AP849" s="140">
        <v>1</v>
      </c>
      <c r="AQ849" s="140">
        <v>0</v>
      </c>
      <c r="AR849" s="140">
        <v>0</v>
      </c>
      <c r="AS849" s="140">
        <v>0</v>
      </c>
      <c r="AT849" s="140">
        <v>0</v>
      </c>
      <c r="AU849" s="140">
        <v>0</v>
      </c>
      <c r="AV849" s="140">
        <v>1</v>
      </c>
      <c r="AW849" s="140">
        <v>1</v>
      </c>
      <c r="AX849" s="140">
        <v>0</v>
      </c>
      <c r="AY849" s="140">
        <v>0</v>
      </c>
      <c r="AZ849" s="140">
        <v>0</v>
      </c>
      <c r="BA849" s="140">
        <v>0</v>
      </c>
      <c r="BB849" s="140">
        <v>0</v>
      </c>
      <c r="BC849" s="140">
        <v>0</v>
      </c>
      <c r="BD849" s="140">
        <v>0</v>
      </c>
      <c r="BE849" s="140">
        <v>0</v>
      </c>
      <c r="BF849" s="140">
        <v>0</v>
      </c>
      <c r="BG849" s="140">
        <v>0</v>
      </c>
      <c r="BH849" s="140">
        <v>0</v>
      </c>
      <c r="BI849" s="140">
        <v>0</v>
      </c>
      <c r="BJ849" s="140">
        <v>0</v>
      </c>
      <c r="BK849" s="140">
        <v>0</v>
      </c>
      <c r="BL849" s="140">
        <v>0</v>
      </c>
      <c r="BM849" s="140">
        <v>0</v>
      </c>
      <c r="BN849" s="140">
        <v>0</v>
      </c>
      <c r="BO849" s="140">
        <v>0</v>
      </c>
      <c r="BV849" s="43" t="s">
        <v>329</v>
      </c>
      <c r="BX849" s="43">
        <v>15</v>
      </c>
      <c r="BZ849" s="90">
        <f t="shared" si="116"/>
        <v>0.66666666666666663</v>
      </c>
      <c r="CA849" s="90">
        <f t="shared" si="116"/>
        <v>0.66666666666666663</v>
      </c>
      <c r="CB849" s="90">
        <f t="shared" si="116"/>
        <v>0.66666666666666663</v>
      </c>
      <c r="CT849" s="90">
        <f t="shared" si="112"/>
        <v>2</v>
      </c>
      <c r="CU849" s="90">
        <f t="shared" si="113"/>
        <v>2</v>
      </c>
    </row>
    <row r="850" spans="1:99" ht="12" customHeight="1">
      <c r="A850" s="43">
        <v>6839</v>
      </c>
      <c r="B850" s="89" t="s">
        <v>1515</v>
      </c>
      <c r="C850" s="89" t="s">
        <v>2366</v>
      </c>
      <c r="D850" s="89" t="s">
        <v>2367</v>
      </c>
      <c r="F850" s="43">
        <v>525097</v>
      </c>
      <c r="G850" s="43">
        <v>175034</v>
      </c>
      <c r="H850" s="89" t="s">
        <v>178</v>
      </c>
      <c r="K850" s="140">
        <v>0</v>
      </c>
      <c r="L850" s="140">
        <v>5</v>
      </c>
      <c r="M850" s="140">
        <v>5</v>
      </c>
      <c r="N850" s="140">
        <v>5</v>
      </c>
      <c r="O850" s="140">
        <v>5</v>
      </c>
      <c r="Q850" s="89" t="s">
        <v>2368</v>
      </c>
      <c r="R850" s="43" t="s">
        <v>316</v>
      </c>
      <c r="S850" s="125">
        <v>43168</v>
      </c>
      <c r="T850" s="117">
        <v>43245</v>
      </c>
      <c r="V850" s="43" t="s">
        <v>317</v>
      </c>
      <c r="X850" s="43" t="s">
        <v>318</v>
      </c>
      <c r="Y850" s="43" t="s">
        <v>361</v>
      </c>
      <c r="Z850" s="43" t="s">
        <v>320</v>
      </c>
      <c r="AA850" s="43" t="s">
        <v>353</v>
      </c>
      <c r="AB850" s="144">
        <v>7.0000002160668399E-3</v>
      </c>
      <c r="AF850" s="43" t="s">
        <v>75</v>
      </c>
      <c r="AG850" s="43" t="s">
        <v>322</v>
      </c>
      <c r="AJ850" s="140">
        <v>0</v>
      </c>
      <c r="AK850" s="140">
        <v>5</v>
      </c>
      <c r="AL850" s="140">
        <v>0</v>
      </c>
      <c r="AM850" s="140">
        <v>0</v>
      </c>
      <c r="AN850" s="140">
        <v>5</v>
      </c>
      <c r="AO850" s="140">
        <v>0</v>
      </c>
      <c r="AP850" s="140">
        <v>0</v>
      </c>
      <c r="AQ850" s="140">
        <v>0</v>
      </c>
      <c r="AR850" s="140">
        <v>0</v>
      </c>
      <c r="AS850" s="140">
        <v>0</v>
      </c>
      <c r="AT850" s="140">
        <v>0</v>
      </c>
      <c r="AU850" s="140">
        <v>5</v>
      </c>
      <c r="AV850" s="140">
        <v>0</v>
      </c>
      <c r="AW850" s="140">
        <v>0</v>
      </c>
      <c r="AX850" s="140">
        <v>0</v>
      </c>
      <c r="AY850" s="140">
        <v>0</v>
      </c>
      <c r="AZ850" s="140">
        <v>0</v>
      </c>
      <c r="BA850" s="140">
        <v>0</v>
      </c>
      <c r="BB850" s="140">
        <v>0</v>
      </c>
      <c r="BC850" s="140">
        <v>0</v>
      </c>
      <c r="BD850" s="140">
        <v>0</v>
      </c>
      <c r="BE850" s="140">
        <v>0</v>
      </c>
      <c r="BF850" s="140">
        <v>0</v>
      </c>
      <c r="BG850" s="140">
        <v>0</v>
      </c>
      <c r="BH850" s="140">
        <v>0</v>
      </c>
      <c r="BI850" s="140">
        <v>0</v>
      </c>
      <c r="BJ850" s="140">
        <v>0</v>
      </c>
      <c r="BK850" s="140">
        <v>0</v>
      </c>
      <c r="BL850" s="140">
        <v>0</v>
      </c>
      <c r="BM850" s="140">
        <v>0</v>
      </c>
      <c r="BN850" s="140">
        <v>0</v>
      </c>
      <c r="BO850" s="140">
        <v>0</v>
      </c>
      <c r="BX850" s="43">
        <v>6</v>
      </c>
      <c r="CA850" s="90">
        <f>$M850/4</f>
        <v>1.25</v>
      </c>
      <c r="CB850" s="90">
        <f>$M850/4</f>
        <v>1.25</v>
      </c>
      <c r="CC850" s="90">
        <f>$M850/4</f>
        <v>1.25</v>
      </c>
      <c r="CD850" s="90">
        <f>$M850/4</f>
        <v>1.25</v>
      </c>
      <c r="CT850" s="90">
        <f t="shared" si="112"/>
        <v>5</v>
      </c>
      <c r="CU850" s="90">
        <f t="shared" si="113"/>
        <v>5</v>
      </c>
    </row>
    <row r="851" spans="1:99" ht="12" customHeight="1">
      <c r="A851" s="43">
        <v>6841</v>
      </c>
      <c r="B851" s="89" t="s">
        <v>1515</v>
      </c>
      <c r="C851" s="89" t="s">
        <v>2369</v>
      </c>
      <c r="D851" s="89" t="s">
        <v>2370</v>
      </c>
      <c r="F851" s="43">
        <v>524290</v>
      </c>
      <c r="G851" s="43">
        <v>173418</v>
      </c>
      <c r="H851" s="89" t="s">
        <v>180</v>
      </c>
      <c r="K851" s="140">
        <v>0</v>
      </c>
      <c r="L851" s="140">
        <v>9</v>
      </c>
      <c r="M851" s="140">
        <v>9</v>
      </c>
      <c r="N851" s="140">
        <v>9</v>
      </c>
      <c r="O851" s="140">
        <v>9</v>
      </c>
      <c r="Q851" s="89" t="s">
        <v>2371</v>
      </c>
      <c r="R851" s="43" t="s">
        <v>316</v>
      </c>
      <c r="S851" s="125">
        <v>43168</v>
      </c>
      <c r="T851" s="117">
        <v>43335</v>
      </c>
      <c r="V851" s="43" t="s">
        <v>317</v>
      </c>
      <c r="X851" s="43" t="s">
        <v>318</v>
      </c>
      <c r="Y851" s="43" t="s">
        <v>361</v>
      </c>
      <c r="Z851" s="43" t="s">
        <v>320</v>
      </c>
      <c r="AA851" s="43" t="s">
        <v>353</v>
      </c>
      <c r="AB851" s="144">
        <v>7.5000002980232197E-2</v>
      </c>
      <c r="AF851" s="43" t="s">
        <v>55</v>
      </c>
      <c r="AG851" s="43" t="s">
        <v>438</v>
      </c>
      <c r="AJ851" s="140">
        <v>0</v>
      </c>
      <c r="AK851" s="140">
        <v>0</v>
      </c>
      <c r="AL851" s="140">
        <v>0</v>
      </c>
      <c r="AM851" s="140">
        <v>0</v>
      </c>
      <c r="AN851" s="140">
        <v>0</v>
      </c>
      <c r="AO851" s="140">
        <v>1</v>
      </c>
      <c r="AP851" s="140">
        <v>6</v>
      </c>
      <c r="AQ851" s="140">
        <v>2</v>
      </c>
      <c r="AR851" s="140">
        <v>0</v>
      </c>
      <c r="AS851" s="140">
        <v>0</v>
      </c>
      <c r="AT851" s="140">
        <v>0</v>
      </c>
      <c r="AU851" s="140">
        <v>0</v>
      </c>
      <c r="AV851" s="140">
        <v>1</v>
      </c>
      <c r="AW851" s="140">
        <v>6</v>
      </c>
      <c r="AX851" s="140">
        <v>2</v>
      </c>
      <c r="AY851" s="140">
        <v>0</v>
      </c>
      <c r="AZ851" s="140">
        <v>0</v>
      </c>
      <c r="BA851" s="140">
        <v>0</v>
      </c>
      <c r="BB851" s="140">
        <v>0</v>
      </c>
      <c r="BC851" s="140">
        <v>0</v>
      </c>
      <c r="BD851" s="140">
        <v>0</v>
      </c>
      <c r="BE851" s="140">
        <v>0</v>
      </c>
      <c r="BF851" s="140">
        <v>0</v>
      </c>
      <c r="BG851" s="140">
        <v>0</v>
      </c>
      <c r="BH851" s="140">
        <v>0</v>
      </c>
      <c r="BI851" s="140">
        <v>0</v>
      </c>
      <c r="BJ851" s="140">
        <v>0</v>
      </c>
      <c r="BK851" s="140">
        <v>0</v>
      </c>
      <c r="BL851" s="140">
        <v>0</v>
      </c>
      <c r="BM851" s="140">
        <v>0</v>
      </c>
      <c r="BN851" s="140">
        <v>0</v>
      </c>
      <c r="BO851" s="140">
        <v>0</v>
      </c>
      <c r="BX851" s="43">
        <v>7</v>
      </c>
      <c r="CB851" s="90">
        <f>M851</f>
        <v>9</v>
      </c>
      <c r="CT851" s="90">
        <f t="shared" si="112"/>
        <v>9</v>
      </c>
      <c r="CU851" s="90">
        <f t="shared" si="113"/>
        <v>9</v>
      </c>
    </row>
    <row r="852" spans="1:99" ht="12" customHeight="1">
      <c r="A852" s="43">
        <v>6846</v>
      </c>
      <c r="B852" s="89" t="s">
        <v>1515</v>
      </c>
      <c r="C852" s="89" t="s">
        <v>2372</v>
      </c>
      <c r="D852" s="89" t="s">
        <v>2373</v>
      </c>
      <c r="F852" s="43">
        <v>527474</v>
      </c>
      <c r="G852" s="43">
        <v>174921</v>
      </c>
      <c r="H852" s="89" t="s">
        <v>174</v>
      </c>
      <c r="K852" s="140">
        <v>1</v>
      </c>
      <c r="L852" s="140">
        <v>2</v>
      </c>
      <c r="M852" s="140">
        <v>1</v>
      </c>
      <c r="N852" s="140">
        <v>2</v>
      </c>
      <c r="O852" s="140">
        <v>1</v>
      </c>
      <c r="Q852" s="89" t="s">
        <v>2374</v>
      </c>
      <c r="R852" s="43" t="s">
        <v>316</v>
      </c>
      <c r="S852" s="125">
        <v>43174</v>
      </c>
      <c r="T852" s="117">
        <v>43216</v>
      </c>
      <c r="V852" s="43" t="s">
        <v>317</v>
      </c>
      <c r="X852" s="43" t="s">
        <v>318</v>
      </c>
      <c r="Y852" s="43" t="s">
        <v>379</v>
      </c>
      <c r="Z852" s="43" t="s">
        <v>320</v>
      </c>
      <c r="AA852" s="43" t="s">
        <v>340</v>
      </c>
      <c r="AB852" s="144">
        <v>8.9999996125698107E-3</v>
      </c>
      <c r="AF852" s="43" t="s">
        <v>75</v>
      </c>
      <c r="AG852" s="43" t="s">
        <v>322</v>
      </c>
      <c r="AJ852" s="140">
        <v>0</v>
      </c>
      <c r="AK852" s="140">
        <v>0</v>
      </c>
      <c r="AL852" s="140">
        <v>0</v>
      </c>
      <c r="AM852" s="140">
        <v>0</v>
      </c>
      <c r="AN852" s="140">
        <v>0</v>
      </c>
      <c r="AO852" s="140">
        <v>0</v>
      </c>
      <c r="AP852" s="140">
        <v>1</v>
      </c>
      <c r="AQ852" s="140">
        <v>0</v>
      </c>
      <c r="AR852" s="140">
        <v>0</v>
      </c>
      <c r="AS852" s="140">
        <v>0</v>
      </c>
      <c r="AT852" s="140">
        <v>0</v>
      </c>
      <c r="AU852" s="140">
        <v>0</v>
      </c>
      <c r="AV852" s="140">
        <v>0</v>
      </c>
      <c r="AW852" s="140">
        <v>1</v>
      </c>
      <c r="AX852" s="140">
        <v>0</v>
      </c>
      <c r="AY852" s="140">
        <v>0</v>
      </c>
      <c r="AZ852" s="140">
        <v>0</v>
      </c>
      <c r="BA852" s="140">
        <v>0</v>
      </c>
      <c r="BB852" s="140">
        <v>0</v>
      </c>
      <c r="BC852" s="140">
        <v>0</v>
      </c>
      <c r="BD852" s="140">
        <v>0</v>
      </c>
      <c r="BE852" s="140">
        <v>0</v>
      </c>
      <c r="BF852" s="140">
        <v>0</v>
      </c>
      <c r="BG852" s="140">
        <v>0</v>
      </c>
      <c r="BH852" s="140">
        <v>0</v>
      </c>
      <c r="BI852" s="140">
        <v>0</v>
      </c>
      <c r="BJ852" s="140">
        <v>0</v>
      </c>
      <c r="BK852" s="140">
        <v>0</v>
      </c>
      <c r="BL852" s="140">
        <v>0</v>
      </c>
      <c r="BM852" s="140">
        <v>0</v>
      </c>
      <c r="BN852" s="140">
        <v>0</v>
      </c>
      <c r="BO852" s="140">
        <v>0</v>
      </c>
      <c r="BP852" s="43" t="s">
        <v>139</v>
      </c>
      <c r="BX852" s="43">
        <v>15</v>
      </c>
      <c r="BZ852" s="90">
        <f>$M852/3</f>
        <v>0.33333333333333331</v>
      </c>
      <c r="CA852" s="90">
        <f>$M852/3</f>
        <v>0.33333333333333331</v>
      </c>
      <c r="CB852" s="90">
        <f>$M852/3</f>
        <v>0.33333333333333331</v>
      </c>
      <c r="CT852" s="90">
        <f t="shared" si="112"/>
        <v>1</v>
      </c>
      <c r="CU852" s="90">
        <f t="shared" si="113"/>
        <v>1</v>
      </c>
    </row>
    <row r="853" spans="1:99" ht="12" customHeight="1">
      <c r="A853" s="43">
        <v>6852</v>
      </c>
      <c r="B853" s="89" t="s">
        <v>1515</v>
      </c>
      <c r="C853" s="89" t="s">
        <v>2375</v>
      </c>
      <c r="D853" s="89" t="s">
        <v>2376</v>
      </c>
      <c r="E853" s="89" t="s">
        <v>367</v>
      </c>
      <c r="F853" s="43">
        <v>524063</v>
      </c>
      <c r="G853" s="43">
        <v>174446</v>
      </c>
      <c r="H853" s="89" t="s">
        <v>169</v>
      </c>
      <c r="K853" s="140">
        <v>0</v>
      </c>
      <c r="L853" s="140">
        <v>4</v>
      </c>
      <c r="M853" s="140">
        <v>4</v>
      </c>
      <c r="N853" s="140">
        <v>41</v>
      </c>
      <c r="O853" s="140">
        <v>41</v>
      </c>
      <c r="P853" s="43" t="s">
        <v>329</v>
      </c>
      <c r="Q853" s="89" t="s">
        <v>2377</v>
      </c>
      <c r="R853" s="43" t="s">
        <v>392</v>
      </c>
      <c r="S853" s="125">
        <v>43452</v>
      </c>
      <c r="T853" s="117">
        <v>43889</v>
      </c>
      <c r="U853" s="43" t="s">
        <v>329</v>
      </c>
      <c r="V853" s="43" t="s">
        <v>317</v>
      </c>
      <c r="X853" s="43" t="s">
        <v>318</v>
      </c>
      <c r="Y853" s="43" t="s">
        <v>361</v>
      </c>
      <c r="Z853" s="43" t="s">
        <v>361</v>
      </c>
      <c r="AA853" s="43" t="s">
        <v>320</v>
      </c>
      <c r="AB853" s="144">
        <v>5.6000001728534698E-2</v>
      </c>
      <c r="AF853" s="43" t="s">
        <v>75</v>
      </c>
      <c r="AG853" s="43" t="s">
        <v>322</v>
      </c>
      <c r="AI853" s="43">
        <v>17320313</v>
      </c>
      <c r="AJ853" s="140">
        <v>0</v>
      </c>
      <c r="AK853" s="140">
        <v>0</v>
      </c>
      <c r="AL853" s="140">
        <v>0</v>
      </c>
      <c r="AM853" s="140">
        <v>0</v>
      </c>
      <c r="AN853" s="140">
        <v>0</v>
      </c>
      <c r="AO853" s="140">
        <v>1</v>
      </c>
      <c r="AP853" s="140">
        <v>3</v>
      </c>
      <c r="AQ853" s="140">
        <v>0</v>
      </c>
      <c r="AR853" s="140">
        <v>0</v>
      </c>
      <c r="AS853" s="140">
        <v>0</v>
      </c>
      <c r="AT853" s="140">
        <v>0</v>
      </c>
      <c r="AU853" s="140">
        <v>0</v>
      </c>
      <c r="AV853" s="140">
        <v>1</v>
      </c>
      <c r="AW853" s="140">
        <v>3</v>
      </c>
      <c r="AX853" s="140">
        <v>0</v>
      </c>
      <c r="AY853" s="140">
        <v>0</v>
      </c>
      <c r="AZ853" s="140">
        <v>0</v>
      </c>
      <c r="BA853" s="140">
        <v>0</v>
      </c>
      <c r="BB853" s="140">
        <v>0</v>
      </c>
      <c r="BC853" s="140">
        <v>0</v>
      </c>
      <c r="BD853" s="140">
        <v>0</v>
      </c>
      <c r="BE853" s="140">
        <v>0</v>
      </c>
      <c r="BF853" s="140">
        <v>0</v>
      </c>
      <c r="BG853" s="140">
        <v>0</v>
      </c>
      <c r="BH853" s="140">
        <v>0</v>
      </c>
      <c r="BI853" s="140">
        <v>0</v>
      </c>
      <c r="BJ853" s="140">
        <v>0</v>
      </c>
      <c r="BK853" s="140">
        <v>0</v>
      </c>
      <c r="BL853" s="140">
        <v>0</v>
      </c>
      <c r="BM853" s="140">
        <v>0</v>
      </c>
      <c r="BN853" s="140">
        <v>0</v>
      </c>
      <c r="BO853" s="140">
        <v>0</v>
      </c>
      <c r="BX853" s="43">
        <v>7</v>
      </c>
      <c r="CB853" s="90">
        <f t="shared" ref="CB853:CB859" si="117">M853</f>
        <v>4</v>
      </c>
      <c r="CT853" s="90">
        <f t="shared" si="112"/>
        <v>4</v>
      </c>
      <c r="CU853" s="90">
        <f t="shared" si="113"/>
        <v>4</v>
      </c>
    </row>
    <row r="854" spans="1:99" ht="12" customHeight="1">
      <c r="A854" s="43">
        <v>6852</v>
      </c>
      <c r="B854" s="89" t="s">
        <v>1515</v>
      </c>
      <c r="C854" s="89" t="s">
        <v>2375</v>
      </c>
      <c r="D854" s="89" t="s">
        <v>2376</v>
      </c>
      <c r="E854" s="89" t="s">
        <v>369</v>
      </c>
      <c r="F854" s="43">
        <v>524063</v>
      </c>
      <c r="G854" s="43">
        <v>174446</v>
      </c>
      <c r="H854" s="89" t="s">
        <v>169</v>
      </c>
      <c r="K854" s="140">
        <v>0</v>
      </c>
      <c r="L854" s="140">
        <v>6</v>
      </c>
      <c r="M854" s="140">
        <v>6</v>
      </c>
      <c r="N854" s="140">
        <v>41</v>
      </c>
      <c r="O854" s="140">
        <v>41</v>
      </c>
      <c r="P854" s="43" t="s">
        <v>329</v>
      </c>
      <c r="Q854" s="89" t="s">
        <v>2377</v>
      </c>
      <c r="R854" s="43" t="s">
        <v>392</v>
      </c>
      <c r="S854" s="125">
        <v>43452</v>
      </c>
      <c r="T854" s="117">
        <v>43889</v>
      </c>
      <c r="U854" s="43" t="s">
        <v>329</v>
      </c>
      <c r="V854" s="43" t="s">
        <v>317</v>
      </c>
      <c r="X854" s="43" t="s">
        <v>318</v>
      </c>
      <c r="Y854" s="43" t="s">
        <v>361</v>
      </c>
      <c r="Z854" s="43" t="s">
        <v>361</v>
      </c>
      <c r="AA854" s="43" t="s">
        <v>320</v>
      </c>
      <c r="AB854" s="144">
        <v>8.5000000894069699E-2</v>
      </c>
      <c r="AF854" s="43" t="s">
        <v>75</v>
      </c>
      <c r="AG854" s="43" t="s">
        <v>322</v>
      </c>
      <c r="AI854" s="43">
        <v>17320313</v>
      </c>
      <c r="AJ854" s="140">
        <v>0</v>
      </c>
      <c r="AK854" s="140">
        <v>0</v>
      </c>
      <c r="AL854" s="140">
        <v>0</v>
      </c>
      <c r="AM854" s="140">
        <v>0</v>
      </c>
      <c r="AN854" s="140">
        <v>0</v>
      </c>
      <c r="AO854" s="140">
        <v>2</v>
      </c>
      <c r="AP854" s="140">
        <v>0</v>
      </c>
      <c r="AQ854" s="140">
        <v>4</v>
      </c>
      <c r="AR854" s="140">
        <v>0</v>
      </c>
      <c r="AS854" s="140">
        <v>0</v>
      </c>
      <c r="AT854" s="140">
        <v>0</v>
      </c>
      <c r="AU854" s="140">
        <v>0</v>
      </c>
      <c r="AV854" s="140">
        <v>2</v>
      </c>
      <c r="AW854" s="140">
        <v>0</v>
      </c>
      <c r="AX854" s="140">
        <v>4</v>
      </c>
      <c r="AY854" s="140">
        <v>0</v>
      </c>
      <c r="AZ854" s="140">
        <v>0</v>
      </c>
      <c r="BA854" s="140">
        <v>0</v>
      </c>
      <c r="BB854" s="140">
        <v>0</v>
      </c>
      <c r="BC854" s="140">
        <v>0</v>
      </c>
      <c r="BD854" s="140">
        <v>0</v>
      </c>
      <c r="BE854" s="140">
        <v>0</v>
      </c>
      <c r="BF854" s="140">
        <v>0</v>
      </c>
      <c r="BG854" s="140">
        <v>0</v>
      </c>
      <c r="BH854" s="140">
        <v>0</v>
      </c>
      <c r="BI854" s="140">
        <v>0</v>
      </c>
      <c r="BJ854" s="140">
        <v>0</v>
      </c>
      <c r="BK854" s="140">
        <v>0</v>
      </c>
      <c r="BL854" s="140">
        <v>0</v>
      </c>
      <c r="BM854" s="140">
        <v>0</v>
      </c>
      <c r="BN854" s="140">
        <v>0</v>
      </c>
      <c r="BO854" s="140">
        <v>0</v>
      </c>
      <c r="BX854" s="43">
        <v>7</v>
      </c>
      <c r="CB854" s="90">
        <f t="shared" si="117"/>
        <v>6</v>
      </c>
      <c r="CT854" s="90">
        <f t="shared" si="112"/>
        <v>6</v>
      </c>
      <c r="CU854" s="90">
        <f t="shared" si="113"/>
        <v>6</v>
      </c>
    </row>
    <row r="855" spans="1:99" ht="12" customHeight="1">
      <c r="A855" s="43">
        <v>6852</v>
      </c>
      <c r="B855" s="89" t="s">
        <v>1515</v>
      </c>
      <c r="C855" s="89" t="s">
        <v>2375</v>
      </c>
      <c r="D855" s="89" t="s">
        <v>2376</v>
      </c>
      <c r="E855" s="89" t="s">
        <v>454</v>
      </c>
      <c r="F855" s="43">
        <v>524063</v>
      </c>
      <c r="G855" s="43">
        <v>174446</v>
      </c>
      <c r="H855" s="89" t="s">
        <v>169</v>
      </c>
      <c r="K855" s="140">
        <v>0</v>
      </c>
      <c r="L855" s="140">
        <v>6</v>
      </c>
      <c r="M855" s="140">
        <v>6</v>
      </c>
      <c r="N855" s="140">
        <v>41</v>
      </c>
      <c r="O855" s="140">
        <v>41</v>
      </c>
      <c r="P855" s="43" t="s">
        <v>329</v>
      </c>
      <c r="Q855" s="89" t="s">
        <v>2377</v>
      </c>
      <c r="R855" s="43" t="s">
        <v>392</v>
      </c>
      <c r="S855" s="125">
        <v>43452</v>
      </c>
      <c r="T855" s="117">
        <v>43889</v>
      </c>
      <c r="U855" s="43" t="s">
        <v>329</v>
      </c>
      <c r="V855" s="43" t="s">
        <v>317</v>
      </c>
      <c r="X855" s="43" t="s">
        <v>318</v>
      </c>
      <c r="Y855" s="43" t="s">
        <v>361</v>
      </c>
      <c r="Z855" s="43" t="s">
        <v>361</v>
      </c>
      <c r="AA855" s="43" t="s">
        <v>320</v>
      </c>
      <c r="AB855" s="144">
        <v>8.5000000894069699E-2</v>
      </c>
      <c r="AF855" s="43" t="s">
        <v>75</v>
      </c>
      <c r="AG855" s="43" t="s">
        <v>322</v>
      </c>
      <c r="AI855" s="43">
        <v>17320313</v>
      </c>
      <c r="AJ855" s="140">
        <v>0</v>
      </c>
      <c r="AK855" s="140">
        <v>0</v>
      </c>
      <c r="AL855" s="140">
        <v>0</v>
      </c>
      <c r="AM855" s="140">
        <v>0</v>
      </c>
      <c r="AN855" s="140">
        <v>0</v>
      </c>
      <c r="AO855" s="140">
        <v>2</v>
      </c>
      <c r="AP855" s="140">
        <v>0</v>
      </c>
      <c r="AQ855" s="140">
        <v>4</v>
      </c>
      <c r="AR855" s="140">
        <v>0</v>
      </c>
      <c r="AS855" s="140">
        <v>0</v>
      </c>
      <c r="AT855" s="140">
        <v>0</v>
      </c>
      <c r="AU855" s="140">
        <v>0</v>
      </c>
      <c r="AV855" s="140">
        <v>2</v>
      </c>
      <c r="AW855" s="140">
        <v>0</v>
      </c>
      <c r="AX855" s="140">
        <v>4</v>
      </c>
      <c r="AY855" s="140">
        <v>0</v>
      </c>
      <c r="AZ855" s="140">
        <v>0</v>
      </c>
      <c r="BA855" s="140">
        <v>0</v>
      </c>
      <c r="BB855" s="140">
        <v>0</v>
      </c>
      <c r="BC855" s="140">
        <v>0</v>
      </c>
      <c r="BD855" s="140">
        <v>0</v>
      </c>
      <c r="BE855" s="140">
        <v>0</v>
      </c>
      <c r="BF855" s="140">
        <v>0</v>
      </c>
      <c r="BG855" s="140">
        <v>0</v>
      </c>
      <c r="BH855" s="140">
        <v>0</v>
      </c>
      <c r="BI855" s="140">
        <v>0</v>
      </c>
      <c r="BJ855" s="140">
        <v>0</v>
      </c>
      <c r="BK855" s="140">
        <v>0</v>
      </c>
      <c r="BL855" s="140">
        <v>0</v>
      </c>
      <c r="BM855" s="140">
        <v>0</v>
      </c>
      <c r="BN855" s="140">
        <v>0</v>
      </c>
      <c r="BO855" s="140">
        <v>0</v>
      </c>
      <c r="BX855" s="43">
        <v>7</v>
      </c>
      <c r="CB855" s="90">
        <f t="shared" si="117"/>
        <v>6</v>
      </c>
      <c r="CT855" s="90">
        <f t="shared" si="112"/>
        <v>6</v>
      </c>
      <c r="CU855" s="90">
        <f t="shared" si="113"/>
        <v>6</v>
      </c>
    </row>
    <row r="856" spans="1:99" ht="12" customHeight="1">
      <c r="A856" s="43">
        <v>6852</v>
      </c>
      <c r="B856" s="89" t="s">
        <v>1515</v>
      </c>
      <c r="C856" s="89" t="s">
        <v>2375</v>
      </c>
      <c r="D856" s="89" t="s">
        <v>2376</v>
      </c>
      <c r="E856" s="89" t="s">
        <v>404</v>
      </c>
      <c r="F856" s="43">
        <v>524063</v>
      </c>
      <c r="G856" s="43">
        <v>174446</v>
      </c>
      <c r="H856" s="89" t="s">
        <v>169</v>
      </c>
      <c r="K856" s="140">
        <v>0</v>
      </c>
      <c r="L856" s="140">
        <v>6</v>
      </c>
      <c r="M856" s="140">
        <v>6</v>
      </c>
      <c r="N856" s="140">
        <v>41</v>
      </c>
      <c r="O856" s="140">
        <v>41</v>
      </c>
      <c r="P856" s="43" t="s">
        <v>329</v>
      </c>
      <c r="Q856" s="89" t="s">
        <v>2377</v>
      </c>
      <c r="R856" s="43" t="s">
        <v>392</v>
      </c>
      <c r="S856" s="125">
        <v>43452</v>
      </c>
      <c r="T856" s="117">
        <v>43889</v>
      </c>
      <c r="U856" s="43" t="s">
        <v>329</v>
      </c>
      <c r="V856" s="43" t="s">
        <v>317</v>
      </c>
      <c r="X856" s="43" t="s">
        <v>318</v>
      </c>
      <c r="Y856" s="43" t="s">
        <v>361</v>
      </c>
      <c r="Z856" s="43" t="s">
        <v>361</v>
      </c>
      <c r="AA856" s="43" t="s">
        <v>320</v>
      </c>
      <c r="AB856" s="144">
        <v>8.5000000894069699E-2</v>
      </c>
      <c r="AF856" s="43" t="s">
        <v>75</v>
      </c>
      <c r="AG856" s="43" t="s">
        <v>322</v>
      </c>
      <c r="AI856" s="43">
        <v>17320313</v>
      </c>
      <c r="AJ856" s="140">
        <v>0</v>
      </c>
      <c r="AK856" s="140">
        <v>0</v>
      </c>
      <c r="AL856" s="140">
        <v>0</v>
      </c>
      <c r="AM856" s="140">
        <v>0</v>
      </c>
      <c r="AN856" s="140">
        <v>0</v>
      </c>
      <c r="AO856" s="140">
        <v>2</v>
      </c>
      <c r="AP856" s="140">
        <v>0</v>
      </c>
      <c r="AQ856" s="140">
        <v>4</v>
      </c>
      <c r="AR856" s="140">
        <v>0</v>
      </c>
      <c r="AS856" s="140">
        <v>0</v>
      </c>
      <c r="AT856" s="140">
        <v>0</v>
      </c>
      <c r="AU856" s="140">
        <v>0</v>
      </c>
      <c r="AV856" s="140">
        <v>2</v>
      </c>
      <c r="AW856" s="140">
        <v>0</v>
      </c>
      <c r="AX856" s="140">
        <v>4</v>
      </c>
      <c r="AY856" s="140">
        <v>0</v>
      </c>
      <c r="AZ856" s="140">
        <v>0</v>
      </c>
      <c r="BA856" s="140">
        <v>0</v>
      </c>
      <c r="BB856" s="140">
        <v>0</v>
      </c>
      <c r="BC856" s="140">
        <v>0</v>
      </c>
      <c r="BD856" s="140">
        <v>0</v>
      </c>
      <c r="BE856" s="140">
        <v>0</v>
      </c>
      <c r="BF856" s="140">
        <v>0</v>
      </c>
      <c r="BG856" s="140">
        <v>0</v>
      </c>
      <c r="BH856" s="140">
        <v>0</v>
      </c>
      <c r="BI856" s="140">
        <v>0</v>
      </c>
      <c r="BJ856" s="140">
        <v>0</v>
      </c>
      <c r="BK856" s="140">
        <v>0</v>
      </c>
      <c r="BL856" s="140">
        <v>0</v>
      </c>
      <c r="BM856" s="140">
        <v>0</v>
      </c>
      <c r="BN856" s="140">
        <v>0</v>
      </c>
      <c r="BO856" s="140">
        <v>0</v>
      </c>
      <c r="BX856" s="43">
        <v>7</v>
      </c>
      <c r="CB856" s="90">
        <f t="shared" si="117"/>
        <v>6</v>
      </c>
      <c r="CT856" s="90">
        <f t="shared" si="112"/>
        <v>6</v>
      </c>
      <c r="CU856" s="90">
        <f t="shared" si="113"/>
        <v>6</v>
      </c>
    </row>
    <row r="857" spans="1:99" ht="12" customHeight="1">
      <c r="A857" s="43">
        <v>6852</v>
      </c>
      <c r="B857" s="89" t="s">
        <v>1515</v>
      </c>
      <c r="C857" s="89" t="s">
        <v>2375</v>
      </c>
      <c r="D857" s="89" t="s">
        <v>2376</v>
      </c>
      <c r="E857" s="89" t="s">
        <v>1543</v>
      </c>
      <c r="F857" s="43">
        <v>524063</v>
      </c>
      <c r="G857" s="43">
        <v>174446</v>
      </c>
      <c r="H857" s="89" t="s">
        <v>169</v>
      </c>
      <c r="K857" s="140">
        <v>0</v>
      </c>
      <c r="L857" s="140">
        <v>5</v>
      </c>
      <c r="M857" s="140">
        <v>5</v>
      </c>
      <c r="N857" s="140">
        <v>41</v>
      </c>
      <c r="O857" s="140">
        <v>41</v>
      </c>
      <c r="P857" s="43" t="s">
        <v>329</v>
      </c>
      <c r="Q857" s="89" t="s">
        <v>2377</v>
      </c>
      <c r="R857" s="43" t="s">
        <v>392</v>
      </c>
      <c r="S857" s="125">
        <v>43452</v>
      </c>
      <c r="T857" s="117">
        <v>43889</v>
      </c>
      <c r="U857" s="43" t="s">
        <v>329</v>
      </c>
      <c r="V857" s="43" t="s">
        <v>317</v>
      </c>
      <c r="X857" s="43" t="s">
        <v>318</v>
      </c>
      <c r="Y857" s="43" t="s">
        <v>361</v>
      </c>
      <c r="Z857" s="43" t="s">
        <v>361</v>
      </c>
      <c r="AA857" s="43" t="s">
        <v>320</v>
      </c>
      <c r="AB857" s="144">
        <v>7.0000000298023196E-2</v>
      </c>
      <c r="AF857" s="43" t="s">
        <v>75</v>
      </c>
      <c r="AG857" s="43" t="s">
        <v>322</v>
      </c>
      <c r="AI857" s="43">
        <v>17320313</v>
      </c>
      <c r="AJ857" s="140">
        <v>0</v>
      </c>
      <c r="AK857" s="140">
        <v>0</v>
      </c>
      <c r="AL857" s="140">
        <v>0</v>
      </c>
      <c r="AM857" s="140">
        <v>0</v>
      </c>
      <c r="AN857" s="140">
        <v>0</v>
      </c>
      <c r="AO857" s="140">
        <v>1</v>
      </c>
      <c r="AP857" s="140">
        <v>4</v>
      </c>
      <c r="AQ857" s="140">
        <v>0</v>
      </c>
      <c r="AR857" s="140">
        <v>0</v>
      </c>
      <c r="AS857" s="140">
        <v>0</v>
      </c>
      <c r="AT857" s="140">
        <v>0</v>
      </c>
      <c r="AU857" s="140">
        <v>0</v>
      </c>
      <c r="AV857" s="140">
        <v>1</v>
      </c>
      <c r="AW857" s="140">
        <v>4</v>
      </c>
      <c r="AX857" s="140">
        <v>0</v>
      </c>
      <c r="AY857" s="140">
        <v>0</v>
      </c>
      <c r="AZ857" s="140">
        <v>0</v>
      </c>
      <c r="BA857" s="140">
        <v>0</v>
      </c>
      <c r="BB857" s="140">
        <v>0</v>
      </c>
      <c r="BC857" s="140">
        <v>0</v>
      </c>
      <c r="BD857" s="140">
        <v>0</v>
      </c>
      <c r="BE857" s="140">
        <v>0</v>
      </c>
      <c r="BF857" s="140">
        <v>0</v>
      </c>
      <c r="BG857" s="140">
        <v>0</v>
      </c>
      <c r="BH857" s="140">
        <v>0</v>
      </c>
      <c r="BI857" s="140">
        <v>0</v>
      </c>
      <c r="BJ857" s="140">
        <v>0</v>
      </c>
      <c r="BK857" s="140">
        <v>0</v>
      </c>
      <c r="BL857" s="140">
        <v>0</v>
      </c>
      <c r="BM857" s="140">
        <v>0</v>
      </c>
      <c r="BN857" s="140">
        <v>0</v>
      </c>
      <c r="BO857" s="140">
        <v>0</v>
      </c>
      <c r="BX857" s="43">
        <v>7</v>
      </c>
      <c r="CB857" s="90">
        <f t="shared" si="117"/>
        <v>5</v>
      </c>
      <c r="CT857" s="90">
        <f t="shared" si="112"/>
        <v>5</v>
      </c>
      <c r="CU857" s="90">
        <f t="shared" si="113"/>
        <v>5</v>
      </c>
    </row>
    <row r="858" spans="1:99" ht="12" customHeight="1">
      <c r="A858" s="43">
        <v>6852</v>
      </c>
      <c r="B858" s="89" t="s">
        <v>1515</v>
      </c>
      <c r="C858" s="89" t="s">
        <v>2375</v>
      </c>
      <c r="D858" s="89" t="s">
        <v>2376</v>
      </c>
      <c r="E858" s="89" t="s">
        <v>1750</v>
      </c>
      <c r="F858" s="43">
        <v>524063</v>
      </c>
      <c r="G858" s="43">
        <v>174446</v>
      </c>
      <c r="H858" s="89" t="s">
        <v>169</v>
      </c>
      <c r="K858" s="140">
        <v>0</v>
      </c>
      <c r="L858" s="140">
        <v>7</v>
      </c>
      <c r="M858" s="140">
        <v>7</v>
      </c>
      <c r="N858" s="140">
        <v>41</v>
      </c>
      <c r="O858" s="140">
        <v>41</v>
      </c>
      <c r="P858" s="43" t="s">
        <v>329</v>
      </c>
      <c r="Q858" s="89" t="s">
        <v>2377</v>
      </c>
      <c r="R858" s="43" t="s">
        <v>392</v>
      </c>
      <c r="S858" s="125">
        <v>43452</v>
      </c>
      <c r="T858" s="117">
        <v>43889</v>
      </c>
      <c r="U858" s="43" t="s">
        <v>329</v>
      </c>
      <c r="V858" s="43" t="s">
        <v>317</v>
      </c>
      <c r="X858" s="43" t="s">
        <v>318</v>
      </c>
      <c r="Y858" s="43" t="s">
        <v>361</v>
      </c>
      <c r="Z858" s="43" t="s">
        <v>361</v>
      </c>
      <c r="AA858" s="43" t="s">
        <v>320</v>
      </c>
      <c r="AB858" s="144">
        <v>9.8999999463558197E-2</v>
      </c>
      <c r="AF858" s="43" t="s">
        <v>55</v>
      </c>
      <c r="AG858" s="43" t="s">
        <v>1031</v>
      </c>
      <c r="AI858" s="43">
        <v>17320313</v>
      </c>
      <c r="AJ858" s="140">
        <v>0</v>
      </c>
      <c r="AK858" s="140">
        <v>0</v>
      </c>
      <c r="AL858" s="140">
        <v>0</v>
      </c>
      <c r="AM858" s="140">
        <v>1</v>
      </c>
      <c r="AN858" s="140">
        <v>0</v>
      </c>
      <c r="AO858" s="140">
        <v>3</v>
      </c>
      <c r="AP858" s="140">
        <v>3</v>
      </c>
      <c r="AQ858" s="140">
        <v>1</v>
      </c>
      <c r="AR858" s="140">
        <v>0</v>
      </c>
      <c r="AS858" s="140">
        <v>0</v>
      </c>
      <c r="AT858" s="140">
        <v>0</v>
      </c>
      <c r="AU858" s="140">
        <v>0</v>
      </c>
      <c r="AV858" s="140">
        <v>3</v>
      </c>
      <c r="AW858" s="140">
        <v>3</v>
      </c>
      <c r="AX858" s="140">
        <v>1</v>
      </c>
      <c r="AY858" s="140">
        <v>0</v>
      </c>
      <c r="AZ858" s="140">
        <v>0</v>
      </c>
      <c r="BA858" s="140">
        <v>0</v>
      </c>
      <c r="BB858" s="140">
        <v>0</v>
      </c>
      <c r="BC858" s="140">
        <v>0</v>
      </c>
      <c r="BD858" s="140">
        <v>0</v>
      </c>
      <c r="BE858" s="140">
        <v>0</v>
      </c>
      <c r="BF858" s="140">
        <v>0</v>
      </c>
      <c r="BG858" s="140">
        <v>0</v>
      </c>
      <c r="BH858" s="140">
        <v>0</v>
      </c>
      <c r="BI858" s="140">
        <v>0</v>
      </c>
      <c r="BJ858" s="140">
        <v>0</v>
      </c>
      <c r="BK858" s="140">
        <v>0</v>
      </c>
      <c r="BL858" s="140">
        <v>0</v>
      </c>
      <c r="BM858" s="140">
        <v>0</v>
      </c>
      <c r="BN858" s="140">
        <v>0</v>
      </c>
      <c r="BO858" s="140">
        <v>0</v>
      </c>
      <c r="BX858" s="43">
        <v>7</v>
      </c>
      <c r="CB858" s="90">
        <f t="shared" si="117"/>
        <v>7</v>
      </c>
      <c r="CT858" s="90">
        <f t="shared" si="112"/>
        <v>7</v>
      </c>
      <c r="CU858" s="90">
        <f t="shared" si="113"/>
        <v>7</v>
      </c>
    </row>
    <row r="859" spans="1:99" ht="12" customHeight="1">
      <c r="A859" s="43">
        <v>6852</v>
      </c>
      <c r="B859" s="89" t="s">
        <v>1515</v>
      </c>
      <c r="C859" s="89" t="s">
        <v>2375</v>
      </c>
      <c r="D859" s="89" t="s">
        <v>2376</v>
      </c>
      <c r="E859" s="89" t="s">
        <v>963</v>
      </c>
      <c r="F859" s="43">
        <v>524063</v>
      </c>
      <c r="G859" s="43">
        <v>174446</v>
      </c>
      <c r="H859" s="89" t="s">
        <v>169</v>
      </c>
      <c r="K859" s="140">
        <v>0</v>
      </c>
      <c r="L859" s="140">
        <v>7</v>
      </c>
      <c r="M859" s="140">
        <v>7</v>
      </c>
      <c r="N859" s="140">
        <v>41</v>
      </c>
      <c r="O859" s="140">
        <v>41</v>
      </c>
      <c r="P859" s="43" t="s">
        <v>329</v>
      </c>
      <c r="Q859" s="89" t="s">
        <v>2377</v>
      </c>
      <c r="R859" s="43" t="s">
        <v>392</v>
      </c>
      <c r="S859" s="125">
        <v>43452</v>
      </c>
      <c r="T859" s="117">
        <v>43889</v>
      </c>
      <c r="U859" s="43" t="s">
        <v>329</v>
      </c>
      <c r="V859" s="43" t="s">
        <v>317</v>
      </c>
      <c r="X859" s="43" t="s">
        <v>318</v>
      </c>
      <c r="Y859" s="43" t="s">
        <v>361</v>
      </c>
      <c r="Z859" s="43" t="s">
        <v>361</v>
      </c>
      <c r="AA859" s="43" t="s">
        <v>320</v>
      </c>
      <c r="AB859" s="144">
        <v>9.8999999463558197E-2</v>
      </c>
      <c r="AF859" s="43" t="s">
        <v>55</v>
      </c>
      <c r="AG859" s="43" t="s">
        <v>1031</v>
      </c>
      <c r="AI859" s="43">
        <v>17320313</v>
      </c>
      <c r="AJ859" s="140">
        <v>0</v>
      </c>
      <c r="AK859" s="140">
        <v>0</v>
      </c>
      <c r="AL859" s="140">
        <v>0</v>
      </c>
      <c r="AM859" s="140">
        <v>1</v>
      </c>
      <c r="AN859" s="140">
        <v>0</v>
      </c>
      <c r="AO859" s="140">
        <v>3</v>
      </c>
      <c r="AP859" s="140">
        <v>3</v>
      </c>
      <c r="AQ859" s="140">
        <v>1</v>
      </c>
      <c r="AR859" s="140">
        <v>0</v>
      </c>
      <c r="AS859" s="140">
        <v>0</v>
      </c>
      <c r="AT859" s="140">
        <v>0</v>
      </c>
      <c r="AU859" s="140">
        <v>0</v>
      </c>
      <c r="AV859" s="140">
        <v>3</v>
      </c>
      <c r="AW859" s="140">
        <v>3</v>
      </c>
      <c r="AX859" s="140">
        <v>1</v>
      </c>
      <c r="AY859" s="140">
        <v>0</v>
      </c>
      <c r="AZ859" s="140">
        <v>0</v>
      </c>
      <c r="BA859" s="140">
        <v>0</v>
      </c>
      <c r="BB859" s="140">
        <v>0</v>
      </c>
      <c r="BC859" s="140">
        <v>0</v>
      </c>
      <c r="BD859" s="140">
        <v>0</v>
      </c>
      <c r="BE859" s="140">
        <v>0</v>
      </c>
      <c r="BF859" s="140">
        <v>0</v>
      </c>
      <c r="BG859" s="140">
        <v>0</v>
      </c>
      <c r="BH859" s="140">
        <v>0</v>
      </c>
      <c r="BI859" s="140">
        <v>0</v>
      </c>
      <c r="BJ859" s="140">
        <v>0</v>
      </c>
      <c r="BK859" s="140">
        <v>0</v>
      </c>
      <c r="BL859" s="140">
        <v>0</v>
      </c>
      <c r="BM859" s="140">
        <v>0</v>
      </c>
      <c r="BN859" s="140">
        <v>0</v>
      </c>
      <c r="BO859" s="140">
        <v>0</v>
      </c>
      <c r="BX859" s="43">
        <v>7</v>
      </c>
      <c r="CB859" s="90">
        <f t="shared" si="117"/>
        <v>7</v>
      </c>
      <c r="CT859" s="90">
        <f t="shared" si="112"/>
        <v>7</v>
      </c>
      <c r="CU859" s="90">
        <f t="shared" si="113"/>
        <v>7</v>
      </c>
    </row>
    <row r="860" spans="1:99" ht="12" customHeight="1">
      <c r="A860" s="43">
        <v>6858</v>
      </c>
      <c r="B860" s="89" t="s">
        <v>1515</v>
      </c>
      <c r="C860" s="89" t="s">
        <v>2378</v>
      </c>
      <c r="D860" s="89" t="s">
        <v>2379</v>
      </c>
      <c r="F860" s="43">
        <v>528202</v>
      </c>
      <c r="G860" s="43">
        <v>172108</v>
      </c>
      <c r="H860" s="89" t="s">
        <v>167</v>
      </c>
      <c r="K860" s="140">
        <v>0</v>
      </c>
      <c r="L860" s="140">
        <v>1</v>
      </c>
      <c r="M860" s="140">
        <v>1</v>
      </c>
      <c r="N860" s="140">
        <v>1</v>
      </c>
      <c r="O860" s="140">
        <v>1</v>
      </c>
      <c r="Q860" s="89" t="s">
        <v>2380</v>
      </c>
      <c r="R860" s="43" t="s">
        <v>316</v>
      </c>
      <c r="S860" s="125">
        <v>43698</v>
      </c>
      <c r="T860" s="117">
        <v>43740</v>
      </c>
      <c r="U860" s="43" t="s">
        <v>329</v>
      </c>
      <c r="V860" s="43" t="s">
        <v>317</v>
      </c>
      <c r="X860" s="43" t="s">
        <v>318</v>
      </c>
      <c r="Y860" s="43" t="s">
        <v>361</v>
      </c>
      <c r="Z860" s="43" t="s">
        <v>320</v>
      </c>
      <c r="AA860" s="43" t="s">
        <v>353</v>
      </c>
      <c r="AB860" s="144">
        <v>3.0000000260770299E-3</v>
      </c>
      <c r="AF860" s="43" t="s">
        <v>75</v>
      </c>
      <c r="AG860" s="43" t="s">
        <v>322</v>
      </c>
      <c r="AJ860" s="140">
        <v>0</v>
      </c>
      <c r="AK860" s="140">
        <v>0</v>
      </c>
      <c r="AL860" s="140">
        <v>0</v>
      </c>
      <c r="AM860" s="140">
        <v>0</v>
      </c>
      <c r="AN860" s="140">
        <v>0</v>
      </c>
      <c r="AO860" s="140">
        <v>1</v>
      </c>
      <c r="AP860" s="140">
        <v>0</v>
      </c>
      <c r="AQ860" s="140">
        <v>0</v>
      </c>
      <c r="AR860" s="140">
        <v>0</v>
      </c>
      <c r="AS860" s="140">
        <v>0</v>
      </c>
      <c r="AT860" s="140">
        <v>0</v>
      </c>
      <c r="AU860" s="140">
        <v>0</v>
      </c>
      <c r="AV860" s="140">
        <v>0</v>
      </c>
      <c r="AW860" s="140">
        <v>0</v>
      </c>
      <c r="AX860" s="140">
        <v>0</v>
      </c>
      <c r="AY860" s="140">
        <v>0</v>
      </c>
      <c r="AZ860" s="140">
        <v>0</v>
      </c>
      <c r="BA860" s="140">
        <v>0</v>
      </c>
      <c r="BB860" s="140">
        <v>0</v>
      </c>
      <c r="BC860" s="140">
        <v>1</v>
      </c>
      <c r="BD860" s="140">
        <v>0</v>
      </c>
      <c r="BE860" s="140">
        <v>0</v>
      </c>
      <c r="BF860" s="140">
        <v>0</v>
      </c>
      <c r="BG860" s="140">
        <v>0</v>
      </c>
      <c r="BH860" s="140">
        <v>0</v>
      </c>
      <c r="BI860" s="140">
        <v>0</v>
      </c>
      <c r="BJ860" s="140">
        <v>0</v>
      </c>
      <c r="BK860" s="140">
        <v>0</v>
      </c>
      <c r="BL860" s="140">
        <v>0</v>
      </c>
      <c r="BM860" s="140">
        <v>0</v>
      </c>
      <c r="BN860" s="140">
        <v>0</v>
      </c>
      <c r="BO860" s="140">
        <v>0</v>
      </c>
      <c r="BU860" s="89"/>
      <c r="BX860" s="43">
        <v>6</v>
      </c>
      <c r="CA860" s="90">
        <f>$M860/4</f>
        <v>0.25</v>
      </c>
      <c r="CB860" s="90">
        <f>$M860/4</f>
        <v>0.25</v>
      </c>
      <c r="CC860" s="90">
        <f>$M860/4</f>
        <v>0.25</v>
      </c>
      <c r="CD860" s="90">
        <f>$M860/4</f>
        <v>0.25</v>
      </c>
      <c r="CT860" s="90">
        <f t="shared" si="112"/>
        <v>1</v>
      </c>
      <c r="CU860" s="90">
        <f t="shared" si="113"/>
        <v>1</v>
      </c>
    </row>
    <row r="861" spans="1:99" ht="12" customHeight="1">
      <c r="A861" s="43">
        <v>6884</v>
      </c>
      <c r="B861" s="89" t="s">
        <v>1515</v>
      </c>
      <c r="C861" s="89" t="s">
        <v>2381</v>
      </c>
      <c r="D861" s="89" t="s">
        <v>2382</v>
      </c>
      <c r="F861" s="43">
        <v>524096</v>
      </c>
      <c r="G861" s="43">
        <v>175530</v>
      </c>
      <c r="H861" s="89" t="s">
        <v>178</v>
      </c>
      <c r="K861" s="140">
        <v>1</v>
      </c>
      <c r="L861" s="140">
        <v>0</v>
      </c>
      <c r="M861" s="140">
        <v>-1</v>
      </c>
      <c r="N861" s="140">
        <v>0</v>
      </c>
      <c r="O861" s="140">
        <v>-1</v>
      </c>
      <c r="Q861" s="89" t="s">
        <v>2383</v>
      </c>
      <c r="R861" s="43" t="s">
        <v>316</v>
      </c>
      <c r="S861" s="125">
        <v>43809</v>
      </c>
      <c r="T861" s="117">
        <v>43907</v>
      </c>
      <c r="U861" s="43" t="s">
        <v>329</v>
      </c>
      <c r="V861" s="43" t="s">
        <v>317</v>
      </c>
      <c r="X861" s="43" t="s">
        <v>318</v>
      </c>
      <c r="Y861" s="43" t="s">
        <v>336</v>
      </c>
      <c r="Z861" s="43" t="s">
        <v>320</v>
      </c>
      <c r="AA861" s="43" t="s">
        <v>36</v>
      </c>
      <c r="AB861" s="144">
        <v>8.0000003799796104E-3</v>
      </c>
      <c r="AF861" s="43" t="s">
        <v>75</v>
      </c>
      <c r="AG861" s="43" t="s">
        <v>322</v>
      </c>
      <c r="AJ861" s="140">
        <v>0</v>
      </c>
      <c r="AK861" s="140">
        <v>0</v>
      </c>
      <c r="AL861" s="140">
        <v>0</v>
      </c>
      <c r="AM861" s="140">
        <v>0</v>
      </c>
      <c r="AN861" s="140">
        <v>0</v>
      </c>
      <c r="AO861" s="140">
        <v>0</v>
      </c>
      <c r="AP861" s="140">
        <v>0</v>
      </c>
      <c r="AQ861" s="140">
        <v>-1</v>
      </c>
      <c r="AR861" s="140">
        <v>0</v>
      </c>
      <c r="AS861" s="140">
        <v>0</v>
      </c>
      <c r="AT861" s="140">
        <v>0</v>
      </c>
      <c r="AU861" s="140">
        <v>0</v>
      </c>
      <c r="AV861" s="140">
        <v>0</v>
      </c>
      <c r="AW861" s="140">
        <v>0</v>
      </c>
      <c r="AX861" s="140">
        <v>-1</v>
      </c>
      <c r="AY861" s="140">
        <v>0</v>
      </c>
      <c r="AZ861" s="140">
        <v>0</v>
      </c>
      <c r="BA861" s="140">
        <v>0</v>
      </c>
      <c r="BB861" s="140">
        <v>0</v>
      </c>
      <c r="BC861" s="140">
        <v>0</v>
      </c>
      <c r="BD861" s="140">
        <v>0</v>
      </c>
      <c r="BE861" s="140">
        <v>0</v>
      </c>
      <c r="BF861" s="140">
        <v>0</v>
      </c>
      <c r="BG861" s="140">
        <v>0</v>
      </c>
      <c r="BH861" s="140">
        <v>0</v>
      </c>
      <c r="BI861" s="140">
        <v>0</v>
      </c>
      <c r="BJ861" s="140">
        <v>0</v>
      </c>
      <c r="BK861" s="140">
        <v>0</v>
      </c>
      <c r="BL861" s="140">
        <v>0</v>
      </c>
      <c r="BM861" s="140">
        <v>0</v>
      </c>
      <c r="BN861" s="140">
        <v>0</v>
      </c>
      <c r="BO861" s="140">
        <v>0</v>
      </c>
      <c r="BP861" s="43" t="s">
        <v>140</v>
      </c>
      <c r="BU861" s="89"/>
      <c r="BX861" s="43">
        <v>15</v>
      </c>
      <c r="BZ861" s="90">
        <f t="shared" ref="BZ861:CB866" si="118">$M861/3</f>
        <v>-0.33333333333333331</v>
      </c>
      <c r="CA861" s="90">
        <f t="shared" si="118"/>
        <v>-0.33333333333333331</v>
      </c>
      <c r="CB861" s="90">
        <f t="shared" si="118"/>
        <v>-0.33333333333333331</v>
      </c>
      <c r="CT861" s="90">
        <f t="shared" si="112"/>
        <v>-1</v>
      </c>
      <c r="CU861" s="90">
        <f t="shared" si="113"/>
        <v>-1</v>
      </c>
    </row>
    <row r="862" spans="1:99" ht="12" customHeight="1">
      <c r="A862" s="43">
        <v>6885</v>
      </c>
      <c r="B862" s="89" t="s">
        <v>1515</v>
      </c>
      <c r="C862" s="89" t="s">
        <v>2384</v>
      </c>
      <c r="D862" s="89" t="s">
        <v>2385</v>
      </c>
      <c r="E862" s="89" t="s">
        <v>346</v>
      </c>
      <c r="F862" s="43">
        <v>525906</v>
      </c>
      <c r="G862" s="43">
        <v>173856</v>
      </c>
      <c r="H862" s="89" t="s">
        <v>168</v>
      </c>
      <c r="K862" s="140">
        <v>1</v>
      </c>
      <c r="L862" s="140">
        <v>2</v>
      </c>
      <c r="M862" s="140">
        <v>1</v>
      </c>
      <c r="N862" s="140">
        <v>3</v>
      </c>
      <c r="O862" s="140">
        <v>1</v>
      </c>
      <c r="Q862" s="89" t="s">
        <v>2386</v>
      </c>
      <c r="R862" s="43" t="s">
        <v>316</v>
      </c>
      <c r="S862" s="125">
        <v>43186</v>
      </c>
      <c r="T862" s="117">
        <v>43242</v>
      </c>
      <c r="V862" s="43" t="s">
        <v>317</v>
      </c>
      <c r="X862" s="43" t="s">
        <v>318</v>
      </c>
      <c r="Y862" s="43" t="s">
        <v>319</v>
      </c>
      <c r="Z862" s="43" t="s">
        <v>320</v>
      </c>
      <c r="AA862" s="43" t="s">
        <v>321</v>
      </c>
      <c r="AB862" s="144">
        <v>8.0000003799796104E-3</v>
      </c>
      <c r="AF862" s="43" t="s">
        <v>75</v>
      </c>
      <c r="AG862" s="43" t="s">
        <v>322</v>
      </c>
      <c r="AJ862" s="140">
        <v>0</v>
      </c>
      <c r="AK862" s="140">
        <v>0</v>
      </c>
      <c r="AL862" s="140">
        <v>0</v>
      </c>
      <c r="AM862" s="140">
        <v>0</v>
      </c>
      <c r="AN862" s="140">
        <v>0</v>
      </c>
      <c r="AO862" s="140">
        <v>2</v>
      </c>
      <c r="AP862" s="140">
        <v>-1</v>
      </c>
      <c r="AQ862" s="140">
        <v>0</v>
      </c>
      <c r="AR862" s="140">
        <v>0</v>
      </c>
      <c r="AS862" s="140">
        <v>0</v>
      </c>
      <c r="AT862" s="140">
        <v>0</v>
      </c>
      <c r="AU862" s="140">
        <v>0</v>
      </c>
      <c r="AV862" s="140">
        <v>2</v>
      </c>
      <c r="AW862" s="140">
        <v>-1</v>
      </c>
      <c r="AX862" s="140">
        <v>0</v>
      </c>
      <c r="AY862" s="140">
        <v>0</v>
      </c>
      <c r="AZ862" s="140">
        <v>0</v>
      </c>
      <c r="BA862" s="140">
        <v>0</v>
      </c>
      <c r="BB862" s="140">
        <v>0</v>
      </c>
      <c r="BC862" s="140">
        <v>0</v>
      </c>
      <c r="BD862" s="140">
        <v>0</v>
      </c>
      <c r="BE862" s="140">
        <v>0</v>
      </c>
      <c r="BF862" s="140">
        <v>0</v>
      </c>
      <c r="BG862" s="140">
        <v>0</v>
      </c>
      <c r="BH862" s="140">
        <v>0</v>
      </c>
      <c r="BI862" s="140">
        <v>0</v>
      </c>
      <c r="BJ862" s="140">
        <v>0</v>
      </c>
      <c r="BK862" s="140">
        <v>0</v>
      </c>
      <c r="BL862" s="140">
        <v>0</v>
      </c>
      <c r="BM862" s="140">
        <v>0</v>
      </c>
      <c r="BN862" s="140">
        <v>0</v>
      </c>
      <c r="BO862" s="140">
        <v>0</v>
      </c>
      <c r="BU862" s="89"/>
      <c r="BX862" s="43">
        <v>15</v>
      </c>
      <c r="BZ862" s="90">
        <f t="shared" si="118"/>
        <v>0.33333333333333331</v>
      </c>
      <c r="CA862" s="90">
        <f t="shared" si="118"/>
        <v>0.33333333333333331</v>
      </c>
      <c r="CB862" s="90">
        <f t="shared" si="118"/>
        <v>0.33333333333333331</v>
      </c>
      <c r="CT862" s="90">
        <f t="shared" si="112"/>
        <v>1</v>
      </c>
      <c r="CU862" s="90">
        <f t="shared" si="113"/>
        <v>1</v>
      </c>
    </row>
    <row r="863" spans="1:99" ht="12" customHeight="1">
      <c r="A863" s="43">
        <v>6885</v>
      </c>
      <c r="B863" s="89" t="s">
        <v>1515</v>
      </c>
      <c r="C863" s="89" t="s">
        <v>2384</v>
      </c>
      <c r="D863" s="89" t="s">
        <v>2385</v>
      </c>
      <c r="E863" s="89" t="s">
        <v>2387</v>
      </c>
      <c r="F863" s="43">
        <v>525906</v>
      </c>
      <c r="G863" s="43">
        <v>173856</v>
      </c>
      <c r="H863" s="89" t="s">
        <v>168</v>
      </c>
      <c r="K863" s="140">
        <v>1</v>
      </c>
      <c r="L863" s="140">
        <v>1</v>
      </c>
      <c r="M863" s="140">
        <v>0</v>
      </c>
      <c r="N863" s="140">
        <v>3</v>
      </c>
      <c r="O863" s="140">
        <v>1</v>
      </c>
      <c r="Q863" s="89" t="s">
        <v>2386</v>
      </c>
      <c r="R863" s="43" t="s">
        <v>316</v>
      </c>
      <c r="S863" s="125">
        <v>43186</v>
      </c>
      <c r="T863" s="117">
        <v>43242</v>
      </c>
      <c r="V863" s="43" t="s">
        <v>317</v>
      </c>
      <c r="X863" s="43" t="s">
        <v>318</v>
      </c>
      <c r="Y863" s="43" t="s">
        <v>319</v>
      </c>
      <c r="Z863" s="43" t="s">
        <v>320</v>
      </c>
      <c r="AA863" s="43" t="s">
        <v>30</v>
      </c>
      <c r="AB863" s="144">
        <v>3.0000000260770299E-3</v>
      </c>
      <c r="AF863" s="43" t="s">
        <v>75</v>
      </c>
      <c r="AG863" s="43" t="s">
        <v>322</v>
      </c>
      <c r="AJ863" s="140">
        <v>0</v>
      </c>
      <c r="AK863" s="140">
        <v>0</v>
      </c>
      <c r="AL863" s="140">
        <v>0</v>
      </c>
      <c r="AM863" s="140">
        <v>0</v>
      </c>
      <c r="AN863" s="140">
        <v>-1</v>
      </c>
      <c r="AO863" s="140">
        <v>1</v>
      </c>
      <c r="AP863" s="140">
        <v>0</v>
      </c>
      <c r="AQ863" s="140">
        <v>0</v>
      </c>
      <c r="AR863" s="140">
        <v>0</v>
      </c>
      <c r="AS863" s="140">
        <v>0</v>
      </c>
      <c r="AT863" s="140">
        <v>0</v>
      </c>
      <c r="AU863" s="140">
        <v>-1</v>
      </c>
      <c r="AV863" s="140">
        <v>1</v>
      </c>
      <c r="AW863" s="140">
        <v>0</v>
      </c>
      <c r="AX863" s="140">
        <v>0</v>
      </c>
      <c r="AY863" s="140">
        <v>0</v>
      </c>
      <c r="AZ863" s="140">
        <v>0</v>
      </c>
      <c r="BA863" s="140">
        <v>0</v>
      </c>
      <c r="BB863" s="140">
        <v>0</v>
      </c>
      <c r="BC863" s="140">
        <v>0</v>
      </c>
      <c r="BD863" s="140">
        <v>0</v>
      </c>
      <c r="BE863" s="140">
        <v>0</v>
      </c>
      <c r="BF863" s="140">
        <v>0</v>
      </c>
      <c r="BG863" s="140">
        <v>0</v>
      </c>
      <c r="BH863" s="140">
        <v>0</v>
      </c>
      <c r="BI863" s="140">
        <v>0</v>
      </c>
      <c r="BJ863" s="140">
        <v>0</v>
      </c>
      <c r="BK863" s="140">
        <v>0</v>
      </c>
      <c r="BL863" s="140">
        <v>0</v>
      </c>
      <c r="BM863" s="140">
        <v>0</v>
      </c>
      <c r="BN863" s="140">
        <v>0</v>
      </c>
      <c r="BO863" s="140">
        <v>0</v>
      </c>
      <c r="BU863" s="89"/>
      <c r="BX863" s="43">
        <v>15</v>
      </c>
      <c r="BZ863" s="90">
        <f t="shared" si="118"/>
        <v>0</v>
      </c>
      <c r="CA863" s="90">
        <f t="shared" si="118"/>
        <v>0</v>
      </c>
      <c r="CB863" s="90">
        <f t="shared" si="118"/>
        <v>0</v>
      </c>
      <c r="CT863" s="90">
        <f t="shared" si="112"/>
        <v>0</v>
      </c>
      <c r="CU863" s="90">
        <f t="shared" si="113"/>
        <v>0</v>
      </c>
    </row>
    <row r="864" spans="1:99" ht="12" customHeight="1">
      <c r="A864" s="43">
        <v>6937</v>
      </c>
      <c r="B864" s="89" t="s">
        <v>1515</v>
      </c>
      <c r="C864" s="89" t="s">
        <v>2388</v>
      </c>
      <c r="D864" s="89" t="s">
        <v>2389</v>
      </c>
      <c r="F864" s="43">
        <v>527043</v>
      </c>
      <c r="G864" s="43">
        <v>176183</v>
      </c>
      <c r="H864" s="89" t="s">
        <v>177</v>
      </c>
      <c r="K864" s="140">
        <v>1</v>
      </c>
      <c r="L864" s="140">
        <v>1</v>
      </c>
      <c r="M864" s="140">
        <v>0</v>
      </c>
      <c r="N864" s="140">
        <v>2</v>
      </c>
      <c r="O864" s="140">
        <v>0</v>
      </c>
      <c r="Q864" s="89" t="s">
        <v>2390</v>
      </c>
      <c r="R864" s="43" t="s">
        <v>316</v>
      </c>
      <c r="S864" s="125">
        <v>43728</v>
      </c>
      <c r="T864" s="117">
        <v>43769</v>
      </c>
      <c r="U864" s="43" t="s">
        <v>329</v>
      </c>
      <c r="V864" s="43" t="s">
        <v>317</v>
      </c>
      <c r="X864" s="43" t="s">
        <v>318</v>
      </c>
      <c r="Y864" s="43" t="s">
        <v>319</v>
      </c>
      <c r="Z864" s="43" t="s">
        <v>320</v>
      </c>
      <c r="AA864" s="43" t="s">
        <v>353</v>
      </c>
      <c r="AB864" s="144">
        <v>7.0000002160668399E-3</v>
      </c>
      <c r="AF864" s="43" t="s">
        <v>75</v>
      </c>
      <c r="AG864" s="43" t="s">
        <v>322</v>
      </c>
      <c r="AJ864" s="140">
        <v>0</v>
      </c>
      <c r="AK864" s="140">
        <v>0</v>
      </c>
      <c r="AL864" s="140">
        <v>0</v>
      </c>
      <c r="AM864" s="140">
        <v>0</v>
      </c>
      <c r="AN864" s="140">
        <v>-1</v>
      </c>
      <c r="AO864" s="140">
        <v>0</v>
      </c>
      <c r="AP864" s="140">
        <v>0</v>
      </c>
      <c r="AQ864" s="140">
        <v>1</v>
      </c>
      <c r="AR864" s="140">
        <v>0</v>
      </c>
      <c r="AS864" s="140">
        <v>0</v>
      </c>
      <c r="AT864" s="140">
        <v>0</v>
      </c>
      <c r="AU864" s="140">
        <v>-1</v>
      </c>
      <c r="AV864" s="140">
        <v>0</v>
      </c>
      <c r="AW864" s="140">
        <v>0</v>
      </c>
      <c r="AX864" s="140">
        <v>1</v>
      </c>
      <c r="AY864" s="140">
        <v>0</v>
      </c>
      <c r="AZ864" s="140">
        <v>0</v>
      </c>
      <c r="BA864" s="140">
        <v>0</v>
      </c>
      <c r="BB864" s="140">
        <v>0</v>
      </c>
      <c r="BC864" s="140">
        <v>0</v>
      </c>
      <c r="BD864" s="140">
        <v>0</v>
      </c>
      <c r="BE864" s="140">
        <v>0</v>
      </c>
      <c r="BF864" s="140">
        <v>0</v>
      </c>
      <c r="BG864" s="140">
        <v>0</v>
      </c>
      <c r="BH864" s="140">
        <v>0</v>
      </c>
      <c r="BI864" s="140">
        <v>0</v>
      </c>
      <c r="BJ864" s="140">
        <v>0</v>
      </c>
      <c r="BK864" s="140">
        <v>0</v>
      </c>
      <c r="BL864" s="140">
        <v>0</v>
      </c>
      <c r="BM864" s="140">
        <v>0</v>
      </c>
      <c r="BN864" s="140">
        <v>0</v>
      </c>
      <c r="BO864" s="140">
        <v>0</v>
      </c>
      <c r="BQ864" s="89"/>
      <c r="BU864" s="89"/>
      <c r="BX864" s="43">
        <v>15</v>
      </c>
      <c r="BZ864" s="90">
        <f t="shared" si="118"/>
        <v>0</v>
      </c>
      <c r="CA864" s="90">
        <f t="shared" si="118"/>
        <v>0</v>
      </c>
      <c r="CB864" s="90">
        <f t="shared" si="118"/>
        <v>0</v>
      </c>
      <c r="CT864" s="90">
        <f t="shared" si="112"/>
        <v>0</v>
      </c>
      <c r="CU864" s="90">
        <f t="shared" si="113"/>
        <v>0</v>
      </c>
    </row>
    <row r="865" spans="1:99" ht="12" customHeight="1">
      <c r="A865" s="43">
        <v>6937</v>
      </c>
      <c r="B865" s="89" t="s">
        <v>1515</v>
      </c>
      <c r="C865" s="89" t="s">
        <v>2388</v>
      </c>
      <c r="D865" s="89" t="s">
        <v>2389</v>
      </c>
      <c r="F865" s="43">
        <v>527043</v>
      </c>
      <c r="G865" s="43">
        <v>176183</v>
      </c>
      <c r="H865" s="89" t="s">
        <v>177</v>
      </c>
      <c r="K865" s="140">
        <v>1</v>
      </c>
      <c r="L865" s="140">
        <v>1</v>
      </c>
      <c r="M865" s="140">
        <v>0</v>
      </c>
      <c r="N865" s="140">
        <v>2</v>
      </c>
      <c r="O865" s="140">
        <v>0</v>
      </c>
      <c r="Q865" s="89" t="s">
        <v>2390</v>
      </c>
      <c r="R865" s="43" t="s">
        <v>316</v>
      </c>
      <c r="S865" s="125">
        <v>43728</v>
      </c>
      <c r="T865" s="117">
        <v>43769</v>
      </c>
      <c r="U865" s="43" t="s">
        <v>329</v>
      </c>
      <c r="V865" s="43" t="s">
        <v>317</v>
      </c>
      <c r="X865" s="43" t="s">
        <v>318</v>
      </c>
      <c r="Y865" s="43" t="s">
        <v>319</v>
      </c>
      <c r="Z865" s="43" t="s">
        <v>320</v>
      </c>
      <c r="AA865" s="43" t="s">
        <v>36</v>
      </c>
      <c r="AB865" s="144">
        <v>4.0000001899898104E-3</v>
      </c>
      <c r="AF865" s="43" t="s">
        <v>75</v>
      </c>
      <c r="AG865" s="43" t="s">
        <v>322</v>
      </c>
      <c r="AJ865" s="140">
        <v>0</v>
      </c>
      <c r="AK865" s="140">
        <v>0</v>
      </c>
      <c r="AL865" s="140">
        <v>0</v>
      </c>
      <c r="AM865" s="140">
        <v>0</v>
      </c>
      <c r="AN865" s="140">
        <v>-1</v>
      </c>
      <c r="AO865" s="140">
        <v>1</v>
      </c>
      <c r="AP865" s="140">
        <v>0</v>
      </c>
      <c r="AQ865" s="140">
        <v>0</v>
      </c>
      <c r="AR865" s="140">
        <v>0</v>
      </c>
      <c r="AS865" s="140">
        <v>0</v>
      </c>
      <c r="AT865" s="140">
        <v>0</v>
      </c>
      <c r="AU865" s="140">
        <v>-1</v>
      </c>
      <c r="AV865" s="140">
        <v>1</v>
      </c>
      <c r="AW865" s="140">
        <v>0</v>
      </c>
      <c r="AX865" s="140">
        <v>0</v>
      </c>
      <c r="AY865" s="140">
        <v>0</v>
      </c>
      <c r="AZ865" s="140">
        <v>0</v>
      </c>
      <c r="BA865" s="140">
        <v>0</v>
      </c>
      <c r="BB865" s="140">
        <v>0</v>
      </c>
      <c r="BC865" s="140">
        <v>0</v>
      </c>
      <c r="BD865" s="140">
        <v>0</v>
      </c>
      <c r="BE865" s="140">
        <v>0</v>
      </c>
      <c r="BF865" s="140">
        <v>0</v>
      </c>
      <c r="BG865" s="140">
        <v>0</v>
      </c>
      <c r="BH865" s="140">
        <v>0</v>
      </c>
      <c r="BI865" s="140">
        <v>0</v>
      </c>
      <c r="BJ865" s="140">
        <v>0</v>
      </c>
      <c r="BK865" s="140">
        <v>0</v>
      </c>
      <c r="BL865" s="140">
        <v>0</v>
      </c>
      <c r="BM865" s="140">
        <v>0</v>
      </c>
      <c r="BN865" s="140">
        <v>0</v>
      </c>
      <c r="BO865" s="140">
        <v>0</v>
      </c>
      <c r="BQ865" s="89"/>
      <c r="BU865" s="89"/>
      <c r="BX865" s="43">
        <v>15</v>
      </c>
      <c r="BZ865" s="90">
        <f t="shared" si="118"/>
        <v>0</v>
      </c>
      <c r="CA865" s="90">
        <f t="shared" si="118"/>
        <v>0</v>
      </c>
      <c r="CB865" s="90">
        <f t="shared" si="118"/>
        <v>0</v>
      </c>
      <c r="CT865" s="90">
        <f t="shared" si="112"/>
        <v>0</v>
      </c>
      <c r="CU865" s="90">
        <f t="shared" si="113"/>
        <v>0</v>
      </c>
    </row>
    <row r="866" spans="1:99" ht="12" customHeight="1">
      <c r="A866" s="43">
        <v>6938</v>
      </c>
      <c r="B866" s="89" t="s">
        <v>1515</v>
      </c>
      <c r="C866" s="89" t="s">
        <v>2391</v>
      </c>
      <c r="D866" s="89" t="s">
        <v>2392</v>
      </c>
      <c r="F866" s="43">
        <v>527400</v>
      </c>
      <c r="G866" s="43">
        <v>177117</v>
      </c>
      <c r="H866" s="89" t="s">
        <v>177</v>
      </c>
      <c r="I866" s="125">
        <v>43921</v>
      </c>
      <c r="K866" s="140">
        <v>2</v>
      </c>
      <c r="L866" s="140">
        <v>1</v>
      </c>
      <c r="M866" s="140">
        <v>-1</v>
      </c>
      <c r="N866" s="140">
        <v>1</v>
      </c>
      <c r="O866" s="140">
        <v>-1</v>
      </c>
      <c r="Q866" s="89" t="s">
        <v>2393</v>
      </c>
      <c r="R866" s="43" t="s">
        <v>316</v>
      </c>
      <c r="S866" s="125">
        <v>43196</v>
      </c>
      <c r="T866" s="117">
        <v>43251</v>
      </c>
      <c r="V866" s="43" t="s">
        <v>317</v>
      </c>
      <c r="X866" s="43" t="s">
        <v>318</v>
      </c>
      <c r="Y866" s="43" t="s">
        <v>348</v>
      </c>
      <c r="Z866" s="43" t="s">
        <v>320</v>
      </c>
      <c r="AA866" s="43" t="s">
        <v>22</v>
      </c>
      <c r="AB866" s="144">
        <v>1.2000000104308101E-2</v>
      </c>
      <c r="AF866" s="43" t="s">
        <v>75</v>
      </c>
      <c r="AG866" s="43" t="s">
        <v>322</v>
      </c>
      <c r="AJ866" s="140">
        <v>0</v>
      </c>
      <c r="AK866" s="140">
        <v>0</v>
      </c>
      <c r="AL866" s="140">
        <v>0</v>
      </c>
      <c r="AM866" s="140">
        <v>0</v>
      </c>
      <c r="AN866" s="140">
        <v>0</v>
      </c>
      <c r="AO866" s="140">
        <v>0</v>
      </c>
      <c r="AP866" s="140">
        <v>-2</v>
      </c>
      <c r="AQ866" s="140">
        <v>0</v>
      </c>
      <c r="AR866" s="140">
        <v>1</v>
      </c>
      <c r="AS866" s="140">
        <v>0</v>
      </c>
      <c r="AT866" s="140">
        <v>0</v>
      </c>
      <c r="AU866" s="140">
        <v>0</v>
      </c>
      <c r="AV866" s="140">
        <v>0</v>
      </c>
      <c r="AW866" s="140">
        <v>-2</v>
      </c>
      <c r="AX866" s="140">
        <v>0</v>
      </c>
      <c r="AY866" s="140">
        <v>0</v>
      </c>
      <c r="AZ866" s="140">
        <v>0</v>
      </c>
      <c r="BA866" s="140">
        <v>0</v>
      </c>
      <c r="BB866" s="140">
        <v>0</v>
      </c>
      <c r="BC866" s="140">
        <v>0</v>
      </c>
      <c r="BD866" s="140">
        <v>0</v>
      </c>
      <c r="BE866" s="140">
        <v>0</v>
      </c>
      <c r="BF866" s="140">
        <v>1</v>
      </c>
      <c r="BG866" s="140">
        <v>0</v>
      </c>
      <c r="BH866" s="140">
        <v>0</v>
      </c>
      <c r="BI866" s="140">
        <v>0</v>
      </c>
      <c r="BJ866" s="140">
        <v>0</v>
      </c>
      <c r="BK866" s="140">
        <v>0</v>
      </c>
      <c r="BL866" s="140">
        <v>0</v>
      </c>
      <c r="BM866" s="140">
        <v>0</v>
      </c>
      <c r="BN866" s="140">
        <v>0</v>
      </c>
      <c r="BO866" s="140">
        <v>0</v>
      </c>
      <c r="BQ866" s="89"/>
      <c r="BU866" s="89"/>
      <c r="BX866" s="43">
        <v>15</v>
      </c>
      <c r="BZ866" s="90">
        <f t="shared" si="118"/>
        <v>-0.33333333333333331</v>
      </c>
      <c r="CA866" s="90">
        <f t="shared" si="118"/>
        <v>-0.33333333333333331</v>
      </c>
      <c r="CB866" s="90">
        <f t="shared" si="118"/>
        <v>-0.33333333333333331</v>
      </c>
      <c r="CT866" s="90">
        <f t="shared" si="112"/>
        <v>-1</v>
      </c>
      <c r="CU866" s="90">
        <f t="shared" si="113"/>
        <v>-1</v>
      </c>
    </row>
    <row r="867" spans="1:99" ht="12" customHeight="1">
      <c r="A867" s="43">
        <v>6940</v>
      </c>
      <c r="B867" s="89" t="s">
        <v>1515</v>
      </c>
      <c r="C867" s="89" t="s">
        <v>2394</v>
      </c>
      <c r="D867" s="89" t="s">
        <v>2395</v>
      </c>
      <c r="F867" s="43">
        <v>523949</v>
      </c>
      <c r="G867" s="43">
        <v>174717</v>
      </c>
      <c r="H867" s="89" t="s">
        <v>169</v>
      </c>
      <c r="K867" s="140">
        <v>0</v>
      </c>
      <c r="L867" s="140">
        <v>3</v>
      </c>
      <c r="M867" s="140">
        <v>3</v>
      </c>
      <c r="N867" s="140">
        <v>3</v>
      </c>
      <c r="O867" s="140">
        <v>3</v>
      </c>
      <c r="Q867" s="89" t="s">
        <v>2396</v>
      </c>
      <c r="R867" s="43" t="s">
        <v>316</v>
      </c>
      <c r="S867" s="125">
        <v>43215</v>
      </c>
      <c r="T867" s="117">
        <v>43304</v>
      </c>
      <c r="V867" s="43" t="s">
        <v>317</v>
      </c>
      <c r="X867" s="43" t="s">
        <v>318</v>
      </c>
      <c r="Y867" s="43" t="s">
        <v>361</v>
      </c>
      <c r="Z867" s="43" t="s">
        <v>320</v>
      </c>
      <c r="AA867" s="43" t="s">
        <v>353</v>
      </c>
      <c r="AB867" s="144">
        <v>1.00000004749745E-3</v>
      </c>
      <c r="AF867" s="43" t="s">
        <v>75</v>
      </c>
      <c r="AG867" s="43" t="s">
        <v>322</v>
      </c>
      <c r="AJ867" s="140">
        <v>0</v>
      </c>
      <c r="AK867" s="140">
        <v>0</v>
      </c>
      <c r="AL867" s="140">
        <v>0</v>
      </c>
      <c r="AM867" s="140">
        <v>0</v>
      </c>
      <c r="AN867" s="140">
        <v>0</v>
      </c>
      <c r="AO867" s="140">
        <v>3</v>
      </c>
      <c r="AP867" s="140">
        <v>0</v>
      </c>
      <c r="AQ867" s="140">
        <v>0</v>
      </c>
      <c r="AR867" s="140">
        <v>0</v>
      </c>
      <c r="AS867" s="140">
        <v>0</v>
      </c>
      <c r="AT867" s="140">
        <v>0</v>
      </c>
      <c r="AU867" s="140">
        <v>0</v>
      </c>
      <c r="AV867" s="140">
        <v>3</v>
      </c>
      <c r="AW867" s="140">
        <v>0</v>
      </c>
      <c r="AX867" s="140">
        <v>0</v>
      </c>
      <c r="AY867" s="140">
        <v>0</v>
      </c>
      <c r="AZ867" s="140">
        <v>0</v>
      </c>
      <c r="BA867" s="140">
        <v>0</v>
      </c>
      <c r="BB867" s="140">
        <v>0</v>
      </c>
      <c r="BC867" s="140">
        <v>0</v>
      </c>
      <c r="BD867" s="140">
        <v>0</v>
      </c>
      <c r="BE867" s="140">
        <v>0</v>
      </c>
      <c r="BF867" s="140">
        <v>0</v>
      </c>
      <c r="BG867" s="140">
        <v>0</v>
      </c>
      <c r="BH867" s="140">
        <v>0</v>
      </c>
      <c r="BI867" s="140">
        <v>0</v>
      </c>
      <c r="BJ867" s="140">
        <v>0</v>
      </c>
      <c r="BK867" s="140">
        <v>0</v>
      </c>
      <c r="BL867" s="140">
        <v>0</v>
      </c>
      <c r="BM867" s="140">
        <v>0</v>
      </c>
      <c r="BN867" s="140">
        <v>0</v>
      </c>
      <c r="BO867" s="140">
        <v>0</v>
      </c>
      <c r="BQ867" s="89"/>
      <c r="BU867" s="89"/>
      <c r="BX867" s="43">
        <v>6</v>
      </c>
      <c r="CA867" s="90">
        <f>$M867/4</f>
        <v>0.75</v>
      </c>
      <c r="CB867" s="90">
        <f>$M867/4</f>
        <v>0.75</v>
      </c>
      <c r="CC867" s="90">
        <f>$M867/4</f>
        <v>0.75</v>
      </c>
      <c r="CD867" s="90">
        <f>$M867/4</f>
        <v>0.75</v>
      </c>
      <c r="CT867" s="90">
        <f t="shared" si="112"/>
        <v>3</v>
      </c>
      <c r="CU867" s="90">
        <f t="shared" si="113"/>
        <v>3</v>
      </c>
    </row>
    <row r="868" spans="1:99" ht="12" customHeight="1">
      <c r="A868" s="43">
        <v>6952</v>
      </c>
      <c r="B868" s="89" t="s">
        <v>1515</v>
      </c>
      <c r="C868" s="89" t="s">
        <v>2397</v>
      </c>
      <c r="D868" s="89" t="s">
        <v>2398</v>
      </c>
      <c r="F868" s="43">
        <v>522554</v>
      </c>
      <c r="G868" s="43">
        <v>175400</v>
      </c>
      <c r="H868" s="89" t="s">
        <v>181</v>
      </c>
      <c r="K868" s="140">
        <v>1</v>
      </c>
      <c r="L868" s="140">
        <v>1</v>
      </c>
      <c r="M868" s="140">
        <v>0</v>
      </c>
      <c r="N868" s="140">
        <v>1</v>
      </c>
      <c r="O868" s="140">
        <v>0</v>
      </c>
      <c r="Q868" s="89" t="s">
        <v>2399</v>
      </c>
      <c r="R868" s="43" t="s">
        <v>316</v>
      </c>
      <c r="S868" s="125">
        <v>43236</v>
      </c>
      <c r="T868" s="117">
        <v>43290</v>
      </c>
      <c r="V868" s="43" t="s">
        <v>317</v>
      </c>
      <c r="X868" s="43" t="s">
        <v>318</v>
      </c>
      <c r="Y868" s="43" t="s">
        <v>319</v>
      </c>
      <c r="Z868" s="43" t="s">
        <v>320</v>
      </c>
      <c r="AA868" s="43" t="s">
        <v>321</v>
      </c>
      <c r="AB868" s="144">
        <v>8.9999996125698107E-3</v>
      </c>
      <c r="AF868" s="43" t="s">
        <v>75</v>
      </c>
      <c r="AG868" s="43" t="s">
        <v>322</v>
      </c>
      <c r="AJ868" s="140">
        <v>0</v>
      </c>
      <c r="AK868" s="140">
        <v>0</v>
      </c>
      <c r="AL868" s="140">
        <v>0</v>
      </c>
      <c r="AM868" s="140">
        <v>0</v>
      </c>
      <c r="AN868" s="140">
        <v>0</v>
      </c>
      <c r="AO868" s="140">
        <v>-1</v>
      </c>
      <c r="AP868" s="140">
        <v>0</v>
      </c>
      <c r="AQ868" s="140">
        <v>1</v>
      </c>
      <c r="AR868" s="140">
        <v>0</v>
      </c>
      <c r="AS868" s="140">
        <v>0</v>
      </c>
      <c r="AT868" s="140">
        <v>0</v>
      </c>
      <c r="AU868" s="140">
        <v>0</v>
      </c>
      <c r="AV868" s="140">
        <v>-1</v>
      </c>
      <c r="AW868" s="140">
        <v>0</v>
      </c>
      <c r="AX868" s="140">
        <v>1</v>
      </c>
      <c r="AY868" s="140">
        <v>0</v>
      </c>
      <c r="AZ868" s="140">
        <v>0</v>
      </c>
      <c r="BA868" s="140">
        <v>0</v>
      </c>
      <c r="BB868" s="140">
        <v>0</v>
      </c>
      <c r="BC868" s="140">
        <v>0</v>
      </c>
      <c r="BD868" s="140">
        <v>0</v>
      </c>
      <c r="BE868" s="140">
        <v>0</v>
      </c>
      <c r="BF868" s="140">
        <v>0</v>
      </c>
      <c r="BG868" s="140">
        <v>0</v>
      </c>
      <c r="BH868" s="140">
        <v>0</v>
      </c>
      <c r="BI868" s="140">
        <v>0</v>
      </c>
      <c r="BJ868" s="140">
        <v>0</v>
      </c>
      <c r="BK868" s="140">
        <v>0</v>
      </c>
      <c r="BL868" s="140">
        <v>0</v>
      </c>
      <c r="BM868" s="140">
        <v>0</v>
      </c>
      <c r="BN868" s="140">
        <v>0</v>
      </c>
      <c r="BO868" s="140">
        <v>0</v>
      </c>
      <c r="BQ868" s="89"/>
      <c r="BU868" s="89"/>
      <c r="BX868" s="43">
        <v>15</v>
      </c>
      <c r="BZ868" s="90">
        <f>$M868/3</f>
        <v>0</v>
      </c>
      <c r="CA868" s="90">
        <f>$M868/3</f>
        <v>0</v>
      </c>
      <c r="CB868" s="90">
        <f>$M868/3</f>
        <v>0</v>
      </c>
      <c r="CT868" s="90">
        <f t="shared" si="112"/>
        <v>0</v>
      </c>
      <c r="CU868" s="90">
        <f t="shared" si="113"/>
        <v>0</v>
      </c>
    </row>
    <row r="869" spans="1:99" ht="12" customHeight="1">
      <c r="A869" s="43">
        <v>6955</v>
      </c>
      <c r="B869" s="89" t="s">
        <v>1515</v>
      </c>
      <c r="C869" s="89" t="s">
        <v>2400</v>
      </c>
      <c r="D869" s="89" t="s">
        <v>2401</v>
      </c>
      <c r="F869" s="43">
        <v>526542</v>
      </c>
      <c r="G869" s="43">
        <v>174943</v>
      </c>
      <c r="H869" s="89" t="s">
        <v>170</v>
      </c>
      <c r="K869" s="140">
        <v>0</v>
      </c>
      <c r="L869" s="140">
        <v>8</v>
      </c>
      <c r="M869" s="140">
        <v>8</v>
      </c>
      <c r="N869" s="140">
        <v>8</v>
      </c>
      <c r="O869" s="140">
        <v>8</v>
      </c>
      <c r="Q869" s="89" t="s">
        <v>2402</v>
      </c>
      <c r="R869" s="43" t="s">
        <v>316</v>
      </c>
      <c r="S869" s="125">
        <v>43605</v>
      </c>
      <c r="T869" s="117">
        <v>43700</v>
      </c>
      <c r="U869" s="43" t="s">
        <v>329</v>
      </c>
      <c r="V869" s="43" t="s">
        <v>317</v>
      </c>
      <c r="X869" s="43" t="s">
        <v>318</v>
      </c>
      <c r="Y869" s="43" t="s">
        <v>361</v>
      </c>
      <c r="Z869" s="43" t="s">
        <v>320</v>
      </c>
      <c r="AA869" s="43" t="s">
        <v>353</v>
      </c>
      <c r="AB869" s="144">
        <v>2.5000000372528999E-2</v>
      </c>
      <c r="AF869" s="43" t="s">
        <v>75</v>
      </c>
      <c r="AG869" s="43" t="s">
        <v>322</v>
      </c>
      <c r="AJ869" s="140">
        <v>0</v>
      </c>
      <c r="AK869" s="140">
        <v>0</v>
      </c>
      <c r="AL869" s="140">
        <v>0</v>
      </c>
      <c r="AM869" s="140">
        <v>0</v>
      </c>
      <c r="AN869" s="140">
        <v>0</v>
      </c>
      <c r="AO869" s="140">
        <v>2</v>
      </c>
      <c r="AP869" s="140">
        <v>5</v>
      </c>
      <c r="AQ869" s="140">
        <v>1</v>
      </c>
      <c r="AR869" s="140">
        <v>0</v>
      </c>
      <c r="AS869" s="140">
        <v>0</v>
      </c>
      <c r="AT869" s="140">
        <v>0</v>
      </c>
      <c r="AU869" s="140">
        <v>0</v>
      </c>
      <c r="AV869" s="140">
        <v>2</v>
      </c>
      <c r="AW869" s="140">
        <v>5</v>
      </c>
      <c r="AX869" s="140">
        <v>1</v>
      </c>
      <c r="AY869" s="140">
        <v>0</v>
      </c>
      <c r="AZ869" s="140">
        <v>0</v>
      </c>
      <c r="BA869" s="140">
        <v>0</v>
      </c>
      <c r="BB869" s="140">
        <v>0</v>
      </c>
      <c r="BC869" s="140">
        <v>0</v>
      </c>
      <c r="BD869" s="140">
        <v>0</v>
      </c>
      <c r="BE869" s="140">
        <v>0</v>
      </c>
      <c r="BF869" s="140">
        <v>0</v>
      </c>
      <c r="BG869" s="140">
        <v>0</v>
      </c>
      <c r="BH869" s="140">
        <v>0</v>
      </c>
      <c r="BI869" s="140">
        <v>0</v>
      </c>
      <c r="BJ869" s="140">
        <v>0</v>
      </c>
      <c r="BK869" s="140">
        <v>0</v>
      </c>
      <c r="BL869" s="140">
        <v>0</v>
      </c>
      <c r="BM869" s="140">
        <v>0</v>
      </c>
      <c r="BN869" s="140">
        <v>0</v>
      </c>
      <c r="BO869" s="140">
        <v>0</v>
      </c>
      <c r="BQ869" s="89"/>
      <c r="BU869" s="89"/>
      <c r="BX869" s="43">
        <v>7</v>
      </c>
      <c r="CA869" s="90">
        <f>M869</f>
        <v>8</v>
      </c>
      <c r="CT869" s="90">
        <f t="shared" si="112"/>
        <v>8</v>
      </c>
      <c r="CU869" s="90">
        <f t="shared" si="113"/>
        <v>8</v>
      </c>
    </row>
    <row r="870" spans="1:99" ht="12" customHeight="1">
      <c r="A870" s="43">
        <v>6969</v>
      </c>
      <c r="B870" s="89" t="s">
        <v>1515</v>
      </c>
      <c r="C870" s="89" t="s">
        <v>2403</v>
      </c>
      <c r="D870" s="89" t="s">
        <v>2404</v>
      </c>
      <c r="F870" s="43">
        <v>527156</v>
      </c>
      <c r="G870" s="43">
        <v>171085</v>
      </c>
      <c r="H870" s="89" t="s">
        <v>141</v>
      </c>
      <c r="K870" s="140">
        <v>0</v>
      </c>
      <c r="L870" s="140">
        <v>2</v>
      </c>
      <c r="M870" s="140">
        <v>2</v>
      </c>
      <c r="N870" s="140">
        <v>2</v>
      </c>
      <c r="O870" s="140">
        <v>2</v>
      </c>
      <c r="Q870" s="89" t="s">
        <v>2405</v>
      </c>
      <c r="R870" s="43" t="s">
        <v>316</v>
      </c>
      <c r="S870" s="125">
        <v>43251</v>
      </c>
      <c r="T870" s="117">
        <v>43346</v>
      </c>
      <c r="V870" s="43" t="s">
        <v>317</v>
      </c>
      <c r="X870" s="43" t="s">
        <v>318</v>
      </c>
      <c r="Y870" s="43" t="s">
        <v>361</v>
      </c>
      <c r="Z870" s="43" t="s">
        <v>320</v>
      </c>
      <c r="AA870" s="43" t="s">
        <v>353</v>
      </c>
      <c r="AB870" s="144">
        <v>2.8000000864267301E-2</v>
      </c>
      <c r="AF870" s="43" t="s">
        <v>75</v>
      </c>
      <c r="AG870" s="43" t="s">
        <v>322</v>
      </c>
      <c r="AJ870" s="140">
        <v>0</v>
      </c>
      <c r="AK870" s="140">
        <v>0</v>
      </c>
      <c r="AL870" s="140">
        <v>0</v>
      </c>
      <c r="AM870" s="140">
        <v>0</v>
      </c>
      <c r="AN870" s="140">
        <v>0</v>
      </c>
      <c r="AO870" s="140">
        <v>0</v>
      </c>
      <c r="AP870" s="140">
        <v>2</v>
      </c>
      <c r="AQ870" s="140">
        <v>0</v>
      </c>
      <c r="AR870" s="140">
        <v>0</v>
      </c>
      <c r="AS870" s="140">
        <v>0</v>
      </c>
      <c r="AT870" s="140">
        <v>0</v>
      </c>
      <c r="AU870" s="140">
        <v>0</v>
      </c>
      <c r="AV870" s="140">
        <v>0</v>
      </c>
      <c r="AW870" s="140">
        <v>0</v>
      </c>
      <c r="AX870" s="140">
        <v>0</v>
      </c>
      <c r="AY870" s="140">
        <v>0</v>
      </c>
      <c r="AZ870" s="140">
        <v>0</v>
      </c>
      <c r="BA870" s="140">
        <v>0</v>
      </c>
      <c r="BB870" s="140">
        <v>0</v>
      </c>
      <c r="BC870" s="140">
        <v>0</v>
      </c>
      <c r="BD870" s="140">
        <v>2</v>
      </c>
      <c r="BE870" s="140">
        <v>0</v>
      </c>
      <c r="BF870" s="140">
        <v>0</v>
      </c>
      <c r="BG870" s="140">
        <v>0</v>
      </c>
      <c r="BH870" s="140">
        <v>0</v>
      </c>
      <c r="BI870" s="140">
        <v>0</v>
      </c>
      <c r="BJ870" s="140">
        <v>0</v>
      </c>
      <c r="BK870" s="140">
        <v>0</v>
      </c>
      <c r="BL870" s="140">
        <v>0</v>
      </c>
      <c r="BM870" s="140">
        <v>0</v>
      </c>
      <c r="BN870" s="140">
        <v>0</v>
      </c>
      <c r="BO870" s="140">
        <v>0</v>
      </c>
      <c r="BU870" s="89"/>
      <c r="BX870" s="43">
        <v>6</v>
      </c>
      <c r="CA870" s="90">
        <f>$M870/4</f>
        <v>0.5</v>
      </c>
      <c r="CB870" s="90">
        <f>$M870/4</f>
        <v>0.5</v>
      </c>
      <c r="CC870" s="90">
        <f>$M870/4</f>
        <v>0.5</v>
      </c>
      <c r="CD870" s="90">
        <f>$M870/4</f>
        <v>0.5</v>
      </c>
      <c r="CT870" s="90">
        <f t="shared" si="112"/>
        <v>2</v>
      </c>
      <c r="CU870" s="90">
        <f t="shared" si="113"/>
        <v>2</v>
      </c>
    </row>
    <row r="871" spans="1:99" ht="12" customHeight="1">
      <c r="A871" s="43">
        <v>6971</v>
      </c>
      <c r="B871" s="89" t="s">
        <v>1515</v>
      </c>
      <c r="C871" s="89" t="s">
        <v>2406</v>
      </c>
      <c r="D871" s="89" t="s">
        <v>2407</v>
      </c>
      <c r="F871" s="43">
        <v>528580</v>
      </c>
      <c r="G871" s="43">
        <v>173481</v>
      </c>
      <c r="H871" s="89" t="s">
        <v>138</v>
      </c>
      <c r="K871" s="140">
        <v>0</v>
      </c>
      <c r="L871" s="140">
        <v>1</v>
      </c>
      <c r="M871" s="140">
        <v>1</v>
      </c>
      <c r="N871" s="140">
        <v>1</v>
      </c>
      <c r="O871" s="140">
        <v>1</v>
      </c>
      <c r="Q871" s="89" t="s">
        <v>2408</v>
      </c>
      <c r="R871" s="43" t="s">
        <v>316</v>
      </c>
      <c r="S871" s="125">
        <v>43256</v>
      </c>
      <c r="T871" s="117">
        <v>43307</v>
      </c>
      <c r="V871" s="43" t="s">
        <v>317</v>
      </c>
      <c r="X871" s="43" t="s">
        <v>318</v>
      </c>
      <c r="Y871" s="43" t="s">
        <v>379</v>
      </c>
      <c r="Z871" s="43" t="s">
        <v>320</v>
      </c>
      <c r="AA871" s="43" t="s">
        <v>340</v>
      </c>
      <c r="AB871" s="144">
        <v>4.0000001899898104E-3</v>
      </c>
      <c r="AF871" s="43" t="s">
        <v>75</v>
      </c>
      <c r="AG871" s="43" t="s">
        <v>322</v>
      </c>
      <c r="AJ871" s="140">
        <v>0</v>
      </c>
      <c r="AK871" s="140">
        <v>0</v>
      </c>
      <c r="AL871" s="140">
        <v>0</v>
      </c>
      <c r="AM871" s="140">
        <v>0</v>
      </c>
      <c r="AN871" s="140">
        <v>1</v>
      </c>
      <c r="AO871" s="140">
        <v>0</v>
      </c>
      <c r="AP871" s="140">
        <v>0</v>
      </c>
      <c r="AQ871" s="140">
        <v>0</v>
      </c>
      <c r="AR871" s="140">
        <v>0</v>
      </c>
      <c r="AS871" s="140">
        <v>0</v>
      </c>
      <c r="AT871" s="140">
        <v>0</v>
      </c>
      <c r="AU871" s="140">
        <v>1</v>
      </c>
      <c r="AV871" s="140">
        <v>0</v>
      </c>
      <c r="AW871" s="140">
        <v>0</v>
      </c>
      <c r="AX871" s="140">
        <v>0</v>
      </c>
      <c r="AY871" s="140">
        <v>0</v>
      </c>
      <c r="AZ871" s="140">
        <v>0</v>
      </c>
      <c r="BA871" s="140">
        <v>0</v>
      </c>
      <c r="BB871" s="140">
        <v>0</v>
      </c>
      <c r="BC871" s="140">
        <v>0</v>
      </c>
      <c r="BD871" s="140">
        <v>0</v>
      </c>
      <c r="BE871" s="140">
        <v>0</v>
      </c>
      <c r="BF871" s="140">
        <v>0</v>
      </c>
      <c r="BG871" s="140">
        <v>0</v>
      </c>
      <c r="BH871" s="140">
        <v>0</v>
      </c>
      <c r="BI871" s="140">
        <v>0</v>
      </c>
      <c r="BJ871" s="140">
        <v>0</v>
      </c>
      <c r="BK871" s="140">
        <v>0</v>
      </c>
      <c r="BL871" s="140">
        <v>0</v>
      </c>
      <c r="BM871" s="140">
        <v>0</v>
      </c>
      <c r="BN871" s="140">
        <v>0</v>
      </c>
      <c r="BO871" s="140">
        <v>0</v>
      </c>
      <c r="BP871" s="43" t="s">
        <v>138</v>
      </c>
      <c r="BU871" s="89"/>
      <c r="BX871" s="43">
        <v>15</v>
      </c>
      <c r="BZ871" s="90">
        <f t="shared" ref="BZ871:CB878" si="119">$M871/3</f>
        <v>0.33333333333333331</v>
      </c>
      <c r="CA871" s="90">
        <f t="shared" si="119"/>
        <v>0.33333333333333331</v>
      </c>
      <c r="CB871" s="90">
        <f t="shared" si="119"/>
        <v>0.33333333333333331</v>
      </c>
      <c r="CT871" s="90">
        <f t="shared" si="112"/>
        <v>1</v>
      </c>
      <c r="CU871" s="90">
        <f t="shared" si="113"/>
        <v>1</v>
      </c>
    </row>
    <row r="872" spans="1:99" ht="12" customHeight="1">
      <c r="A872" s="43">
        <v>6978</v>
      </c>
      <c r="B872" s="89" t="s">
        <v>1515</v>
      </c>
      <c r="C872" s="89" t="s">
        <v>2409</v>
      </c>
      <c r="D872" s="89" t="s">
        <v>2410</v>
      </c>
      <c r="F872" s="43">
        <v>528671</v>
      </c>
      <c r="G872" s="43">
        <v>173497</v>
      </c>
      <c r="H872" s="89" t="s">
        <v>138</v>
      </c>
      <c r="K872" s="140">
        <v>0</v>
      </c>
      <c r="L872" s="140">
        <v>1</v>
      </c>
      <c r="M872" s="140">
        <v>1</v>
      </c>
      <c r="N872" s="140">
        <v>1</v>
      </c>
      <c r="O872" s="140">
        <v>1</v>
      </c>
      <c r="Q872" s="89" t="s">
        <v>2411</v>
      </c>
      <c r="R872" s="43" t="s">
        <v>316</v>
      </c>
      <c r="S872" s="125">
        <v>43845</v>
      </c>
      <c r="T872" s="117">
        <v>43868</v>
      </c>
      <c r="U872" s="43" t="s">
        <v>329</v>
      </c>
      <c r="V872" s="43" t="s">
        <v>317</v>
      </c>
      <c r="X872" s="43" t="s">
        <v>318</v>
      </c>
      <c r="Y872" s="43" t="s">
        <v>379</v>
      </c>
      <c r="Z872" s="43" t="s">
        <v>320</v>
      </c>
      <c r="AA872" s="43" t="s">
        <v>340</v>
      </c>
      <c r="AB872" s="144">
        <v>3.0000000260770299E-3</v>
      </c>
      <c r="AF872" s="43" t="s">
        <v>75</v>
      </c>
      <c r="AG872" s="43" t="s">
        <v>322</v>
      </c>
      <c r="AJ872" s="140">
        <v>0</v>
      </c>
      <c r="AK872" s="140">
        <v>0</v>
      </c>
      <c r="AL872" s="140">
        <v>0</v>
      </c>
      <c r="AM872" s="140">
        <v>0</v>
      </c>
      <c r="AN872" s="140">
        <v>0</v>
      </c>
      <c r="AO872" s="140">
        <v>1</v>
      </c>
      <c r="AP872" s="140">
        <v>0</v>
      </c>
      <c r="AQ872" s="140">
        <v>0</v>
      </c>
      <c r="AR872" s="140">
        <v>0</v>
      </c>
      <c r="AS872" s="140">
        <v>0</v>
      </c>
      <c r="AT872" s="140">
        <v>0</v>
      </c>
      <c r="AU872" s="140">
        <v>0</v>
      </c>
      <c r="AV872" s="140">
        <v>1</v>
      </c>
      <c r="AW872" s="140">
        <v>0</v>
      </c>
      <c r="AX872" s="140">
        <v>0</v>
      </c>
      <c r="AY872" s="140">
        <v>0</v>
      </c>
      <c r="AZ872" s="140">
        <v>0</v>
      </c>
      <c r="BA872" s="140">
        <v>0</v>
      </c>
      <c r="BB872" s="140">
        <v>0</v>
      </c>
      <c r="BC872" s="140">
        <v>0</v>
      </c>
      <c r="BD872" s="140">
        <v>0</v>
      </c>
      <c r="BE872" s="140">
        <v>0</v>
      </c>
      <c r="BF872" s="140">
        <v>0</v>
      </c>
      <c r="BG872" s="140">
        <v>0</v>
      </c>
      <c r="BH872" s="140">
        <v>0</v>
      </c>
      <c r="BI872" s="140">
        <v>0</v>
      </c>
      <c r="BJ872" s="140">
        <v>0</v>
      </c>
      <c r="BK872" s="140">
        <v>0</v>
      </c>
      <c r="BL872" s="140">
        <v>0</v>
      </c>
      <c r="BM872" s="140">
        <v>0</v>
      </c>
      <c r="BN872" s="140">
        <v>0</v>
      </c>
      <c r="BO872" s="140">
        <v>0</v>
      </c>
      <c r="BP872" s="43" t="s">
        <v>138</v>
      </c>
      <c r="BU872" s="89"/>
      <c r="BX872" s="43">
        <v>15</v>
      </c>
      <c r="BZ872" s="90">
        <f t="shared" si="119"/>
        <v>0.33333333333333331</v>
      </c>
      <c r="CA872" s="90">
        <f t="shared" si="119"/>
        <v>0.33333333333333331</v>
      </c>
      <c r="CB872" s="90">
        <f t="shared" si="119"/>
        <v>0.33333333333333331</v>
      </c>
      <c r="CT872" s="90">
        <f t="shared" si="112"/>
        <v>1</v>
      </c>
      <c r="CU872" s="90">
        <f t="shared" si="113"/>
        <v>1</v>
      </c>
    </row>
    <row r="873" spans="1:99" ht="12" customHeight="1">
      <c r="A873" s="43">
        <v>6981</v>
      </c>
      <c r="B873" s="89" t="s">
        <v>1515</v>
      </c>
      <c r="C873" s="89" t="s">
        <v>2412</v>
      </c>
      <c r="D873" s="89" t="s">
        <v>2413</v>
      </c>
      <c r="F873" s="43">
        <v>524911</v>
      </c>
      <c r="G873" s="43">
        <v>173105</v>
      </c>
      <c r="H873" s="89" t="s">
        <v>176</v>
      </c>
      <c r="K873" s="140">
        <v>0</v>
      </c>
      <c r="L873" s="140">
        <v>1</v>
      </c>
      <c r="M873" s="140">
        <v>1</v>
      </c>
      <c r="N873" s="140">
        <v>1</v>
      </c>
      <c r="O873" s="140">
        <v>1</v>
      </c>
      <c r="Q873" s="89" t="s">
        <v>2414</v>
      </c>
      <c r="R873" s="43" t="s">
        <v>316</v>
      </c>
      <c r="S873" s="125">
        <v>43285</v>
      </c>
      <c r="T873" s="117">
        <v>43340</v>
      </c>
      <c r="V873" s="43" t="s">
        <v>317</v>
      </c>
      <c r="X873" s="43" t="s">
        <v>318</v>
      </c>
      <c r="Y873" s="43" t="s">
        <v>319</v>
      </c>
      <c r="Z873" s="43" t="s">
        <v>320</v>
      </c>
      <c r="AA873" s="43" t="s">
        <v>30</v>
      </c>
      <c r="AB873" s="144">
        <v>4.0000001899898104E-3</v>
      </c>
      <c r="AF873" s="43" t="s">
        <v>75</v>
      </c>
      <c r="AG873" s="43" t="s">
        <v>322</v>
      </c>
      <c r="AJ873" s="140">
        <v>0</v>
      </c>
      <c r="AK873" s="140">
        <v>0</v>
      </c>
      <c r="AL873" s="140">
        <v>0</v>
      </c>
      <c r="AM873" s="140">
        <v>0</v>
      </c>
      <c r="AN873" s="140">
        <v>0</v>
      </c>
      <c r="AO873" s="140">
        <v>1</v>
      </c>
      <c r="AP873" s="140">
        <v>0</v>
      </c>
      <c r="AQ873" s="140">
        <v>0</v>
      </c>
      <c r="AR873" s="140">
        <v>0</v>
      </c>
      <c r="AS873" s="140">
        <v>0</v>
      </c>
      <c r="AT873" s="140">
        <v>0</v>
      </c>
      <c r="AU873" s="140">
        <v>0</v>
      </c>
      <c r="AV873" s="140">
        <v>1</v>
      </c>
      <c r="AW873" s="140">
        <v>0</v>
      </c>
      <c r="AX873" s="140">
        <v>0</v>
      </c>
      <c r="AY873" s="140">
        <v>0</v>
      </c>
      <c r="AZ873" s="140">
        <v>0</v>
      </c>
      <c r="BA873" s="140">
        <v>0</v>
      </c>
      <c r="BB873" s="140">
        <v>0</v>
      </c>
      <c r="BC873" s="140">
        <v>0</v>
      </c>
      <c r="BD873" s="140">
        <v>0</v>
      </c>
      <c r="BE873" s="140">
        <v>0</v>
      </c>
      <c r="BF873" s="140">
        <v>0</v>
      </c>
      <c r="BG873" s="140">
        <v>0</v>
      </c>
      <c r="BH873" s="140">
        <v>0</v>
      </c>
      <c r="BI873" s="140">
        <v>0</v>
      </c>
      <c r="BJ873" s="140">
        <v>0</v>
      </c>
      <c r="BK873" s="140">
        <v>0</v>
      </c>
      <c r="BL873" s="140">
        <v>0</v>
      </c>
      <c r="BM873" s="140">
        <v>0</v>
      </c>
      <c r="BN873" s="140">
        <v>0</v>
      </c>
      <c r="BO873" s="140">
        <v>0</v>
      </c>
      <c r="BU873" s="89"/>
      <c r="BX873" s="43">
        <v>15</v>
      </c>
      <c r="BZ873" s="90">
        <f t="shared" si="119"/>
        <v>0.33333333333333331</v>
      </c>
      <c r="CA873" s="90">
        <f t="shared" si="119"/>
        <v>0.33333333333333331</v>
      </c>
      <c r="CB873" s="90">
        <f t="shared" si="119"/>
        <v>0.33333333333333331</v>
      </c>
      <c r="CT873" s="90">
        <f t="shared" si="112"/>
        <v>1</v>
      </c>
      <c r="CU873" s="90">
        <f t="shared" si="113"/>
        <v>1</v>
      </c>
    </row>
    <row r="874" spans="1:99" ht="12" customHeight="1">
      <c r="A874" s="43">
        <v>6982</v>
      </c>
      <c r="B874" s="89" t="s">
        <v>1515</v>
      </c>
      <c r="C874" s="89" t="s">
        <v>2415</v>
      </c>
      <c r="D874" s="89" t="s">
        <v>2416</v>
      </c>
      <c r="F874" s="43">
        <v>527516</v>
      </c>
      <c r="G874" s="43">
        <v>177050</v>
      </c>
      <c r="H874" s="89" t="s">
        <v>177</v>
      </c>
      <c r="K874" s="140">
        <v>2</v>
      </c>
      <c r="L874" s="140">
        <v>1</v>
      </c>
      <c r="M874" s="140">
        <v>-1</v>
      </c>
      <c r="N874" s="140">
        <v>1</v>
      </c>
      <c r="O874" s="140">
        <v>-1</v>
      </c>
      <c r="Q874" s="89" t="s">
        <v>2417</v>
      </c>
      <c r="R874" s="43" t="s">
        <v>316</v>
      </c>
      <c r="S874" s="125">
        <v>43277</v>
      </c>
      <c r="T874" s="117">
        <v>43367</v>
      </c>
      <c r="V874" s="43" t="s">
        <v>317</v>
      </c>
      <c r="X874" s="43" t="s">
        <v>318</v>
      </c>
      <c r="Y874" s="43" t="s">
        <v>319</v>
      </c>
      <c r="Z874" s="43" t="s">
        <v>320</v>
      </c>
      <c r="AA874" s="43" t="s">
        <v>321</v>
      </c>
      <c r="AB874" s="144">
        <v>1.4000000432133701E-2</v>
      </c>
      <c r="AF874" s="43" t="s">
        <v>75</v>
      </c>
      <c r="AG874" s="43" t="s">
        <v>322</v>
      </c>
      <c r="AJ874" s="140">
        <v>0</v>
      </c>
      <c r="AK874" s="140">
        <v>0</v>
      </c>
      <c r="AL874" s="140">
        <v>0</v>
      </c>
      <c r="AM874" s="140">
        <v>0</v>
      </c>
      <c r="AN874" s="140">
        <v>0</v>
      </c>
      <c r="AO874" s="140">
        <v>-2</v>
      </c>
      <c r="AP874" s="140">
        <v>0</v>
      </c>
      <c r="AQ874" s="140">
        <v>1</v>
      </c>
      <c r="AR874" s="140">
        <v>0</v>
      </c>
      <c r="AS874" s="140">
        <v>0</v>
      </c>
      <c r="AT874" s="140">
        <v>0</v>
      </c>
      <c r="AU874" s="140">
        <v>0</v>
      </c>
      <c r="AV874" s="140">
        <v>-2</v>
      </c>
      <c r="AW874" s="140">
        <v>0</v>
      </c>
      <c r="AX874" s="140">
        <v>1</v>
      </c>
      <c r="AY874" s="140">
        <v>0</v>
      </c>
      <c r="AZ874" s="140">
        <v>0</v>
      </c>
      <c r="BA874" s="140">
        <v>0</v>
      </c>
      <c r="BB874" s="140">
        <v>0</v>
      </c>
      <c r="BC874" s="140">
        <v>0</v>
      </c>
      <c r="BD874" s="140">
        <v>0</v>
      </c>
      <c r="BE874" s="140">
        <v>0</v>
      </c>
      <c r="BF874" s="140">
        <v>0</v>
      </c>
      <c r="BG874" s="140">
        <v>0</v>
      </c>
      <c r="BH874" s="140">
        <v>0</v>
      </c>
      <c r="BI874" s="140">
        <v>0</v>
      </c>
      <c r="BJ874" s="140">
        <v>0</v>
      </c>
      <c r="BK874" s="140">
        <v>0</v>
      </c>
      <c r="BL874" s="140">
        <v>0</v>
      </c>
      <c r="BM874" s="140">
        <v>0</v>
      </c>
      <c r="BN874" s="140">
        <v>0</v>
      </c>
      <c r="BO874" s="140">
        <v>0</v>
      </c>
      <c r="BU874" s="89"/>
      <c r="BX874" s="43">
        <v>15</v>
      </c>
      <c r="BZ874" s="90">
        <f t="shared" si="119"/>
        <v>-0.33333333333333331</v>
      </c>
      <c r="CA874" s="90">
        <f t="shared" si="119"/>
        <v>-0.33333333333333331</v>
      </c>
      <c r="CB874" s="90">
        <f t="shared" si="119"/>
        <v>-0.33333333333333331</v>
      </c>
      <c r="CT874" s="90">
        <f t="shared" si="112"/>
        <v>-1</v>
      </c>
      <c r="CU874" s="90">
        <f t="shared" si="113"/>
        <v>-1</v>
      </c>
    </row>
    <row r="875" spans="1:99" ht="12" customHeight="1">
      <c r="A875" s="43">
        <v>6983</v>
      </c>
      <c r="B875" s="89" t="s">
        <v>1515</v>
      </c>
      <c r="C875" s="89" t="s">
        <v>2418</v>
      </c>
      <c r="D875" s="89" t="s">
        <v>2419</v>
      </c>
      <c r="E875" s="89" t="s">
        <v>758</v>
      </c>
      <c r="F875" s="43">
        <v>526930</v>
      </c>
      <c r="G875" s="43">
        <v>171771</v>
      </c>
      <c r="H875" s="89" t="s">
        <v>141</v>
      </c>
      <c r="K875" s="140">
        <v>1</v>
      </c>
      <c r="L875" s="140">
        <v>1</v>
      </c>
      <c r="M875" s="140">
        <v>0</v>
      </c>
      <c r="N875" s="140">
        <v>3</v>
      </c>
      <c r="O875" s="140">
        <v>2</v>
      </c>
      <c r="Q875" s="89" t="s">
        <v>2420</v>
      </c>
      <c r="R875" s="43" t="s">
        <v>316</v>
      </c>
      <c r="S875" s="125">
        <v>43560</v>
      </c>
      <c r="T875" s="117">
        <v>43733</v>
      </c>
      <c r="U875" s="43" t="s">
        <v>329</v>
      </c>
      <c r="V875" s="43" t="s">
        <v>317</v>
      </c>
      <c r="X875" s="43" t="s">
        <v>318</v>
      </c>
      <c r="Y875" s="43" t="s">
        <v>319</v>
      </c>
      <c r="Z875" s="43" t="s">
        <v>320</v>
      </c>
      <c r="AA875" s="43" t="s">
        <v>321</v>
      </c>
      <c r="AB875" s="144">
        <v>3.0000000260770299E-3</v>
      </c>
      <c r="AF875" s="43" t="s">
        <v>75</v>
      </c>
      <c r="AG875" s="43" t="s">
        <v>322</v>
      </c>
      <c r="AJ875" s="140">
        <v>0</v>
      </c>
      <c r="AK875" s="140">
        <v>0</v>
      </c>
      <c r="AL875" s="140">
        <v>0</v>
      </c>
      <c r="AM875" s="140">
        <v>0</v>
      </c>
      <c r="AN875" s="140">
        <v>0</v>
      </c>
      <c r="AO875" s="140">
        <v>1</v>
      </c>
      <c r="AP875" s="140">
        <v>-1</v>
      </c>
      <c r="AQ875" s="140">
        <v>0</v>
      </c>
      <c r="AR875" s="140">
        <v>0</v>
      </c>
      <c r="AS875" s="140">
        <v>0</v>
      </c>
      <c r="AT875" s="140">
        <v>0</v>
      </c>
      <c r="AU875" s="140">
        <v>0</v>
      </c>
      <c r="AV875" s="140">
        <v>1</v>
      </c>
      <c r="AW875" s="140">
        <v>-1</v>
      </c>
      <c r="AX875" s="140">
        <v>0</v>
      </c>
      <c r="AY875" s="140">
        <v>0</v>
      </c>
      <c r="AZ875" s="140">
        <v>0</v>
      </c>
      <c r="BA875" s="140">
        <v>0</v>
      </c>
      <c r="BB875" s="140">
        <v>0</v>
      </c>
      <c r="BC875" s="140">
        <v>0</v>
      </c>
      <c r="BD875" s="140">
        <v>0</v>
      </c>
      <c r="BE875" s="140">
        <v>0</v>
      </c>
      <c r="BF875" s="140">
        <v>0</v>
      </c>
      <c r="BG875" s="140">
        <v>0</v>
      </c>
      <c r="BH875" s="140">
        <v>0</v>
      </c>
      <c r="BI875" s="140">
        <v>0</v>
      </c>
      <c r="BJ875" s="140">
        <v>0</v>
      </c>
      <c r="BK875" s="140">
        <v>0</v>
      </c>
      <c r="BL875" s="140">
        <v>0</v>
      </c>
      <c r="BM875" s="140">
        <v>0</v>
      </c>
      <c r="BN875" s="140">
        <v>0</v>
      </c>
      <c r="BO875" s="140">
        <v>0</v>
      </c>
      <c r="BU875" s="89"/>
      <c r="BX875" s="43">
        <v>15</v>
      </c>
      <c r="BZ875" s="90">
        <f t="shared" si="119"/>
        <v>0</v>
      </c>
      <c r="CA875" s="90">
        <f t="shared" si="119"/>
        <v>0</v>
      </c>
      <c r="CB875" s="90">
        <f t="shared" si="119"/>
        <v>0</v>
      </c>
      <c r="CT875" s="90">
        <f t="shared" si="112"/>
        <v>0</v>
      </c>
      <c r="CU875" s="90">
        <f t="shared" si="113"/>
        <v>0</v>
      </c>
    </row>
    <row r="876" spans="1:99" ht="12" customHeight="1">
      <c r="A876" s="43">
        <v>6983</v>
      </c>
      <c r="B876" s="89" t="s">
        <v>1515</v>
      </c>
      <c r="C876" s="89" t="s">
        <v>2418</v>
      </c>
      <c r="D876" s="89" t="s">
        <v>2419</v>
      </c>
      <c r="E876" s="89" t="s">
        <v>2421</v>
      </c>
      <c r="F876" s="43">
        <v>526930</v>
      </c>
      <c r="G876" s="43">
        <v>171771</v>
      </c>
      <c r="H876" s="89" t="s">
        <v>141</v>
      </c>
      <c r="K876" s="140">
        <v>0</v>
      </c>
      <c r="L876" s="140">
        <v>1</v>
      </c>
      <c r="M876" s="140">
        <v>1</v>
      </c>
      <c r="N876" s="140">
        <v>3</v>
      </c>
      <c r="O876" s="140">
        <v>2</v>
      </c>
      <c r="Q876" s="89" t="s">
        <v>2420</v>
      </c>
      <c r="R876" s="43" t="s">
        <v>316</v>
      </c>
      <c r="S876" s="125">
        <v>43560</v>
      </c>
      <c r="T876" s="117">
        <v>43733</v>
      </c>
      <c r="U876" s="43" t="s">
        <v>329</v>
      </c>
      <c r="V876" s="43" t="s">
        <v>317</v>
      </c>
      <c r="X876" s="43" t="s">
        <v>318</v>
      </c>
      <c r="Y876" s="43" t="s">
        <v>319</v>
      </c>
      <c r="Z876" s="43" t="s">
        <v>320</v>
      </c>
      <c r="AA876" s="43" t="s">
        <v>36</v>
      </c>
      <c r="AB876" s="144">
        <v>3.0000000260770299E-3</v>
      </c>
      <c r="AF876" s="43" t="s">
        <v>75</v>
      </c>
      <c r="AG876" s="43" t="s">
        <v>322</v>
      </c>
      <c r="AJ876" s="140">
        <v>0</v>
      </c>
      <c r="AK876" s="140">
        <v>0</v>
      </c>
      <c r="AL876" s="140">
        <v>0</v>
      </c>
      <c r="AM876" s="140">
        <v>0</v>
      </c>
      <c r="AN876" s="140">
        <v>0</v>
      </c>
      <c r="AO876" s="140">
        <v>1</v>
      </c>
      <c r="AP876" s="140">
        <v>0</v>
      </c>
      <c r="AQ876" s="140">
        <v>0</v>
      </c>
      <c r="AR876" s="140">
        <v>0</v>
      </c>
      <c r="AS876" s="140">
        <v>0</v>
      </c>
      <c r="AT876" s="140">
        <v>0</v>
      </c>
      <c r="AU876" s="140">
        <v>0</v>
      </c>
      <c r="AV876" s="140">
        <v>1</v>
      </c>
      <c r="AW876" s="140">
        <v>0</v>
      </c>
      <c r="AX876" s="140">
        <v>0</v>
      </c>
      <c r="AY876" s="140">
        <v>0</v>
      </c>
      <c r="AZ876" s="140">
        <v>0</v>
      </c>
      <c r="BA876" s="140">
        <v>0</v>
      </c>
      <c r="BB876" s="140">
        <v>0</v>
      </c>
      <c r="BC876" s="140">
        <v>0</v>
      </c>
      <c r="BD876" s="140">
        <v>0</v>
      </c>
      <c r="BE876" s="140">
        <v>0</v>
      </c>
      <c r="BF876" s="140">
        <v>0</v>
      </c>
      <c r="BG876" s="140">
        <v>0</v>
      </c>
      <c r="BH876" s="140">
        <v>0</v>
      </c>
      <c r="BI876" s="140">
        <v>0</v>
      </c>
      <c r="BJ876" s="140">
        <v>0</v>
      </c>
      <c r="BK876" s="140">
        <v>0</v>
      </c>
      <c r="BL876" s="140">
        <v>0</v>
      </c>
      <c r="BM876" s="140">
        <v>0</v>
      </c>
      <c r="BN876" s="140">
        <v>0</v>
      </c>
      <c r="BO876" s="140">
        <v>0</v>
      </c>
      <c r="BU876" s="89"/>
      <c r="BX876" s="43">
        <v>15</v>
      </c>
      <c r="BZ876" s="90">
        <f t="shared" si="119"/>
        <v>0.33333333333333331</v>
      </c>
      <c r="CA876" s="90">
        <f t="shared" si="119"/>
        <v>0.33333333333333331</v>
      </c>
      <c r="CB876" s="90">
        <f t="shared" si="119"/>
        <v>0.33333333333333331</v>
      </c>
      <c r="CT876" s="90">
        <f t="shared" si="112"/>
        <v>1</v>
      </c>
      <c r="CU876" s="90">
        <f t="shared" si="113"/>
        <v>1</v>
      </c>
    </row>
    <row r="877" spans="1:99" ht="12" customHeight="1">
      <c r="A877" s="43">
        <v>6983</v>
      </c>
      <c r="B877" s="89" t="s">
        <v>1515</v>
      </c>
      <c r="C877" s="89" t="s">
        <v>2418</v>
      </c>
      <c r="D877" s="89" t="s">
        <v>2419</v>
      </c>
      <c r="E877" s="89" t="s">
        <v>349</v>
      </c>
      <c r="F877" s="43">
        <v>526930</v>
      </c>
      <c r="G877" s="43">
        <v>171771</v>
      </c>
      <c r="H877" s="89" t="s">
        <v>141</v>
      </c>
      <c r="K877" s="140">
        <v>0</v>
      </c>
      <c r="L877" s="140">
        <v>1</v>
      </c>
      <c r="M877" s="140">
        <v>1</v>
      </c>
      <c r="N877" s="140">
        <v>3</v>
      </c>
      <c r="O877" s="140">
        <v>2</v>
      </c>
      <c r="Q877" s="89" t="s">
        <v>2420</v>
      </c>
      <c r="R877" s="43" t="s">
        <v>316</v>
      </c>
      <c r="S877" s="125">
        <v>43560</v>
      </c>
      <c r="T877" s="117">
        <v>43733</v>
      </c>
      <c r="U877" s="43" t="s">
        <v>329</v>
      </c>
      <c r="V877" s="43" t="s">
        <v>317</v>
      </c>
      <c r="X877" s="43" t="s">
        <v>318</v>
      </c>
      <c r="Y877" s="43" t="s">
        <v>319</v>
      </c>
      <c r="Z877" s="43" t="s">
        <v>320</v>
      </c>
      <c r="AA877" s="43" t="s">
        <v>340</v>
      </c>
      <c r="AB877" s="144">
        <v>3.0000000260770299E-3</v>
      </c>
      <c r="AF877" s="43" t="s">
        <v>75</v>
      </c>
      <c r="AG877" s="43" t="s">
        <v>322</v>
      </c>
      <c r="AJ877" s="140">
        <v>0</v>
      </c>
      <c r="AK877" s="140">
        <v>0</v>
      </c>
      <c r="AL877" s="140">
        <v>0</v>
      </c>
      <c r="AM877" s="140">
        <v>0</v>
      </c>
      <c r="AN877" s="140">
        <v>0</v>
      </c>
      <c r="AO877" s="140">
        <v>1</v>
      </c>
      <c r="AP877" s="140">
        <v>0</v>
      </c>
      <c r="AQ877" s="140">
        <v>0</v>
      </c>
      <c r="AR877" s="140">
        <v>0</v>
      </c>
      <c r="AS877" s="140">
        <v>0</v>
      </c>
      <c r="AT877" s="140">
        <v>0</v>
      </c>
      <c r="AU877" s="140">
        <v>0</v>
      </c>
      <c r="AV877" s="140">
        <v>1</v>
      </c>
      <c r="AW877" s="140">
        <v>0</v>
      </c>
      <c r="AX877" s="140">
        <v>0</v>
      </c>
      <c r="AY877" s="140">
        <v>0</v>
      </c>
      <c r="AZ877" s="140">
        <v>0</v>
      </c>
      <c r="BA877" s="140">
        <v>0</v>
      </c>
      <c r="BB877" s="140">
        <v>0</v>
      </c>
      <c r="BC877" s="140">
        <v>0</v>
      </c>
      <c r="BD877" s="140">
        <v>0</v>
      </c>
      <c r="BE877" s="140">
        <v>0</v>
      </c>
      <c r="BF877" s="140">
        <v>0</v>
      </c>
      <c r="BG877" s="140">
        <v>0</v>
      </c>
      <c r="BH877" s="140">
        <v>0</v>
      </c>
      <c r="BI877" s="140">
        <v>0</v>
      </c>
      <c r="BJ877" s="140">
        <v>0</v>
      </c>
      <c r="BK877" s="140">
        <v>0</v>
      </c>
      <c r="BL877" s="140">
        <v>0</v>
      </c>
      <c r="BM877" s="140">
        <v>0</v>
      </c>
      <c r="BN877" s="140">
        <v>0</v>
      </c>
      <c r="BO877" s="140">
        <v>0</v>
      </c>
      <c r="BU877" s="89"/>
      <c r="BX877" s="43">
        <v>15</v>
      </c>
      <c r="BZ877" s="90">
        <f t="shared" si="119"/>
        <v>0.33333333333333331</v>
      </c>
      <c r="CA877" s="90">
        <f t="shared" si="119"/>
        <v>0.33333333333333331</v>
      </c>
      <c r="CB877" s="90">
        <f t="shared" si="119"/>
        <v>0.33333333333333331</v>
      </c>
      <c r="CT877" s="90">
        <f t="shared" si="112"/>
        <v>1</v>
      </c>
      <c r="CU877" s="90">
        <f t="shared" si="113"/>
        <v>1</v>
      </c>
    </row>
    <row r="878" spans="1:99" ht="12" customHeight="1">
      <c r="A878" s="43">
        <v>6984</v>
      </c>
      <c r="B878" s="89" t="s">
        <v>1515</v>
      </c>
      <c r="C878" s="89" t="s">
        <v>2422</v>
      </c>
      <c r="D878" s="89" t="s">
        <v>2423</v>
      </c>
      <c r="F878" s="43">
        <v>528629</v>
      </c>
      <c r="G878" s="43">
        <v>177664</v>
      </c>
      <c r="H878" s="89" t="s">
        <v>148</v>
      </c>
      <c r="K878" s="140">
        <v>2</v>
      </c>
      <c r="L878" s="140">
        <v>1</v>
      </c>
      <c r="M878" s="140">
        <v>-1</v>
      </c>
      <c r="N878" s="140">
        <v>1</v>
      </c>
      <c r="O878" s="140">
        <v>-1</v>
      </c>
      <c r="Q878" s="89" t="s">
        <v>2424</v>
      </c>
      <c r="R878" s="43" t="s">
        <v>316</v>
      </c>
      <c r="S878" s="125">
        <v>43236</v>
      </c>
      <c r="T878" s="117">
        <v>43270</v>
      </c>
      <c r="V878" s="43" t="s">
        <v>317</v>
      </c>
      <c r="X878" s="43" t="s">
        <v>318</v>
      </c>
      <c r="Y878" s="43" t="s">
        <v>348</v>
      </c>
      <c r="Z878" s="43" t="s">
        <v>320</v>
      </c>
      <c r="AA878" s="43" t="s">
        <v>636</v>
      </c>
      <c r="AB878" s="144">
        <v>3.0000000260770299E-3</v>
      </c>
      <c r="AF878" s="43" t="s">
        <v>75</v>
      </c>
      <c r="AG878" s="43" t="s">
        <v>322</v>
      </c>
      <c r="AJ878" s="140">
        <v>0</v>
      </c>
      <c r="AK878" s="140">
        <v>0</v>
      </c>
      <c r="AL878" s="140">
        <v>0</v>
      </c>
      <c r="AM878" s="140">
        <v>0</v>
      </c>
      <c r="AN878" s="140">
        <v>0</v>
      </c>
      <c r="AO878" s="140">
        <v>-1</v>
      </c>
      <c r="AP878" s="140">
        <v>-1</v>
      </c>
      <c r="AQ878" s="140">
        <v>1</v>
      </c>
      <c r="AR878" s="140">
        <v>0</v>
      </c>
      <c r="AS878" s="140">
        <v>0</v>
      </c>
      <c r="AT878" s="140">
        <v>0</v>
      </c>
      <c r="AU878" s="140">
        <v>0</v>
      </c>
      <c r="AV878" s="140">
        <v>-1</v>
      </c>
      <c r="AW878" s="140">
        <v>-1</v>
      </c>
      <c r="AX878" s="140">
        <v>1</v>
      </c>
      <c r="AY878" s="140">
        <v>0</v>
      </c>
      <c r="AZ878" s="140">
        <v>0</v>
      </c>
      <c r="BA878" s="140">
        <v>0</v>
      </c>
      <c r="BB878" s="140">
        <v>0</v>
      </c>
      <c r="BC878" s="140">
        <v>0</v>
      </c>
      <c r="BD878" s="140">
        <v>0</v>
      </c>
      <c r="BE878" s="140">
        <v>0</v>
      </c>
      <c r="BF878" s="140">
        <v>0</v>
      </c>
      <c r="BG878" s="140">
        <v>0</v>
      </c>
      <c r="BH878" s="140">
        <v>0</v>
      </c>
      <c r="BI878" s="140">
        <v>0</v>
      </c>
      <c r="BJ878" s="140">
        <v>0</v>
      </c>
      <c r="BK878" s="140">
        <v>0</v>
      </c>
      <c r="BL878" s="140">
        <v>0</v>
      </c>
      <c r="BM878" s="140">
        <v>0</v>
      </c>
      <c r="BN878" s="140">
        <v>0</v>
      </c>
      <c r="BO878" s="140">
        <v>0</v>
      </c>
      <c r="BQ878" s="43" t="s">
        <v>329</v>
      </c>
      <c r="BU878" s="89"/>
      <c r="BX878" s="43">
        <v>15</v>
      </c>
      <c r="BZ878" s="90">
        <f t="shared" si="119"/>
        <v>-0.33333333333333331</v>
      </c>
      <c r="CA878" s="90">
        <f t="shared" si="119"/>
        <v>-0.33333333333333331</v>
      </c>
      <c r="CB878" s="90">
        <f t="shared" si="119"/>
        <v>-0.33333333333333331</v>
      </c>
      <c r="CT878" s="90">
        <f t="shared" si="112"/>
        <v>-1</v>
      </c>
      <c r="CU878" s="90">
        <f t="shared" si="113"/>
        <v>-1</v>
      </c>
    </row>
    <row r="879" spans="1:99" ht="12" customHeight="1">
      <c r="A879" s="43">
        <v>6990</v>
      </c>
      <c r="B879" s="89" t="s">
        <v>1515</v>
      </c>
      <c r="C879" s="89" t="s">
        <v>2425</v>
      </c>
      <c r="D879" s="89" t="s">
        <v>2426</v>
      </c>
      <c r="F879" s="43">
        <v>526243</v>
      </c>
      <c r="G879" s="43">
        <v>174114</v>
      </c>
      <c r="H879" s="89" t="s">
        <v>179</v>
      </c>
      <c r="K879" s="140">
        <v>1</v>
      </c>
      <c r="L879" s="140">
        <v>1</v>
      </c>
      <c r="M879" s="140">
        <v>0</v>
      </c>
      <c r="N879" s="140">
        <v>1</v>
      </c>
      <c r="O879" s="140">
        <v>0</v>
      </c>
      <c r="Q879" s="89" t="s">
        <v>2427</v>
      </c>
      <c r="R879" s="43" t="s">
        <v>316</v>
      </c>
      <c r="S879" s="125">
        <v>43291</v>
      </c>
      <c r="T879" s="117">
        <v>43354</v>
      </c>
      <c r="V879" s="43" t="s">
        <v>317</v>
      </c>
      <c r="X879" s="43" t="s">
        <v>318</v>
      </c>
      <c r="Y879" s="43" t="s">
        <v>361</v>
      </c>
      <c r="Z879" s="43" t="s">
        <v>320</v>
      </c>
      <c r="AA879" s="43" t="s">
        <v>353</v>
      </c>
      <c r="AB879" s="144">
        <v>1.09999999403954E-2</v>
      </c>
      <c r="AF879" s="43" t="s">
        <v>75</v>
      </c>
      <c r="AG879" s="43" t="s">
        <v>322</v>
      </c>
      <c r="AJ879" s="140">
        <v>0</v>
      </c>
      <c r="AK879" s="140">
        <v>0</v>
      </c>
      <c r="AL879" s="140">
        <v>0</v>
      </c>
      <c r="AM879" s="140">
        <v>0</v>
      </c>
      <c r="AN879" s="140">
        <v>0</v>
      </c>
      <c r="AO879" s="140">
        <v>-1</v>
      </c>
      <c r="AP879" s="140">
        <v>0</v>
      </c>
      <c r="AQ879" s="140">
        <v>1</v>
      </c>
      <c r="AR879" s="140">
        <v>0</v>
      </c>
      <c r="AS879" s="140">
        <v>0</v>
      </c>
      <c r="AT879" s="140">
        <v>0</v>
      </c>
      <c r="AU879" s="140">
        <v>0</v>
      </c>
      <c r="AV879" s="140">
        <v>0</v>
      </c>
      <c r="AW879" s="140">
        <v>0</v>
      </c>
      <c r="AX879" s="140">
        <v>0</v>
      </c>
      <c r="AY879" s="140">
        <v>0</v>
      </c>
      <c r="AZ879" s="140">
        <v>0</v>
      </c>
      <c r="BA879" s="140">
        <v>0</v>
      </c>
      <c r="BB879" s="140">
        <v>0</v>
      </c>
      <c r="BC879" s="140">
        <v>-1</v>
      </c>
      <c r="BD879" s="140">
        <v>0</v>
      </c>
      <c r="BE879" s="140">
        <v>1</v>
      </c>
      <c r="BF879" s="140">
        <v>0</v>
      </c>
      <c r="BG879" s="140">
        <v>0</v>
      </c>
      <c r="BH879" s="140">
        <v>0</v>
      </c>
      <c r="BI879" s="140">
        <v>0</v>
      </c>
      <c r="BJ879" s="140">
        <v>0</v>
      </c>
      <c r="BK879" s="140">
        <v>0</v>
      </c>
      <c r="BL879" s="140">
        <v>0</v>
      </c>
      <c r="BM879" s="140">
        <v>0</v>
      </c>
      <c r="BN879" s="140">
        <v>0</v>
      </c>
      <c r="BO879" s="140">
        <v>0</v>
      </c>
      <c r="BU879" s="89"/>
      <c r="BX879" s="43">
        <v>6</v>
      </c>
      <c r="CA879" s="90">
        <f>$M879/4</f>
        <v>0</v>
      </c>
      <c r="CB879" s="90">
        <f>$M879/4</f>
        <v>0</v>
      </c>
      <c r="CC879" s="90">
        <f>$M879/4</f>
        <v>0</v>
      </c>
      <c r="CD879" s="90">
        <f>$M879/4</f>
        <v>0</v>
      </c>
      <c r="CT879" s="90">
        <f t="shared" si="112"/>
        <v>0</v>
      </c>
      <c r="CU879" s="90">
        <f t="shared" si="113"/>
        <v>0</v>
      </c>
    </row>
    <row r="880" spans="1:99" ht="12" customHeight="1">
      <c r="A880" s="43">
        <v>6995</v>
      </c>
      <c r="B880" s="89" t="s">
        <v>1515</v>
      </c>
      <c r="C880" s="89" t="s">
        <v>2428</v>
      </c>
      <c r="D880" s="89" t="s">
        <v>2429</v>
      </c>
      <c r="F880" s="43">
        <v>527398</v>
      </c>
      <c r="G880" s="43">
        <v>171432</v>
      </c>
      <c r="H880" s="89" t="s">
        <v>141</v>
      </c>
      <c r="K880" s="140">
        <v>1</v>
      </c>
      <c r="L880" s="140">
        <v>2</v>
      </c>
      <c r="M880" s="140">
        <v>1</v>
      </c>
      <c r="N880" s="140">
        <v>2</v>
      </c>
      <c r="O880" s="140">
        <v>1</v>
      </c>
      <c r="Q880" s="89" t="s">
        <v>2430</v>
      </c>
      <c r="R880" s="43" t="s">
        <v>316</v>
      </c>
      <c r="S880" s="125">
        <v>43444</v>
      </c>
      <c r="T880" s="117">
        <v>43500</v>
      </c>
      <c r="V880" s="43" t="s">
        <v>317</v>
      </c>
      <c r="X880" s="43" t="s">
        <v>318</v>
      </c>
      <c r="Y880" s="43" t="s">
        <v>379</v>
      </c>
      <c r="Z880" s="43" t="s">
        <v>320</v>
      </c>
      <c r="AA880" s="43" t="s">
        <v>340</v>
      </c>
      <c r="AB880" s="144">
        <v>8.0000003799796104E-3</v>
      </c>
      <c r="AF880" s="43" t="s">
        <v>75</v>
      </c>
      <c r="AG880" s="43" t="s">
        <v>322</v>
      </c>
      <c r="AJ880" s="140">
        <v>0</v>
      </c>
      <c r="AK880" s="140">
        <v>0</v>
      </c>
      <c r="AL880" s="140">
        <v>0</v>
      </c>
      <c r="AM880" s="140">
        <v>0</v>
      </c>
      <c r="AN880" s="140">
        <v>0</v>
      </c>
      <c r="AO880" s="140">
        <v>0</v>
      </c>
      <c r="AP880" s="140">
        <v>1</v>
      </c>
      <c r="AQ880" s="140">
        <v>0</v>
      </c>
      <c r="AR880" s="140">
        <v>0</v>
      </c>
      <c r="AS880" s="140">
        <v>0</v>
      </c>
      <c r="AT880" s="140">
        <v>0</v>
      </c>
      <c r="AU880" s="140">
        <v>0</v>
      </c>
      <c r="AV880" s="140">
        <v>0</v>
      </c>
      <c r="AW880" s="140">
        <v>1</v>
      </c>
      <c r="AX880" s="140">
        <v>0</v>
      </c>
      <c r="AY880" s="140">
        <v>0</v>
      </c>
      <c r="AZ880" s="140">
        <v>0</v>
      </c>
      <c r="BA880" s="140">
        <v>0</v>
      </c>
      <c r="BB880" s="140">
        <v>0</v>
      </c>
      <c r="BC880" s="140">
        <v>0</v>
      </c>
      <c r="BD880" s="140">
        <v>0</v>
      </c>
      <c r="BE880" s="140">
        <v>0</v>
      </c>
      <c r="BF880" s="140">
        <v>0</v>
      </c>
      <c r="BG880" s="140">
        <v>0</v>
      </c>
      <c r="BH880" s="140">
        <v>0</v>
      </c>
      <c r="BI880" s="140">
        <v>0</v>
      </c>
      <c r="BJ880" s="140">
        <v>0</v>
      </c>
      <c r="BK880" s="140">
        <v>0</v>
      </c>
      <c r="BL880" s="140">
        <v>0</v>
      </c>
      <c r="BM880" s="140">
        <v>0</v>
      </c>
      <c r="BN880" s="140">
        <v>0</v>
      </c>
      <c r="BO880" s="140">
        <v>0</v>
      </c>
      <c r="BP880" s="43" t="s">
        <v>141</v>
      </c>
      <c r="BU880" s="89"/>
      <c r="BX880" s="43">
        <v>15</v>
      </c>
      <c r="BZ880" s="90">
        <f t="shared" ref="BZ880:CB882" si="120">$M880/3</f>
        <v>0.33333333333333331</v>
      </c>
      <c r="CA880" s="90">
        <f t="shared" si="120"/>
        <v>0.33333333333333331</v>
      </c>
      <c r="CB880" s="90">
        <f t="shared" si="120"/>
        <v>0.33333333333333331</v>
      </c>
      <c r="CT880" s="90">
        <f t="shared" si="112"/>
        <v>1</v>
      </c>
      <c r="CU880" s="90">
        <f t="shared" si="113"/>
        <v>1</v>
      </c>
    </row>
    <row r="881" spans="1:99" ht="12" customHeight="1">
      <c r="A881" s="43">
        <v>7006</v>
      </c>
      <c r="B881" s="89" t="s">
        <v>1515</v>
      </c>
      <c r="C881" s="89" t="s">
        <v>2431</v>
      </c>
      <c r="D881" s="89" t="s">
        <v>2432</v>
      </c>
      <c r="F881" s="43">
        <v>527643</v>
      </c>
      <c r="G881" s="43">
        <v>171169</v>
      </c>
      <c r="H881" s="89" t="s">
        <v>172</v>
      </c>
      <c r="K881" s="140">
        <v>1</v>
      </c>
      <c r="L881" s="140">
        <v>2</v>
      </c>
      <c r="M881" s="140">
        <v>1</v>
      </c>
      <c r="N881" s="140">
        <v>2</v>
      </c>
      <c r="O881" s="140">
        <v>1</v>
      </c>
      <c r="Q881" s="89" t="s">
        <v>2433</v>
      </c>
      <c r="R881" s="43" t="s">
        <v>316</v>
      </c>
      <c r="S881" s="125">
        <v>43332</v>
      </c>
      <c r="T881" s="117">
        <v>43388</v>
      </c>
      <c r="V881" s="43" t="s">
        <v>317</v>
      </c>
      <c r="X881" s="43" t="s">
        <v>318</v>
      </c>
      <c r="Y881" s="43" t="s">
        <v>348</v>
      </c>
      <c r="Z881" s="43" t="s">
        <v>320</v>
      </c>
      <c r="AA881" s="43" t="s">
        <v>321</v>
      </c>
      <c r="AB881" s="144">
        <v>8.0000003799796104E-3</v>
      </c>
      <c r="AF881" s="43" t="s">
        <v>75</v>
      </c>
      <c r="AG881" s="43" t="s">
        <v>322</v>
      </c>
      <c r="AJ881" s="140">
        <v>0</v>
      </c>
      <c r="AK881" s="140">
        <v>0</v>
      </c>
      <c r="AL881" s="140">
        <v>0</v>
      </c>
      <c r="AM881" s="140">
        <v>0</v>
      </c>
      <c r="AN881" s="140">
        <v>0</v>
      </c>
      <c r="AO881" s="140">
        <v>0</v>
      </c>
      <c r="AP881" s="140">
        <v>1</v>
      </c>
      <c r="AQ881" s="140">
        <v>0</v>
      </c>
      <c r="AR881" s="140">
        <v>0</v>
      </c>
      <c r="AS881" s="140">
        <v>0</v>
      </c>
      <c r="AT881" s="140">
        <v>0</v>
      </c>
      <c r="AU881" s="140">
        <v>0</v>
      </c>
      <c r="AV881" s="140">
        <v>0</v>
      </c>
      <c r="AW881" s="140">
        <v>1</v>
      </c>
      <c r="AX881" s="140">
        <v>0</v>
      </c>
      <c r="AY881" s="140">
        <v>0</v>
      </c>
      <c r="AZ881" s="140">
        <v>0</v>
      </c>
      <c r="BA881" s="140">
        <v>0</v>
      </c>
      <c r="BB881" s="140">
        <v>0</v>
      </c>
      <c r="BC881" s="140">
        <v>0</v>
      </c>
      <c r="BD881" s="140">
        <v>0</v>
      </c>
      <c r="BE881" s="140">
        <v>0</v>
      </c>
      <c r="BF881" s="140">
        <v>0</v>
      </c>
      <c r="BG881" s="140">
        <v>0</v>
      </c>
      <c r="BH881" s="140">
        <v>0</v>
      </c>
      <c r="BI881" s="140">
        <v>0</v>
      </c>
      <c r="BJ881" s="140">
        <v>0</v>
      </c>
      <c r="BK881" s="140">
        <v>0</v>
      </c>
      <c r="BL881" s="140">
        <v>0</v>
      </c>
      <c r="BM881" s="140">
        <v>0</v>
      </c>
      <c r="BN881" s="140">
        <v>0</v>
      </c>
      <c r="BO881" s="140">
        <v>0</v>
      </c>
      <c r="BQ881" s="89"/>
      <c r="BU881" s="89"/>
      <c r="BX881" s="43">
        <v>15</v>
      </c>
      <c r="BZ881" s="90">
        <f t="shared" si="120"/>
        <v>0.33333333333333331</v>
      </c>
      <c r="CA881" s="90">
        <f t="shared" si="120"/>
        <v>0.33333333333333331</v>
      </c>
      <c r="CB881" s="90">
        <f t="shared" si="120"/>
        <v>0.33333333333333331</v>
      </c>
      <c r="CT881" s="90">
        <f t="shared" si="112"/>
        <v>1</v>
      </c>
      <c r="CU881" s="90">
        <f t="shared" si="113"/>
        <v>1</v>
      </c>
    </row>
    <row r="882" spans="1:99" ht="12" customHeight="1">
      <c r="A882" s="43">
        <v>7010</v>
      </c>
      <c r="B882" s="89" t="s">
        <v>1515</v>
      </c>
      <c r="C882" s="89" t="s">
        <v>2434</v>
      </c>
      <c r="D882" s="89" t="s">
        <v>2435</v>
      </c>
      <c r="F882" s="43">
        <v>528787</v>
      </c>
      <c r="G882" s="43">
        <v>174236</v>
      </c>
      <c r="H882" s="89" t="s">
        <v>138</v>
      </c>
      <c r="K882" s="140">
        <v>0</v>
      </c>
      <c r="L882" s="140">
        <v>1</v>
      </c>
      <c r="M882" s="140">
        <v>1</v>
      </c>
      <c r="N882" s="140">
        <v>1</v>
      </c>
      <c r="O882" s="140">
        <v>1</v>
      </c>
      <c r="Q882" s="89" t="s">
        <v>2436</v>
      </c>
      <c r="R882" s="43" t="s">
        <v>443</v>
      </c>
      <c r="S882" s="125">
        <v>43341</v>
      </c>
      <c r="T882" s="117">
        <v>43396</v>
      </c>
      <c r="V882" s="43" t="s">
        <v>317</v>
      </c>
      <c r="X882" s="43" t="s">
        <v>318</v>
      </c>
      <c r="Y882" s="43" t="s">
        <v>336</v>
      </c>
      <c r="Z882" s="43" t="s">
        <v>320</v>
      </c>
      <c r="AA882" s="43" t="s">
        <v>30</v>
      </c>
      <c r="AB882" s="144">
        <v>2.0000000949949E-3</v>
      </c>
      <c r="AF882" s="43" t="s">
        <v>75</v>
      </c>
      <c r="AG882" s="43" t="s">
        <v>322</v>
      </c>
      <c r="AJ882" s="140">
        <v>0</v>
      </c>
      <c r="AK882" s="140">
        <v>0</v>
      </c>
      <c r="AL882" s="140">
        <v>0</v>
      </c>
      <c r="AM882" s="140">
        <v>0</v>
      </c>
      <c r="AN882" s="140">
        <v>0</v>
      </c>
      <c r="AO882" s="140">
        <v>1</v>
      </c>
      <c r="AP882" s="140">
        <v>0</v>
      </c>
      <c r="AQ882" s="140">
        <v>0</v>
      </c>
      <c r="AR882" s="140">
        <v>0</v>
      </c>
      <c r="AS882" s="140">
        <v>0</v>
      </c>
      <c r="AT882" s="140">
        <v>0</v>
      </c>
      <c r="AU882" s="140">
        <v>0</v>
      </c>
      <c r="AV882" s="140">
        <v>1</v>
      </c>
      <c r="AW882" s="140">
        <v>0</v>
      </c>
      <c r="AX882" s="140">
        <v>0</v>
      </c>
      <c r="AY882" s="140">
        <v>0</v>
      </c>
      <c r="AZ882" s="140">
        <v>0</v>
      </c>
      <c r="BA882" s="140">
        <v>0</v>
      </c>
      <c r="BB882" s="140">
        <v>0</v>
      </c>
      <c r="BC882" s="140">
        <v>0</v>
      </c>
      <c r="BD882" s="140">
        <v>0</v>
      </c>
      <c r="BE882" s="140">
        <v>0</v>
      </c>
      <c r="BF882" s="140">
        <v>0</v>
      </c>
      <c r="BG882" s="140">
        <v>0</v>
      </c>
      <c r="BH882" s="140">
        <v>0</v>
      </c>
      <c r="BI882" s="140">
        <v>0</v>
      </c>
      <c r="BJ882" s="140">
        <v>0</v>
      </c>
      <c r="BK882" s="140">
        <v>0</v>
      </c>
      <c r="BL882" s="140">
        <v>0</v>
      </c>
      <c r="BM882" s="140">
        <v>0</v>
      </c>
      <c r="BN882" s="140">
        <v>0</v>
      </c>
      <c r="BO882" s="140">
        <v>0</v>
      </c>
      <c r="BQ882" s="89"/>
      <c r="BU882" s="89"/>
      <c r="BX882" s="43">
        <v>15</v>
      </c>
      <c r="BZ882" s="90">
        <f t="shared" si="120"/>
        <v>0.33333333333333331</v>
      </c>
      <c r="CA882" s="90">
        <f t="shared" si="120"/>
        <v>0.33333333333333331</v>
      </c>
      <c r="CB882" s="90">
        <f t="shared" si="120"/>
        <v>0.33333333333333331</v>
      </c>
      <c r="CT882" s="90">
        <f t="shared" si="112"/>
        <v>1</v>
      </c>
      <c r="CU882" s="90">
        <f t="shared" si="113"/>
        <v>1</v>
      </c>
    </row>
    <row r="883" spans="1:99" ht="12" customHeight="1">
      <c r="A883" s="43">
        <v>7011</v>
      </c>
      <c r="B883" s="89" t="s">
        <v>1515</v>
      </c>
      <c r="C883" s="89" t="s">
        <v>2437</v>
      </c>
      <c r="D883" s="89" t="s">
        <v>2438</v>
      </c>
      <c r="F883" s="43">
        <v>523701</v>
      </c>
      <c r="G883" s="43">
        <v>174663</v>
      </c>
      <c r="H883" s="89" t="s">
        <v>169</v>
      </c>
      <c r="K883" s="140">
        <v>0</v>
      </c>
      <c r="L883" s="140">
        <v>1</v>
      </c>
      <c r="M883" s="140">
        <v>1</v>
      </c>
      <c r="N883" s="140">
        <v>1</v>
      </c>
      <c r="O883" s="140">
        <v>1</v>
      </c>
      <c r="Q883" s="89" t="s">
        <v>2439</v>
      </c>
      <c r="R883" s="43" t="s">
        <v>383</v>
      </c>
      <c r="S883" s="125">
        <v>43347</v>
      </c>
      <c r="T883" s="117">
        <v>43403</v>
      </c>
      <c r="U883" s="43" t="s">
        <v>329</v>
      </c>
      <c r="V883" s="43" t="s">
        <v>384</v>
      </c>
      <c r="W883" s="117">
        <v>43689</v>
      </c>
      <c r="X883" s="43" t="s">
        <v>413</v>
      </c>
      <c r="Y883" s="43" t="s">
        <v>361</v>
      </c>
      <c r="Z883" s="43" t="s">
        <v>320</v>
      </c>
      <c r="AA883" s="43" t="s">
        <v>353</v>
      </c>
      <c r="AB883" s="144">
        <v>1.09999999403954E-2</v>
      </c>
      <c r="AF883" s="43" t="s">
        <v>75</v>
      </c>
      <c r="AG883" s="43" t="s">
        <v>322</v>
      </c>
      <c r="AJ883" s="140">
        <v>0</v>
      </c>
      <c r="AK883" s="140">
        <v>1</v>
      </c>
      <c r="AL883" s="140">
        <v>0</v>
      </c>
      <c r="AM883" s="140">
        <v>0</v>
      </c>
      <c r="AN883" s="140">
        <v>0</v>
      </c>
      <c r="AO883" s="140">
        <v>0</v>
      </c>
      <c r="AP883" s="140">
        <v>1</v>
      </c>
      <c r="AQ883" s="140">
        <v>0</v>
      </c>
      <c r="AR883" s="140">
        <v>0</v>
      </c>
      <c r="AS883" s="140">
        <v>0</v>
      </c>
      <c r="AT883" s="140">
        <v>0</v>
      </c>
      <c r="AU883" s="140">
        <v>0</v>
      </c>
      <c r="AV883" s="140">
        <v>0</v>
      </c>
      <c r="AW883" s="140">
        <v>0</v>
      </c>
      <c r="AX883" s="140">
        <v>0</v>
      </c>
      <c r="AY883" s="140">
        <v>0</v>
      </c>
      <c r="AZ883" s="140">
        <v>0</v>
      </c>
      <c r="BA883" s="140">
        <v>0</v>
      </c>
      <c r="BB883" s="140">
        <v>0</v>
      </c>
      <c r="BC883" s="140">
        <v>0</v>
      </c>
      <c r="BD883" s="140">
        <v>1</v>
      </c>
      <c r="BE883" s="140">
        <v>0</v>
      </c>
      <c r="BF883" s="140">
        <v>0</v>
      </c>
      <c r="BG883" s="140">
        <v>0</v>
      </c>
      <c r="BH883" s="140">
        <v>0</v>
      </c>
      <c r="BI883" s="140">
        <v>0</v>
      </c>
      <c r="BJ883" s="140">
        <v>0</v>
      </c>
      <c r="BK883" s="140">
        <v>0</v>
      </c>
      <c r="BL883" s="140">
        <v>0</v>
      </c>
      <c r="BM883" s="140">
        <v>0</v>
      </c>
      <c r="BN883" s="140">
        <v>0</v>
      </c>
      <c r="BO883" s="140">
        <v>0</v>
      </c>
      <c r="BQ883" s="89"/>
      <c r="BU883" s="89"/>
      <c r="BX883" s="43">
        <v>6</v>
      </c>
      <c r="CA883" s="90">
        <f>$M883/4</f>
        <v>0.25</v>
      </c>
      <c r="CB883" s="90">
        <f>$M883/4</f>
        <v>0.25</v>
      </c>
      <c r="CC883" s="90">
        <f>$M883/4</f>
        <v>0.25</v>
      </c>
      <c r="CD883" s="90">
        <f>$M883/4</f>
        <v>0.25</v>
      </c>
      <c r="CT883" s="90">
        <f t="shared" si="112"/>
        <v>1</v>
      </c>
      <c r="CU883" s="90">
        <f t="shared" si="113"/>
        <v>1</v>
      </c>
    </row>
    <row r="884" spans="1:99" ht="12" customHeight="1">
      <c r="A884" s="43">
        <v>7012</v>
      </c>
      <c r="B884" s="89" t="s">
        <v>1515</v>
      </c>
      <c r="C884" s="89" t="s">
        <v>2440</v>
      </c>
      <c r="D884" s="89" t="s">
        <v>2441</v>
      </c>
      <c r="F884" s="43">
        <v>529149</v>
      </c>
      <c r="G884" s="43">
        <v>170526</v>
      </c>
      <c r="H884" s="89" t="s">
        <v>171</v>
      </c>
      <c r="K884" s="140">
        <v>0</v>
      </c>
      <c r="L884" s="140">
        <v>1</v>
      </c>
      <c r="M884" s="140">
        <v>1</v>
      </c>
      <c r="N884" s="140">
        <v>2</v>
      </c>
      <c r="O884" s="140">
        <v>1</v>
      </c>
      <c r="Q884" s="89" t="s">
        <v>2442</v>
      </c>
      <c r="R884" s="43" t="s">
        <v>316</v>
      </c>
      <c r="S884" s="125">
        <v>43670</v>
      </c>
      <c r="T884" s="117">
        <v>43707</v>
      </c>
      <c r="U884" s="43" t="s">
        <v>329</v>
      </c>
      <c r="V884" s="43" t="s">
        <v>317</v>
      </c>
      <c r="X884" s="43" t="s">
        <v>318</v>
      </c>
      <c r="Y884" s="43" t="s">
        <v>319</v>
      </c>
      <c r="Z884" s="43" t="s">
        <v>320</v>
      </c>
      <c r="AA884" s="43" t="s">
        <v>36</v>
      </c>
      <c r="AB884" s="144">
        <v>4.9999998882412902E-3</v>
      </c>
      <c r="AF884" s="43" t="s">
        <v>75</v>
      </c>
      <c r="AG884" s="43" t="s">
        <v>322</v>
      </c>
      <c r="AJ884" s="140">
        <v>0</v>
      </c>
      <c r="AK884" s="140">
        <v>0</v>
      </c>
      <c r="AL884" s="140">
        <v>0</v>
      </c>
      <c r="AM884" s="140">
        <v>0</v>
      </c>
      <c r="AN884" s="140">
        <v>0</v>
      </c>
      <c r="AO884" s="140">
        <v>0</v>
      </c>
      <c r="AP884" s="140">
        <v>1</v>
      </c>
      <c r="AQ884" s="140">
        <v>0</v>
      </c>
      <c r="AR884" s="140">
        <v>0</v>
      </c>
      <c r="AS884" s="140">
        <v>0</v>
      </c>
      <c r="AT884" s="140">
        <v>0</v>
      </c>
      <c r="AU884" s="140">
        <v>0</v>
      </c>
      <c r="AV884" s="140">
        <v>0</v>
      </c>
      <c r="AW884" s="140">
        <v>1</v>
      </c>
      <c r="AX884" s="140">
        <v>0</v>
      </c>
      <c r="AY884" s="140">
        <v>0</v>
      </c>
      <c r="AZ884" s="140">
        <v>0</v>
      </c>
      <c r="BA884" s="140">
        <v>0</v>
      </c>
      <c r="BB884" s="140">
        <v>0</v>
      </c>
      <c r="BC884" s="140">
        <v>0</v>
      </c>
      <c r="BD884" s="140">
        <v>0</v>
      </c>
      <c r="BE884" s="140">
        <v>0</v>
      </c>
      <c r="BF884" s="140">
        <v>0</v>
      </c>
      <c r="BG884" s="140">
        <v>0</v>
      </c>
      <c r="BH884" s="140">
        <v>0</v>
      </c>
      <c r="BI884" s="140">
        <v>0</v>
      </c>
      <c r="BJ884" s="140">
        <v>0</v>
      </c>
      <c r="BK884" s="140">
        <v>0</v>
      </c>
      <c r="BL884" s="140">
        <v>0</v>
      </c>
      <c r="BM884" s="140">
        <v>0</v>
      </c>
      <c r="BN884" s="140">
        <v>0</v>
      </c>
      <c r="BO884" s="140">
        <v>0</v>
      </c>
      <c r="BQ884" s="89"/>
      <c r="BU884" s="89"/>
      <c r="BX884" s="43">
        <v>15</v>
      </c>
      <c r="BZ884" s="90">
        <f t="shared" ref="BZ884:CB885" si="121">$M884/3</f>
        <v>0.33333333333333331</v>
      </c>
      <c r="CA884" s="90">
        <f t="shared" si="121"/>
        <v>0.33333333333333331</v>
      </c>
      <c r="CB884" s="90">
        <f t="shared" si="121"/>
        <v>0.33333333333333331</v>
      </c>
      <c r="CT884" s="90">
        <f t="shared" si="112"/>
        <v>1</v>
      </c>
      <c r="CU884" s="90">
        <f t="shared" si="113"/>
        <v>1</v>
      </c>
    </row>
    <row r="885" spans="1:99" ht="12" customHeight="1">
      <c r="A885" s="43">
        <v>7012</v>
      </c>
      <c r="B885" s="89" t="s">
        <v>1515</v>
      </c>
      <c r="C885" s="89" t="s">
        <v>2440</v>
      </c>
      <c r="D885" s="89" t="s">
        <v>2441</v>
      </c>
      <c r="F885" s="43">
        <v>529149</v>
      </c>
      <c r="G885" s="43">
        <v>170526</v>
      </c>
      <c r="H885" s="89" t="s">
        <v>171</v>
      </c>
      <c r="K885" s="140">
        <v>1</v>
      </c>
      <c r="L885" s="140">
        <v>1</v>
      </c>
      <c r="M885" s="140">
        <v>0</v>
      </c>
      <c r="N885" s="140">
        <v>2</v>
      </c>
      <c r="O885" s="140">
        <v>1</v>
      </c>
      <c r="Q885" s="89" t="s">
        <v>2442</v>
      </c>
      <c r="R885" s="43" t="s">
        <v>316</v>
      </c>
      <c r="S885" s="125">
        <v>43670</v>
      </c>
      <c r="T885" s="117">
        <v>43707</v>
      </c>
      <c r="U885" s="43" t="s">
        <v>329</v>
      </c>
      <c r="V885" s="43" t="s">
        <v>317</v>
      </c>
      <c r="X885" s="43" t="s">
        <v>318</v>
      </c>
      <c r="Y885" s="43" t="s">
        <v>319</v>
      </c>
      <c r="Z885" s="43" t="s">
        <v>320</v>
      </c>
      <c r="AA885" s="43" t="s">
        <v>636</v>
      </c>
      <c r="AB885" s="144">
        <v>6.0000000521540598E-3</v>
      </c>
      <c r="AF885" s="43" t="s">
        <v>75</v>
      </c>
      <c r="AG885" s="43" t="s">
        <v>322</v>
      </c>
      <c r="AJ885" s="140">
        <v>0</v>
      </c>
      <c r="AK885" s="140">
        <v>0</v>
      </c>
      <c r="AL885" s="140">
        <v>0</v>
      </c>
      <c r="AM885" s="140">
        <v>0</v>
      </c>
      <c r="AN885" s="140">
        <v>0</v>
      </c>
      <c r="AO885" s="140">
        <v>0</v>
      </c>
      <c r="AP885" s="140">
        <v>1</v>
      </c>
      <c r="AQ885" s="140">
        <v>-1</v>
      </c>
      <c r="AR885" s="140">
        <v>0</v>
      </c>
      <c r="AS885" s="140">
        <v>0</v>
      </c>
      <c r="AT885" s="140">
        <v>0</v>
      </c>
      <c r="AU885" s="140">
        <v>0</v>
      </c>
      <c r="AV885" s="140">
        <v>0</v>
      </c>
      <c r="AW885" s="140">
        <v>1</v>
      </c>
      <c r="AX885" s="140">
        <v>-1</v>
      </c>
      <c r="AY885" s="140">
        <v>0</v>
      </c>
      <c r="AZ885" s="140">
        <v>0</v>
      </c>
      <c r="BA885" s="140">
        <v>0</v>
      </c>
      <c r="BB885" s="140">
        <v>0</v>
      </c>
      <c r="BC885" s="140">
        <v>0</v>
      </c>
      <c r="BD885" s="140">
        <v>0</v>
      </c>
      <c r="BE885" s="140">
        <v>0</v>
      </c>
      <c r="BF885" s="140">
        <v>0</v>
      </c>
      <c r="BG885" s="140">
        <v>0</v>
      </c>
      <c r="BH885" s="140">
        <v>0</v>
      </c>
      <c r="BI885" s="140">
        <v>0</v>
      </c>
      <c r="BJ885" s="140">
        <v>0</v>
      </c>
      <c r="BK885" s="140">
        <v>0</v>
      </c>
      <c r="BL885" s="140">
        <v>0</v>
      </c>
      <c r="BM885" s="140">
        <v>0</v>
      </c>
      <c r="BN885" s="140">
        <v>0</v>
      </c>
      <c r="BO885" s="140">
        <v>0</v>
      </c>
      <c r="BQ885" s="89"/>
      <c r="BU885" s="89"/>
      <c r="BX885" s="43">
        <v>15</v>
      </c>
      <c r="BZ885" s="90">
        <f t="shared" si="121"/>
        <v>0</v>
      </c>
      <c r="CA885" s="90">
        <f t="shared" si="121"/>
        <v>0</v>
      </c>
      <c r="CB885" s="90">
        <f t="shared" si="121"/>
        <v>0</v>
      </c>
      <c r="CT885" s="90">
        <f t="shared" si="112"/>
        <v>0</v>
      </c>
      <c r="CU885" s="90">
        <f t="shared" si="113"/>
        <v>0</v>
      </c>
    </row>
    <row r="886" spans="1:99" ht="12" customHeight="1">
      <c r="A886" s="43">
        <v>7013</v>
      </c>
      <c r="B886" s="89" t="s">
        <v>1515</v>
      </c>
      <c r="C886" s="89" t="s">
        <v>2443</v>
      </c>
      <c r="D886" s="89" t="s">
        <v>2444</v>
      </c>
      <c r="F886" s="43">
        <v>527613</v>
      </c>
      <c r="G886" s="43">
        <v>170775</v>
      </c>
      <c r="H886" s="89" t="s">
        <v>172</v>
      </c>
      <c r="K886" s="140">
        <v>1</v>
      </c>
      <c r="L886" s="140">
        <v>1</v>
      </c>
      <c r="M886" s="140">
        <v>0</v>
      </c>
      <c r="N886" s="140">
        <v>1</v>
      </c>
      <c r="O886" s="140">
        <v>0</v>
      </c>
      <c r="Q886" s="89" t="s">
        <v>2445</v>
      </c>
      <c r="R886" s="43" t="s">
        <v>316</v>
      </c>
      <c r="S886" s="125">
        <v>43334</v>
      </c>
      <c r="T886" s="117">
        <v>43392</v>
      </c>
      <c r="V886" s="43" t="s">
        <v>317</v>
      </c>
      <c r="X886" s="43" t="s">
        <v>318</v>
      </c>
      <c r="Y886" s="43" t="s">
        <v>361</v>
      </c>
      <c r="Z886" s="43" t="s">
        <v>320</v>
      </c>
      <c r="AA886" s="43" t="s">
        <v>353</v>
      </c>
      <c r="AB886" s="144">
        <v>2.70000007003546E-2</v>
      </c>
      <c r="AF886" s="43" t="s">
        <v>75</v>
      </c>
      <c r="AG886" s="43" t="s">
        <v>322</v>
      </c>
      <c r="AJ886" s="140">
        <v>0</v>
      </c>
      <c r="AK886" s="140">
        <v>0</v>
      </c>
      <c r="AL886" s="140">
        <v>0</v>
      </c>
      <c r="AM886" s="140">
        <v>0</v>
      </c>
      <c r="AN886" s="140">
        <v>0</v>
      </c>
      <c r="AO886" s="140">
        <v>0</v>
      </c>
      <c r="AP886" s="140">
        <v>0</v>
      </c>
      <c r="AQ886" s="140">
        <v>0</v>
      </c>
      <c r="AR886" s="140">
        <v>-1</v>
      </c>
      <c r="AS886" s="140">
        <v>1</v>
      </c>
      <c r="AT886" s="140">
        <v>0</v>
      </c>
      <c r="AU886" s="140">
        <v>0</v>
      </c>
      <c r="AV886" s="140">
        <v>0</v>
      </c>
      <c r="AW886" s="140">
        <v>0</v>
      </c>
      <c r="AX886" s="140">
        <v>0</v>
      </c>
      <c r="AY886" s="140">
        <v>0</v>
      </c>
      <c r="AZ886" s="140">
        <v>0</v>
      </c>
      <c r="BA886" s="140">
        <v>0</v>
      </c>
      <c r="BB886" s="140">
        <v>0</v>
      </c>
      <c r="BC886" s="140">
        <v>0</v>
      </c>
      <c r="BD886" s="140">
        <v>0</v>
      </c>
      <c r="BE886" s="140">
        <v>0</v>
      </c>
      <c r="BF886" s="140">
        <v>-1</v>
      </c>
      <c r="BG886" s="140">
        <v>1</v>
      </c>
      <c r="BH886" s="140">
        <v>0</v>
      </c>
      <c r="BI886" s="140">
        <v>0</v>
      </c>
      <c r="BJ886" s="140">
        <v>0</v>
      </c>
      <c r="BK886" s="140">
        <v>0</v>
      </c>
      <c r="BL886" s="140">
        <v>0</v>
      </c>
      <c r="BM886" s="140">
        <v>0</v>
      </c>
      <c r="BN886" s="140">
        <v>0</v>
      </c>
      <c r="BO886" s="140">
        <v>0</v>
      </c>
      <c r="BQ886" s="89"/>
      <c r="BU886" s="89"/>
      <c r="BX886" s="43">
        <v>6</v>
      </c>
      <c r="CA886" s="90">
        <f>$M886/4</f>
        <v>0</v>
      </c>
      <c r="CB886" s="90">
        <f>$M886/4</f>
        <v>0</v>
      </c>
      <c r="CC886" s="90">
        <f>$M886/4</f>
        <v>0</v>
      </c>
      <c r="CD886" s="90">
        <f>$M886/4</f>
        <v>0</v>
      </c>
      <c r="CT886" s="90">
        <f t="shared" si="112"/>
        <v>0</v>
      </c>
      <c r="CU886" s="90">
        <f t="shared" si="113"/>
        <v>0</v>
      </c>
    </row>
    <row r="887" spans="1:99" ht="12" customHeight="1">
      <c r="A887" s="43">
        <v>7015</v>
      </c>
      <c r="B887" s="89" t="s">
        <v>1515</v>
      </c>
      <c r="C887" s="89" t="s">
        <v>2446</v>
      </c>
      <c r="D887" s="89" t="s">
        <v>2447</v>
      </c>
      <c r="E887" s="89" t="s">
        <v>2448</v>
      </c>
      <c r="F887" s="43">
        <v>526723</v>
      </c>
      <c r="G887" s="43">
        <v>176108</v>
      </c>
      <c r="H887" s="89" t="s">
        <v>177</v>
      </c>
      <c r="I887" s="125">
        <v>43646</v>
      </c>
      <c r="K887" s="140">
        <v>0</v>
      </c>
      <c r="L887" s="140">
        <v>108</v>
      </c>
      <c r="M887" s="140">
        <v>108</v>
      </c>
      <c r="N887" s="140">
        <v>168</v>
      </c>
      <c r="O887" s="140">
        <v>168</v>
      </c>
      <c r="P887" s="43" t="s">
        <v>329</v>
      </c>
      <c r="Q887" s="89" t="s">
        <v>2449</v>
      </c>
      <c r="R887" s="43" t="s">
        <v>392</v>
      </c>
      <c r="S887" s="125">
        <v>43347</v>
      </c>
      <c r="T887" s="117">
        <v>43573</v>
      </c>
      <c r="U887" s="43" t="s">
        <v>329</v>
      </c>
      <c r="V887" s="43" t="s">
        <v>317</v>
      </c>
      <c r="X887" s="43" t="s">
        <v>318</v>
      </c>
      <c r="Y887" s="43" t="s">
        <v>361</v>
      </c>
      <c r="Z887" s="43" t="s">
        <v>361</v>
      </c>
      <c r="AA887" s="43" t="s">
        <v>320</v>
      </c>
      <c r="AB887" s="144">
        <v>0.19499999284744299</v>
      </c>
      <c r="AF887" s="43" t="s">
        <v>75</v>
      </c>
      <c r="AG887" s="43" t="s">
        <v>322</v>
      </c>
      <c r="AH887" s="43" t="s">
        <v>2450</v>
      </c>
      <c r="AJ887" s="140">
        <v>0</v>
      </c>
      <c r="AK887" s="140">
        <v>157</v>
      </c>
      <c r="AL887" s="140">
        <v>0</v>
      </c>
      <c r="AM887" s="140">
        <v>5</v>
      </c>
      <c r="AN887" s="140">
        <v>0</v>
      </c>
      <c r="AO887" s="140">
        <v>27</v>
      </c>
      <c r="AP887" s="140">
        <v>60</v>
      </c>
      <c r="AQ887" s="140">
        <v>18</v>
      </c>
      <c r="AR887" s="140">
        <v>3</v>
      </c>
      <c r="AS887" s="140">
        <v>0</v>
      </c>
      <c r="AT887" s="140">
        <v>0</v>
      </c>
      <c r="AU887" s="140">
        <v>0</v>
      </c>
      <c r="AV887" s="140">
        <v>27</v>
      </c>
      <c r="AW887" s="140">
        <v>60</v>
      </c>
      <c r="AX887" s="140">
        <v>18</v>
      </c>
      <c r="AY887" s="140">
        <v>3</v>
      </c>
      <c r="AZ887" s="140">
        <v>0</v>
      </c>
      <c r="BA887" s="140">
        <v>0</v>
      </c>
      <c r="BB887" s="140">
        <v>0</v>
      </c>
      <c r="BC887" s="140">
        <v>0</v>
      </c>
      <c r="BD887" s="140">
        <v>0</v>
      </c>
      <c r="BE887" s="140">
        <v>0</v>
      </c>
      <c r="BF887" s="140">
        <v>0</v>
      </c>
      <c r="BG887" s="140">
        <v>0</v>
      </c>
      <c r="BH887" s="140">
        <v>0</v>
      </c>
      <c r="BI887" s="140">
        <v>0</v>
      </c>
      <c r="BJ887" s="140">
        <v>0</v>
      </c>
      <c r="BK887" s="140">
        <v>0</v>
      </c>
      <c r="BL887" s="140">
        <v>0</v>
      </c>
      <c r="BM887" s="140">
        <v>0</v>
      </c>
      <c r="BN887" s="140">
        <v>0</v>
      </c>
      <c r="BO887" s="140">
        <v>0</v>
      </c>
      <c r="BQ887" s="89"/>
      <c r="BU887" s="89"/>
      <c r="BX887" s="43">
        <v>7</v>
      </c>
      <c r="CD887" s="90">
        <f>M887</f>
        <v>108</v>
      </c>
      <c r="CT887" s="90">
        <f t="shared" si="112"/>
        <v>108</v>
      </c>
      <c r="CU887" s="90">
        <f t="shared" si="113"/>
        <v>108</v>
      </c>
    </row>
    <row r="888" spans="1:99" ht="12" customHeight="1">
      <c r="A888" s="43">
        <v>7015</v>
      </c>
      <c r="B888" s="89" t="s">
        <v>1515</v>
      </c>
      <c r="C888" s="89" t="s">
        <v>2446</v>
      </c>
      <c r="D888" s="89" t="s">
        <v>2447</v>
      </c>
      <c r="E888" s="89" t="s">
        <v>2451</v>
      </c>
      <c r="F888" s="43">
        <v>526723</v>
      </c>
      <c r="G888" s="43">
        <v>176108</v>
      </c>
      <c r="H888" s="89" t="s">
        <v>177</v>
      </c>
      <c r="I888" s="125">
        <v>43646</v>
      </c>
      <c r="K888" s="140">
        <v>0</v>
      </c>
      <c r="L888" s="140">
        <v>21</v>
      </c>
      <c r="M888" s="140">
        <v>21</v>
      </c>
      <c r="N888" s="140">
        <v>168</v>
      </c>
      <c r="O888" s="140">
        <v>168</v>
      </c>
      <c r="P888" s="43" t="s">
        <v>329</v>
      </c>
      <c r="Q888" s="89" t="s">
        <v>2449</v>
      </c>
      <c r="R888" s="43" t="s">
        <v>392</v>
      </c>
      <c r="S888" s="125">
        <v>43347</v>
      </c>
      <c r="T888" s="117">
        <v>43573</v>
      </c>
      <c r="U888" s="43" t="s">
        <v>329</v>
      </c>
      <c r="V888" s="43" t="s">
        <v>317</v>
      </c>
      <c r="X888" s="43" t="s">
        <v>318</v>
      </c>
      <c r="Y888" s="43" t="s">
        <v>361</v>
      </c>
      <c r="Z888" s="43" t="s">
        <v>361</v>
      </c>
      <c r="AA888" s="43" t="s">
        <v>320</v>
      </c>
      <c r="AB888" s="144">
        <v>3.7999998778104803E-2</v>
      </c>
      <c r="AF888" s="43" t="s">
        <v>54</v>
      </c>
      <c r="AG888" s="43" t="s">
        <v>1659</v>
      </c>
      <c r="AH888" s="43" t="s">
        <v>2450</v>
      </c>
      <c r="AJ888" s="140">
        <v>0</v>
      </c>
      <c r="AK888" s="140">
        <v>0</v>
      </c>
      <c r="AL888" s="140">
        <v>0</v>
      </c>
      <c r="AM888" s="140">
        <v>2</v>
      </c>
      <c r="AN888" s="140">
        <v>0</v>
      </c>
      <c r="AO888" s="140">
        <v>4</v>
      </c>
      <c r="AP888" s="140">
        <v>14</v>
      </c>
      <c r="AQ888" s="140">
        <v>3</v>
      </c>
      <c r="AR888" s="140">
        <v>0</v>
      </c>
      <c r="AS888" s="140">
        <v>0</v>
      </c>
      <c r="AT888" s="140">
        <v>0</v>
      </c>
      <c r="AU888" s="140">
        <v>0</v>
      </c>
      <c r="AV888" s="140">
        <v>4</v>
      </c>
      <c r="AW888" s="140">
        <v>14</v>
      </c>
      <c r="AX888" s="140">
        <v>3</v>
      </c>
      <c r="AY888" s="140">
        <v>0</v>
      </c>
      <c r="AZ888" s="140">
        <v>0</v>
      </c>
      <c r="BA888" s="140">
        <v>0</v>
      </c>
      <c r="BB888" s="140">
        <v>0</v>
      </c>
      <c r="BC888" s="140">
        <v>0</v>
      </c>
      <c r="BD888" s="140">
        <v>0</v>
      </c>
      <c r="BE888" s="140">
        <v>0</v>
      </c>
      <c r="BF888" s="140">
        <v>0</v>
      </c>
      <c r="BG888" s="140">
        <v>0</v>
      </c>
      <c r="BH888" s="140">
        <v>0</v>
      </c>
      <c r="BI888" s="140">
        <v>0</v>
      </c>
      <c r="BJ888" s="140">
        <v>0</v>
      </c>
      <c r="BK888" s="140">
        <v>0</v>
      </c>
      <c r="BL888" s="140">
        <v>0</v>
      </c>
      <c r="BM888" s="140">
        <v>0</v>
      </c>
      <c r="BN888" s="140">
        <v>0</v>
      </c>
      <c r="BO888" s="140">
        <v>0</v>
      </c>
      <c r="BQ888" s="89"/>
      <c r="BU888" s="89"/>
      <c r="BX888" s="43">
        <v>7</v>
      </c>
      <c r="CD888" s="90">
        <f>M888</f>
        <v>21</v>
      </c>
      <c r="CT888" s="90">
        <f t="shared" si="112"/>
        <v>21</v>
      </c>
      <c r="CU888" s="90">
        <f t="shared" si="113"/>
        <v>21</v>
      </c>
    </row>
    <row r="889" spans="1:99" ht="12" customHeight="1">
      <c r="A889" s="43">
        <v>7015</v>
      </c>
      <c r="B889" s="89" t="s">
        <v>1515</v>
      </c>
      <c r="C889" s="89" t="s">
        <v>2446</v>
      </c>
      <c r="D889" s="89" t="s">
        <v>2447</v>
      </c>
      <c r="E889" s="89" t="s">
        <v>2452</v>
      </c>
      <c r="F889" s="43">
        <v>526723</v>
      </c>
      <c r="G889" s="43">
        <v>176108</v>
      </c>
      <c r="H889" s="89" t="s">
        <v>177</v>
      </c>
      <c r="I889" s="125">
        <v>43646</v>
      </c>
      <c r="K889" s="140">
        <v>0</v>
      </c>
      <c r="L889" s="140">
        <v>39</v>
      </c>
      <c r="M889" s="140">
        <v>39</v>
      </c>
      <c r="N889" s="140">
        <v>168</v>
      </c>
      <c r="O889" s="140">
        <v>168</v>
      </c>
      <c r="P889" s="43" t="s">
        <v>329</v>
      </c>
      <c r="Q889" s="89" t="s">
        <v>2449</v>
      </c>
      <c r="R889" s="43" t="s">
        <v>392</v>
      </c>
      <c r="S889" s="125">
        <v>43347</v>
      </c>
      <c r="T889" s="117">
        <v>43573</v>
      </c>
      <c r="U889" s="43" t="s">
        <v>329</v>
      </c>
      <c r="V889" s="43" t="s">
        <v>317</v>
      </c>
      <c r="X889" s="43" t="s">
        <v>318</v>
      </c>
      <c r="Y889" s="43" t="s">
        <v>361</v>
      </c>
      <c r="Z889" s="43" t="s">
        <v>361</v>
      </c>
      <c r="AA889" s="43" t="s">
        <v>320</v>
      </c>
      <c r="AB889" s="144">
        <v>7.1000002324581105E-2</v>
      </c>
      <c r="AF889" s="43" t="s">
        <v>55</v>
      </c>
      <c r="AG889" s="43" t="s">
        <v>457</v>
      </c>
      <c r="AH889" s="43" t="s">
        <v>2450</v>
      </c>
      <c r="AJ889" s="140">
        <v>0</v>
      </c>
      <c r="AK889" s="140">
        <v>0</v>
      </c>
      <c r="AL889" s="140">
        <v>0</v>
      </c>
      <c r="AM889" s="140">
        <v>4</v>
      </c>
      <c r="AN889" s="140">
        <v>0</v>
      </c>
      <c r="AO889" s="140">
        <v>7</v>
      </c>
      <c r="AP889" s="140">
        <v>26</v>
      </c>
      <c r="AQ889" s="140">
        <v>6</v>
      </c>
      <c r="AR889" s="140">
        <v>0</v>
      </c>
      <c r="AS889" s="140">
        <v>0</v>
      </c>
      <c r="AT889" s="140">
        <v>0</v>
      </c>
      <c r="AU889" s="140">
        <v>0</v>
      </c>
      <c r="AV889" s="140">
        <v>7</v>
      </c>
      <c r="AW889" s="140">
        <v>26</v>
      </c>
      <c r="AX889" s="140">
        <v>6</v>
      </c>
      <c r="AY889" s="140">
        <v>0</v>
      </c>
      <c r="AZ889" s="140">
        <v>0</v>
      </c>
      <c r="BA889" s="140">
        <v>0</v>
      </c>
      <c r="BB889" s="140">
        <v>0</v>
      </c>
      <c r="BC889" s="140">
        <v>0</v>
      </c>
      <c r="BD889" s="140">
        <v>0</v>
      </c>
      <c r="BE889" s="140">
        <v>0</v>
      </c>
      <c r="BF889" s="140">
        <v>0</v>
      </c>
      <c r="BG889" s="140">
        <v>0</v>
      </c>
      <c r="BH889" s="140">
        <v>0</v>
      </c>
      <c r="BI889" s="140">
        <v>0</v>
      </c>
      <c r="BJ889" s="140">
        <v>0</v>
      </c>
      <c r="BK889" s="140">
        <v>0</v>
      </c>
      <c r="BL889" s="140">
        <v>0</v>
      </c>
      <c r="BM889" s="140">
        <v>0</v>
      </c>
      <c r="BN889" s="140">
        <v>0</v>
      </c>
      <c r="BO889" s="140">
        <v>0</v>
      </c>
      <c r="BQ889" s="89"/>
      <c r="BU889" s="89"/>
      <c r="BX889" s="43">
        <v>7</v>
      </c>
      <c r="CD889" s="90">
        <f>M889</f>
        <v>39</v>
      </c>
      <c r="CT889" s="90">
        <f t="shared" si="112"/>
        <v>39</v>
      </c>
      <c r="CU889" s="90">
        <f t="shared" si="113"/>
        <v>39</v>
      </c>
    </row>
    <row r="890" spans="1:99" ht="12" customHeight="1">
      <c r="A890" s="43">
        <v>7024</v>
      </c>
      <c r="B890" s="89" t="s">
        <v>1515</v>
      </c>
      <c r="C890" s="89" t="s">
        <v>2453</v>
      </c>
      <c r="D890" s="89" t="s">
        <v>2454</v>
      </c>
      <c r="F890" s="43">
        <v>526226</v>
      </c>
      <c r="G890" s="43">
        <v>174119</v>
      </c>
      <c r="H890" s="89" t="s">
        <v>179</v>
      </c>
      <c r="K890" s="140">
        <v>5</v>
      </c>
      <c r="L890" s="140">
        <v>5</v>
      </c>
      <c r="M890" s="140">
        <v>0</v>
      </c>
      <c r="N890" s="140">
        <v>5</v>
      </c>
      <c r="O890" s="140">
        <v>0</v>
      </c>
      <c r="Q890" s="89" t="s">
        <v>2455</v>
      </c>
      <c r="R890" s="43" t="s">
        <v>316</v>
      </c>
      <c r="S890" s="125">
        <v>43607</v>
      </c>
      <c r="T890" s="117">
        <v>43767</v>
      </c>
      <c r="U890" s="43" t="s">
        <v>329</v>
      </c>
      <c r="V890" s="43" t="s">
        <v>317</v>
      </c>
      <c r="X890" s="43" t="s">
        <v>318</v>
      </c>
      <c r="Y890" s="43" t="s">
        <v>348</v>
      </c>
      <c r="Z890" s="43" t="s">
        <v>320</v>
      </c>
      <c r="AA890" s="43" t="s">
        <v>321</v>
      </c>
      <c r="AB890" s="144">
        <v>4.39999997615814E-2</v>
      </c>
      <c r="AF890" s="43" t="s">
        <v>75</v>
      </c>
      <c r="AG890" s="43" t="s">
        <v>322</v>
      </c>
      <c r="AJ890" s="140">
        <v>0</v>
      </c>
      <c r="AK890" s="140">
        <v>0</v>
      </c>
      <c r="AL890" s="140">
        <v>0</v>
      </c>
      <c r="AM890" s="140">
        <v>0</v>
      </c>
      <c r="AN890" s="140">
        <v>-1</v>
      </c>
      <c r="AO890" s="140">
        <v>-1</v>
      </c>
      <c r="AP890" s="140">
        <v>2</v>
      </c>
      <c r="AQ890" s="140">
        <v>0</v>
      </c>
      <c r="AR890" s="140">
        <v>0</v>
      </c>
      <c r="AS890" s="140">
        <v>0</v>
      </c>
      <c r="AT890" s="140">
        <v>0</v>
      </c>
      <c r="AU890" s="140">
        <v>-1</v>
      </c>
      <c r="AV890" s="140">
        <v>-1</v>
      </c>
      <c r="AW890" s="140">
        <v>2</v>
      </c>
      <c r="AX890" s="140">
        <v>0</v>
      </c>
      <c r="AY890" s="140">
        <v>0</v>
      </c>
      <c r="AZ890" s="140">
        <v>0</v>
      </c>
      <c r="BA890" s="140">
        <v>0</v>
      </c>
      <c r="BB890" s="140">
        <v>0</v>
      </c>
      <c r="BC890" s="140">
        <v>0</v>
      </c>
      <c r="BD890" s="140">
        <v>0</v>
      </c>
      <c r="BE890" s="140">
        <v>0</v>
      </c>
      <c r="BF890" s="140">
        <v>0</v>
      </c>
      <c r="BG890" s="140">
        <v>0</v>
      </c>
      <c r="BH890" s="140">
        <v>0</v>
      </c>
      <c r="BI890" s="140">
        <v>0</v>
      </c>
      <c r="BJ890" s="140">
        <v>0</v>
      </c>
      <c r="BK890" s="140">
        <v>0</v>
      </c>
      <c r="BL890" s="140">
        <v>0</v>
      </c>
      <c r="BM890" s="140">
        <v>0</v>
      </c>
      <c r="BN890" s="140">
        <v>0</v>
      </c>
      <c r="BO890" s="140">
        <v>0</v>
      </c>
      <c r="BQ890" s="89"/>
      <c r="BU890" s="89"/>
      <c r="BX890" s="43">
        <v>15</v>
      </c>
      <c r="BZ890" s="90">
        <f t="shared" ref="BZ890:CB898" si="122">$M890/3</f>
        <v>0</v>
      </c>
      <c r="CA890" s="90">
        <f t="shared" si="122"/>
        <v>0</v>
      </c>
      <c r="CB890" s="90">
        <f t="shared" si="122"/>
        <v>0</v>
      </c>
      <c r="CT890" s="90">
        <f t="shared" si="112"/>
        <v>0</v>
      </c>
      <c r="CU890" s="90">
        <f t="shared" si="113"/>
        <v>0</v>
      </c>
    </row>
    <row r="891" spans="1:99" ht="12" customHeight="1">
      <c r="A891" s="43">
        <v>7025</v>
      </c>
      <c r="B891" s="89" t="s">
        <v>1515</v>
      </c>
      <c r="C891" s="89" t="s">
        <v>2456</v>
      </c>
      <c r="D891" s="89" t="s">
        <v>2457</v>
      </c>
      <c r="E891" s="89" t="s">
        <v>2458</v>
      </c>
      <c r="F891" s="43">
        <v>528764</v>
      </c>
      <c r="G891" s="43">
        <v>173063</v>
      </c>
      <c r="H891" s="89" t="s">
        <v>167</v>
      </c>
      <c r="K891" s="140">
        <v>0</v>
      </c>
      <c r="L891" s="140">
        <v>1</v>
      </c>
      <c r="M891" s="140">
        <v>1</v>
      </c>
      <c r="N891" s="140">
        <v>2</v>
      </c>
      <c r="O891" s="140">
        <v>2</v>
      </c>
      <c r="Q891" s="89" t="s">
        <v>2459</v>
      </c>
      <c r="R891" s="43" t="s">
        <v>316</v>
      </c>
      <c r="S891" s="125">
        <v>43371</v>
      </c>
      <c r="T891" s="117">
        <v>43427</v>
      </c>
      <c r="V891" s="43" t="s">
        <v>317</v>
      </c>
      <c r="X891" s="43" t="s">
        <v>318</v>
      </c>
      <c r="Y891" s="43" t="s">
        <v>379</v>
      </c>
      <c r="Z891" s="43" t="s">
        <v>320</v>
      </c>
      <c r="AA891" s="43" t="s">
        <v>340</v>
      </c>
      <c r="AB891" s="144">
        <v>7.0000002160668399E-3</v>
      </c>
      <c r="AF891" s="43" t="s">
        <v>75</v>
      </c>
      <c r="AG891" s="43" t="s">
        <v>322</v>
      </c>
      <c r="AJ891" s="140">
        <v>0</v>
      </c>
      <c r="AK891" s="140">
        <v>0</v>
      </c>
      <c r="AL891" s="140">
        <v>0</v>
      </c>
      <c r="AM891" s="140">
        <v>0</v>
      </c>
      <c r="AN891" s="140">
        <v>0</v>
      </c>
      <c r="AO891" s="140">
        <v>0</v>
      </c>
      <c r="AP891" s="140">
        <v>1</v>
      </c>
      <c r="AQ891" s="140">
        <v>0</v>
      </c>
      <c r="AR891" s="140">
        <v>0</v>
      </c>
      <c r="AS891" s="140">
        <v>0</v>
      </c>
      <c r="AT891" s="140">
        <v>0</v>
      </c>
      <c r="AU891" s="140">
        <v>0</v>
      </c>
      <c r="AV891" s="140">
        <v>0</v>
      </c>
      <c r="AW891" s="140">
        <v>1</v>
      </c>
      <c r="AX891" s="140">
        <v>0</v>
      </c>
      <c r="AY891" s="140">
        <v>0</v>
      </c>
      <c r="AZ891" s="140">
        <v>0</v>
      </c>
      <c r="BA891" s="140">
        <v>0</v>
      </c>
      <c r="BB891" s="140">
        <v>0</v>
      </c>
      <c r="BC891" s="140">
        <v>0</v>
      </c>
      <c r="BD891" s="140">
        <v>0</v>
      </c>
      <c r="BE891" s="140">
        <v>0</v>
      </c>
      <c r="BF891" s="140">
        <v>0</v>
      </c>
      <c r="BG891" s="140">
        <v>0</v>
      </c>
      <c r="BH891" s="140">
        <v>0</v>
      </c>
      <c r="BI891" s="140">
        <v>0</v>
      </c>
      <c r="BJ891" s="140">
        <v>0</v>
      </c>
      <c r="BK891" s="140">
        <v>0</v>
      </c>
      <c r="BL891" s="140">
        <v>0</v>
      </c>
      <c r="BM891" s="140">
        <v>0</v>
      </c>
      <c r="BN891" s="140">
        <v>0</v>
      </c>
      <c r="BO891" s="140">
        <v>0</v>
      </c>
      <c r="BQ891" s="89"/>
      <c r="BU891" s="89"/>
      <c r="BX891" s="43">
        <v>15</v>
      </c>
      <c r="BZ891" s="90">
        <f t="shared" si="122"/>
        <v>0.33333333333333331</v>
      </c>
      <c r="CA891" s="90">
        <f t="shared" si="122"/>
        <v>0.33333333333333331</v>
      </c>
      <c r="CB891" s="90">
        <f t="shared" si="122"/>
        <v>0.33333333333333331</v>
      </c>
      <c r="CT891" s="90">
        <f t="shared" si="112"/>
        <v>1</v>
      </c>
      <c r="CU891" s="90">
        <f t="shared" si="113"/>
        <v>1</v>
      </c>
    </row>
    <row r="892" spans="1:99" ht="12" customHeight="1">
      <c r="A892" s="43">
        <v>7025</v>
      </c>
      <c r="B892" s="89" t="s">
        <v>1515</v>
      </c>
      <c r="C892" s="89" t="s">
        <v>2456</v>
      </c>
      <c r="D892" s="89" t="s">
        <v>2457</v>
      </c>
      <c r="E892" s="89" t="s">
        <v>2460</v>
      </c>
      <c r="F892" s="43">
        <v>528764</v>
      </c>
      <c r="G892" s="43">
        <v>173063</v>
      </c>
      <c r="H892" s="89" t="s">
        <v>167</v>
      </c>
      <c r="K892" s="140">
        <v>0</v>
      </c>
      <c r="L892" s="140">
        <v>1</v>
      </c>
      <c r="M892" s="140">
        <v>1</v>
      </c>
      <c r="N892" s="140">
        <v>2</v>
      </c>
      <c r="O892" s="140">
        <v>2</v>
      </c>
      <c r="Q892" s="89" t="s">
        <v>2459</v>
      </c>
      <c r="R892" s="43" t="s">
        <v>316</v>
      </c>
      <c r="S892" s="125">
        <v>43371</v>
      </c>
      <c r="T892" s="117">
        <v>43427</v>
      </c>
      <c r="V892" s="43" t="s">
        <v>317</v>
      </c>
      <c r="X892" s="43" t="s">
        <v>318</v>
      </c>
      <c r="Y892" s="43" t="s">
        <v>379</v>
      </c>
      <c r="Z892" s="43" t="s">
        <v>320</v>
      </c>
      <c r="AA892" s="43" t="s">
        <v>340</v>
      </c>
      <c r="AB892" s="144">
        <v>8.0000003799796104E-3</v>
      </c>
      <c r="AF892" s="43" t="s">
        <v>75</v>
      </c>
      <c r="AG892" s="43" t="s">
        <v>322</v>
      </c>
      <c r="AJ892" s="140">
        <v>0</v>
      </c>
      <c r="AK892" s="140">
        <v>0</v>
      </c>
      <c r="AL892" s="140">
        <v>0</v>
      </c>
      <c r="AM892" s="140">
        <v>0</v>
      </c>
      <c r="AN892" s="140">
        <v>0</v>
      </c>
      <c r="AO892" s="140">
        <v>0</v>
      </c>
      <c r="AP892" s="140">
        <v>1</v>
      </c>
      <c r="AQ892" s="140">
        <v>0</v>
      </c>
      <c r="AR892" s="140">
        <v>0</v>
      </c>
      <c r="AS892" s="140">
        <v>0</v>
      </c>
      <c r="AT892" s="140">
        <v>0</v>
      </c>
      <c r="AU892" s="140">
        <v>0</v>
      </c>
      <c r="AV892" s="140">
        <v>0</v>
      </c>
      <c r="AW892" s="140">
        <v>1</v>
      </c>
      <c r="AX892" s="140">
        <v>0</v>
      </c>
      <c r="AY892" s="140">
        <v>0</v>
      </c>
      <c r="AZ892" s="140">
        <v>0</v>
      </c>
      <c r="BA892" s="140">
        <v>0</v>
      </c>
      <c r="BB892" s="140">
        <v>0</v>
      </c>
      <c r="BC892" s="140">
        <v>0</v>
      </c>
      <c r="BD892" s="140">
        <v>0</v>
      </c>
      <c r="BE892" s="140">
        <v>0</v>
      </c>
      <c r="BF892" s="140">
        <v>0</v>
      </c>
      <c r="BG892" s="140">
        <v>0</v>
      </c>
      <c r="BH892" s="140">
        <v>0</v>
      </c>
      <c r="BI892" s="140">
        <v>0</v>
      </c>
      <c r="BJ892" s="140">
        <v>0</v>
      </c>
      <c r="BK892" s="140">
        <v>0</v>
      </c>
      <c r="BL892" s="140">
        <v>0</v>
      </c>
      <c r="BM892" s="140">
        <v>0</v>
      </c>
      <c r="BN892" s="140">
        <v>0</v>
      </c>
      <c r="BO892" s="140">
        <v>0</v>
      </c>
      <c r="BQ892" s="89"/>
      <c r="BU892" s="89"/>
      <c r="BX892" s="43">
        <v>15</v>
      </c>
      <c r="BZ892" s="90">
        <f t="shared" si="122"/>
        <v>0.33333333333333331</v>
      </c>
      <c r="CA892" s="90">
        <f t="shared" si="122"/>
        <v>0.33333333333333331</v>
      </c>
      <c r="CB892" s="90">
        <f t="shared" si="122"/>
        <v>0.33333333333333331</v>
      </c>
      <c r="CT892" s="90">
        <f t="shared" si="112"/>
        <v>1</v>
      </c>
      <c r="CU892" s="90">
        <f t="shared" si="113"/>
        <v>1</v>
      </c>
    </row>
    <row r="893" spans="1:99" ht="12" customHeight="1">
      <c r="A893" s="43">
        <v>7027</v>
      </c>
      <c r="B893" s="89" t="s">
        <v>1515</v>
      </c>
      <c r="C893" s="89" t="s">
        <v>2461</v>
      </c>
      <c r="D893" s="89" t="s">
        <v>2462</v>
      </c>
      <c r="F893" s="43">
        <v>527173</v>
      </c>
      <c r="G893" s="43">
        <v>171043</v>
      </c>
      <c r="H893" s="89" t="s">
        <v>141</v>
      </c>
      <c r="K893" s="140">
        <v>0</v>
      </c>
      <c r="L893" s="140">
        <v>1</v>
      </c>
      <c r="M893" s="140">
        <v>1</v>
      </c>
      <c r="N893" s="140">
        <v>1</v>
      </c>
      <c r="O893" s="140">
        <v>1</v>
      </c>
      <c r="Q893" s="89" t="s">
        <v>2463</v>
      </c>
      <c r="R893" s="43" t="s">
        <v>316</v>
      </c>
      <c r="S893" s="125">
        <v>43374</v>
      </c>
      <c r="T893" s="117">
        <v>43488</v>
      </c>
      <c r="V893" s="43" t="s">
        <v>317</v>
      </c>
      <c r="X893" s="43" t="s">
        <v>318</v>
      </c>
      <c r="Y893" s="43" t="s">
        <v>319</v>
      </c>
      <c r="Z893" s="43" t="s">
        <v>320</v>
      </c>
      <c r="AA893" s="43" t="s">
        <v>340</v>
      </c>
      <c r="AB893" s="144">
        <v>0</v>
      </c>
      <c r="AF893" s="43" t="s">
        <v>75</v>
      </c>
      <c r="AG893" s="43" t="s">
        <v>322</v>
      </c>
      <c r="AJ893" s="140">
        <v>0</v>
      </c>
      <c r="AK893" s="140">
        <v>0</v>
      </c>
      <c r="AL893" s="140">
        <v>0</v>
      </c>
      <c r="AM893" s="140">
        <v>0</v>
      </c>
      <c r="AN893" s="140">
        <v>0</v>
      </c>
      <c r="AO893" s="140">
        <v>1</v>
      </c>
      <c r="AP893" s="140">
        <v>0</v>
      </c>
      <c r="AQ893" s="140">
        <v>0</v>
      </c>
      <c r="AR893" s="140">
        <v>0</v>
      </c>
      <c r="AS893" s="140">
        <v>0</v>
      </c>
      <c r="AT893" s="140">
        <v>0</v>
      </c>
      <c r="AU893" s="140">
        <v>0</v>
      </c>
      <c r="AV893" s="140">
        <v>1</v>
      </c>
      <c r="AW893" s="140">
        <v>0</v>
      </c>
      <c r="AX893" s="140">
        <v>0</v>
      </c>
      <c r="AY893" s="140">
        <v>0</v>
      </c>
      <c r="AZ893" s="140">
        <v>0</v>
      </c>
      <c r="BA893" s="140">
        <v>0</v>
      </c>
      <c r="BB893" s="140">
        <v>0</v>
      </c>
      <c r="BC893" s="140">
        <v>0</v>
      </c>
      <c r="BD893" s="140">
        <v>0</v>
      </c>
      <c r="BE893" s="140">
        <v>0</v>
      </c>
      <c r="BF893" s="140">
        <v>0</v>
      </c>
      <c r="BG893" s="140">
        <v>0</v>
      </c>
      <c r="BH893" s="140">
        <v>0</v>
      </c>
      <c r="BI893" s="140">
        <v>0</v>
      </c>
      <c r="BJ893" s="140">
        <v>0</v>
      </c>
      <c r="BK893" s="140">
        <v>0</v>
      </c>
      <c r="BL893" s="140">
        <v>0</v>
      </c>
      <c r="BM893" s="140">
        <v>0</v>
      </c>
      <c r="BN893" s="140">
        <v>0</v>
      </c>
      <c r="BO893" s="140">
        <v>0</v>
      </c>
      <c r="BQ893" s="89"/>
      <c r="BU893" s="89"/>
      <c r="BX893" s="43">
        <v>15</v>
      </c>
      <c r="BZ893" s="90">
        <f t="shared" si="122"/>
        <v>0.33333333333333331</v>
      </c>
      <c r="CA893" s="90">
        <f t="shared" si="122"/>
        <v>0.33333333333333331</v>
      </c>
      <c r="CB893" s="90">
        <f t="shared" si="122"/>
        <v>0.33333333333333331</v>
      </c>
      <c r="CT893" s="90">
        <f t="shared" si="112"/>
        <v>1</v>
      </c>
      <c r="CU893" s="90">
        <f t="shared" si="113"/>
        <v>1</v>
      </c>
    </row>
    <row r="894" spans="1:99" ht="12" customHeight="1">
      <c r="A894" s="43">
        <v>7028</v>
      </c>
      <c r="B894" s="89" t="s">
        <v>1515</v>
      </c>
      <c r="C894" s="89" t="s">
        <v>2464</v>
      </c>
      <c r="D894" s="89" t="s">
        <v>2465</v>
      </c>
      <c r="F894" s="43">
        <v>522426</v>
      </c>
      <c r="G894" s="43">
        <v>175419</v>
      </c>
      <c r="H894" s="89" t="s">
        <v>181</v>
      </c>
      <c r="K894" s="140">
        <v>0</v>
      </c>
      <c r="L894" s="140">
        <v>2</v>
      </c>
      <c r="M894" s="140">
        <v>2</v>
      </c>
      <c r="N894" s="140">
        <v>2</v>
      </c>
      <c r="O894" s="140">
        <v>2</v>
      </c>
      <c r="Q894" s="89" t="s">
        <v>2466</v>
      </c>
      <c r="R894" s="43" t="s">
        <v>316</v>
      </c>
      <c r="S894" s="125">
        <v>43608</v>
      </c>
      <c r="T894" s="117">
        <v>43909</v>
      </c>
      <c r="U894" s="43" t="s">
        <v>329</v>
      </c>
      <c r="V894" s="43" t="s">
        <v>317</v>
      </c>
      <c r="X894" s="43" t="s">
        <v>318</v>
      </c>
      <c r="Y894" s="43" t="s">
        <v>319</v>
      </c>
      <c r="Z894" s="43" t="s">
        <v>320</v>
      </c>
      <c r="AA894" s="43" t="s">
        <v>340</v>
      </c>
      <c r="AB894" s="144">
        <v>8.0000003799796104E-3</v>
      </c>
      <c r="AF894" s="43" t="s">
        <v>75</v>
      </c>
      <c r="AG894" s="43" t="s">
        <v>322</v>
      </c>
      <c r="AJ894" s="140">
        <v>0</v>
      </c>
      <c r="AK894" s="140">
        <v>0</v>
      </c>
      <c r="AL894" s="140">
        <v>0</v>
      </c>
      <c r="AM894" s="140">
        <v>0</v>
      </c>
      <c r="AN894" s="140">
        <v>0</v>
      </c>
      <c r="AO894" s="140">
        <v>2</v>
      </c>
      <c r="AP894" s="140">
        <v>0</v>
      </c>
      <c r="AQ894" s="140">
        <v>0</v>
      </c>
      <c r="AR894" s="140">
        <v>0</v>
      </c>
      <c r="AS894" s="140">
        <v>0</v>
      </c>
      <c r="AT894" s="140">
        <v>0</v>
      </c>
      <c r="AU894" s="140">
        <v>0</v>
      </c>
      <c r="AV894" s="140">
        <v>2</v>
      </c>
      <c r="AW894" s="140">
        <v>0</v>
      </c>
      <c r="AX894" s="140">
        <v>0</v>
      </c>
      <c r="AY894" s="140">
        <v>0</v>
      </c>
      <c r="AZ894" s="140">
        <v>0</v>
      </c>
      <c r="BA894" s="140">
        <v>0</v>
      </c>
      <c r="BB894" s="140">
        <v>0</v>
      </c>
      <c r="BC894" s="140">
        <v>0</v>
      </c>
      <c r="BD894" s="140">
        <v>0</v>
      </c>
      <c r="BE894" s="140">
        <v>0</v>
      </c>
      <c r="BF894" s="140">
        <v>0</v>
      </c>
      <c r="BG894" s="140">
        <v>0</v>
      </c>
      <c r="BH894" s="140">
        <v>0</v>
      </c>
      <c r="BI894" s="140">
        <v>0</v>
      </c>
      <c r="BJ894" s="140">
        <v>0</v>
      </c>
      <c r="BK894" s="140">
        <v>0</v>
      </c>
      <c r="BL894" s="140">
        <v>0</v>
      </c>
      <c r="BM894" s="140">
        <v>0</v>
      </c>
      <c r="BN894" s="140">
        <v>0</v>
      </c>
      <c r="BO894" s="140">
        <v>0</v>
      </c>
      <c r="BQ894" s="89"/>
      <c r="BU894" s="89"/>
      <c r="BX894" s="43">
        <v>15</v>
      </c>
      <c r="BZ894" s="90">
        <f t="shared" si="122"/>
        <v>0.66666666666666663</v>
      </c>
      <c r="CA894" s="90">
        <f t="shared" si="122"/>
        <v>0.66666666666666663</v>
      </c>
      <c r="CB894" s="90">
        <f t="shared" si="122"/>
        <v>0.66666666666666663</v>
      </c>
      <c r="CT894" s="90">
        <f t="shared" si="112"/>
        <v>2</v>
      </c>
      <c r="CU894" s="90">
        <f t="shared" si="113"/>
        <v>2</v>
      </c>
    </row>
    <row r="895" spans="1:99" ht="12" customHeight="1">
      <c r="A895" s="43">
        <v>7034</v>
      </c>
      <c r="B895" s="89" t="s">
        <v>1515</v>
      </c>
      <c r="C895" s="89" t="s">
        <v>2467</v>
      </c>
      <c r="D895" s="89" t="s">
        <v>2468</v>
      </c>
      <c r="F895" s="43">
        <v>527877</v>
      </c>
      <c r="G895" s="43">
        <v>175239</v>
      </c>
      <c r="H895" s="89" t="s">
        <v>175</v>
      </c>
      <c r="K895" s="140">
        <v>1</v>
      </c>
      <c r="L895" s="140">
        <v>0</v>
      </c>
      <c r="M895" s="140">
        <v>-1</v>
      </c>
      <c r="N895" s="140">
        <v>0</v>
      </c>
      <c r="O895" s="140">
        <v>-1</v>
      </c>
      <c r="Q895" s="89" t="s">
        <v>2469</v>
      </c>
      <c r="R895" s="43" t="s">
        <v>316</v>
      </c>
      <c r="S895" s="125">
        <v>43396</v>
      </c>
      <c r="T895" s="117">
        <v>43452</v>
      </c>
      <c r="V895" s="43" t="s">
        <v>317</v>
      </c>
      <c r="X895" s="43" t="s">
        <v>318</v>
      </c>
      <c r="Y895" s="43" t="s">
        <v>336</v>
      </c>
      <c r="Z895" s="43" t="s">
        <v>320</v>
      </c>
      <c r="AA895" s="43" t="s">
        <v>39</v>
      </c>
      <c r="AB895" s="144">
        <v>1.2000000104308101E-2</v>
      </c>
      <c r="AF895" s="43" t="s">
        <v>75</v>
      </c>
      <c r="AG895" s="43" t="s">
        <v>322</v>
      </c>
      <c r="AJ895" s="140">
        <v>0</v>
      </c>
      <c r="AK895" s="140">
        <v>0</v>
      </c>
      <c r="AL895" s="140">
        <v>0</v>
      </c>
      <c r="AM895" s="140">
        <v>0</v>
      </c>
      <c r="AN895" s="140">
        <v>0</v>
      </c>
      <c r="AO895" s="140">
        <v>0</v>
      </c>
      <c r="AP895" s="140">
        <v>0</v>
      </c>
      <c r="AQ895" s="140">
        <v>0</v>
      </c>
      <c r="AR895" s="140">
        <v>0</v>
      </c>
      <c r="AS895" s="140">
        <v>-1</v>
      </c>
      <c r="AT895" s="140">
        <v>0</v>
      </c>
      <c r="AU895" s="140">
        <v>0</v>
      </c>
      <c r="AV895" s="140">
        <v>0</v>
      </c>
      <c r="AW895" s="140">
        <v>0</v>
      </c>
      <c r="AX895" s="140">
        <v>0</v>
      </c>
      <c r="AY895" s="140">
        <v>0</v>
      </c>
      <c r="AZ895" s="140">
        <v>0</v>
      </c>
      <c r="BA895" s="140">
        <v>0</v>
      </c>
      <c r="BB895" s="140">
        <v>0</v>
      </c>
      <c r="BC895" s="140">
        <v>0</v>
      </c>
      <c r="BD895" s="140">
        <v>0</v>
      </c>
      <c r="BE895" s="140">
        <v>0</v>
      </c>
      <c r="BF895" s="140">
        <v>0</v>
      </c>
      <c r="BG895" s="140">
        <v>-1</v>
      </c>
      <c r="BH895" s="140">
        <v>0</v>
      </c>
      <c r="BI895" s="140">
        <v>0</v>
      </c>
      <c r="BJ895" s="140">
        <v>0</v>
      </c>
      <c r="BK895" s="140">
        <v>0</v>
      </c>
      <c r="BL895" s="140">
        <v>0</v>
      </c>
      <c r="BM895" s="140">
        <v>0</v>
      </c>
      <c r="BN895" s="140">
        <v>0</v>
      </c>
      <c r="BO895" s="140">
        <v>0</v>
      </c>
      <c r="BQ895" s="89"/>
      <c r="BU895" s="89"/>
      <c r="BX895" s="43">
        <v>15</v>
      </c>
      <c r="BZ895" s="90">
        <f t="shared" si="122"/>
        <v>-0.33333333333333331</v>
      </c>
      <c r="CA895" s="90">
        <f t="shared" si="122"/>
        <v>-0.33333333333333331</v>
      </c>
      <c r="CB895" s="90">
        <f t="shared" si="122"/>
        <v>-0.33333333333333331</v>
      </c>
      <c r="CT895" s="90">
        <f t="shared" si="112"/>
        <v>-1</v>
      </c>
      <c r="CU895" s="90">
        <f t="shared" si="113"/>
        <v>-1</v>
      </c>
    </row>
    <row r="896" spans="1:99" ht="12" customHeight="1">
      <c r="A896" s="43">
        <v>7038</v>
      </c>
      <c r="B896" s="89" t="s">
        <v>1515</v>
      </c>
      <c r="C896" s="89" t="s">
        <v>2470</v>
      </c>
      <c r="D896" s="89" t="s">
        <v>2471</v>
      </c>
      <c r="F896" s="43">
        <v>527377</v>
      </c>
      <c r="G896" s="43">
        <v>177378</v>
      </c>
      <c r="H896" s="89" t="s">
        <v>177</v>
      </c>
      <c r="K896" s="140">
        <v>2</v>
      </c>
      <c r="L896" s="140">
        <v>1</v>
      </c>
      <c r="M896" s="140">
        <v>-1</v>
      </c>
      <c r="N896" s="140">
        <v>1</v>
      </c>
      <c r="O896" s="140">
        <v>-1</v>
      </c>
      <c r="Q896" s="89" t="s">
        <v>2472</v>
      </c>
      <c r="R896" s="43" t="s">
        <v>316</v>
      </c>
      <c r="S896" s="125">
        <v>43417</v>
      </c>
      <c r="T896" s="117">
        <v>43473</v>
      </c>
      <c r="V896" s="43" t="s">
        <v>317</v>
      </c>
      <c r="X896" s="43" t="s">
        <v>318</v>
      </c>
      <c r="Y896" s="43" t="s">
        <v>348</v>
      </c>
      <c r="Z896" s="43" t="s">
        <v>320</v>
      </c>
      <c r="AA896" s="43" t="s">
        <v>636</v>
      </c>
      <c r="AB896" s="144">
        <v>4.9999998882412902E-3</v>
      </c>
      <c r="AF896" s="43" t="s">
        <v>75</v>
      </c>
      <c r="AG896" s="43" t="s">
        <v>322</v>
      </c>
      <c r="AJ896" s="140">
        <v>0</v>
      </c>
      <c r="AK896" s="140">
        <v>0</v>
      </c>
      <c r="AL896" s="140">
        <v>0</v>
      </c>
      <c r="AM896" s="140">
        <v>0</v>
      </c>
      <c r="AN896" s="140">
        <v>0</v>
      </c>
      <c r="AO896" s="140">
        <v>0</v>
      </c>
      <c r="AP896" s="140">
        <v>-1</v>
      </c>
      <c r="AQ896" s="140">
        <v>-1</v>
      </c>
      <c r="AR896" s="140">
        <v>0</v>
      </c>
      <c r="AS896" s="140">
        <v>1</v>
      </c>
      <c r="AT896" s="140">
        <v>0</v>
      </c>
      <c r="AU896" s="140">
        <v>0</v>
      </c>
      <c r="AV896" s="140">
        <v>0</v>
      </c>
      <c r="AW896" s="140">
        <v>-1</v>
      </c>
      <c r="AX896" s="140">
        <v>-1</v>
      </c>
      <c r="AY896" s="140">
        <v>0</v>
      </c>
      <c r="AZ896" s="140">
        <v>1</v>
      </c>
      <c r="BA896" s="140">
        <v>0</v>
      </c>
      <c r="BB896" s="140">
        <v>0</v>
      </c>
      <c r="BC896" s="140">
        <v>0</v>
      </c>
      <c r="BD896" s="140">
        <v>0</v>
      </c>
      <c r="BE896" s="140">
        <v>0</v>
      </c>
      <c r="BF896" s="140">
        <v>0</v>
      </c>
      <c r="BG896" s="140">
        <v>0</v>
      </c>
      <c r="BH896" s="140">
        <v>0</v>
      </c>
      <c r="BI896" s="140">
        <v>0</v>
      </c>
      <c r="BJ896" s="140">
        <v>0</v>
      </c>
      <c r="BK896" s="140">
        <v>0</v>
      </c>
      <c r="BL896" s="140">
        <v>0</v>
      </c>
      <c r="BM896" s="140">
        <v>0</v>
      </c>
      <c r="BN896" s="140">
        <v>0</v>
      </c>
      <c r="BO896" s="140">
        <v>0</v>
      </c>
      <c r="BQ896" s="89"/>
      <c r="BU896" s="89"/>
      <c r="BV896" s="43" t="s">
        <v>329</v>
      </c>
      <c r="BX896" s="43">
        <v>15</v>
      </c>
      <c r="BZ896" s="90">
        <f t="shared" si="122"/>
        <v>-0.33333333333333331</v>
      </c>
      <c r="CA896" s="90">
        <f t="shared" si="122"/>
        <v>-0.33333333333333331</v>
      </c>
      <c r="CB896" s="90">
        <f t="shared" si="122"/>
        <v>-0.33333333333333331</v>
      </c>
      <c r="CT896" s="90">
        <f t="shared" si="112"/>
        <v>-1</v>
      </c>
      <c r="CU896" s="90">
        <f t="shared" si="113"/>
        <v>-1</v>
      </c>
    </row>
    <row r="897" spans="1:99" ht="12" customHeight="1">
      <c r="A897" s="43">
        <v>7039</v>
      </c>
      <c r="B897" s="89" t="s">
        <v>1515</v>
      </c>
      <c r="C897" s="89" t="s">
        <v>2473</v>
      </c>
      <c r="D897" s="89" t="s">
        <v>2474</v>
      </c>
      <c r="F897" s="43">
        <v>526973</v>
      </c>
      <c r="G897" s="43">
        <v>171725</v>
      </c>
      <c r="H897" s="89" t="s">
        <v>141</v>
      </c>
      <c r="K897" s="140">
        <v>1</v>
      </c>
      <c r="L897" s="140">
        <v>4</v>
      </c>
      <c r="M897" s="140">
        <v>3</v>
      </c>
      <c r="N897" s="140">
        <v>4</v>
      </c>
      <c r="O897" s="140">
        <v>3</v>
      </c>
      <c r="Q897" s="89" t="s">
        <v>2475</v>
      </c>
      <c r="R897" s="43" t="s">
        <v>316</v>
      </c>
      <c r="S897" s="125">
        <v>43837</v>
      </c>
      <c r="T897" s="117">
        <v>43880</v>
      </c>
      <c r="U897" s="43" t="s">
        <v>329</v>
      </c>
      <c r="V897" s="43" t="s">
        <v>317</v>
      </c>
      <c r="X897" s="43" t="s">
        <v>318</v>
      </c>
      <c r="Y897" s="43" t="s">
        <v>319</v>
      </c>
      <c r="Z897" s="43" t="s">
        <v>320</v>
      </c>
      <c r="AA897" s="43" t="s">
        <v>321</v>
      </c>
      <c r="AB897" s="144">
        <v>8.9999996125698107E-3</v>
      </c>
      <c r="AF897" s="43" t="s">
        <v>75</v>
      </c>
      <c r="AG897" s="43" t="s">
        <v>322</v>
      </c>
      <c r="AJ897" s="140">
        <v>0</v>
      </c>
      <c r="AK897" s="140">
        <v>0</v>
      </c>
      <c r="AL897" s="140">
        <v>0</v>
      </c>
      <c r="AM897" s="140">
        <v>0</v>
      </c>
      <c r="AN897" s="140">
        <v>3</v>
      </c>
      <c r="AO897" s="140">
        <v>1</v>
      </c>
      <c r="AP897" s="140">
        <v>0</v>
      </c>
      <c r="AQ897" s="140">
        <v>-1</v>
      </c>
      <c r="AR897" s="140">
        <v>0</v>
      </c>
      <c r="AS897" s="140">
        <v>0</v>
      </c>
      <c r="AT897" s="140">
        <v>0</v>
      </c>
      <c r="AU897" s="140">
        <v>3</v>
      </c>
      <c r="AV897" s="140">
        <v>1</v>
      </c>
      <c r="AW897" s="140">
        <v>0</v>
      </c>
      <c r="AX897" s="140">
        <v>-1</v>
      </c>
      <c r="AY897" s="140">
        <v>0</v>
      </c>
      <c r="AZ897" s="140">
        <v>0</v>
      </c>
      <c r="BA897" s="140">
        <v>0</v>
      </c>
      <c r="BB897" s="140">
        <v>0</v>
      </c>
      <c r="BC897" s="140">
        <v>0</v>
      </c>
      <c r="BD897" s="140">
        <v>0</v>
      </c>
      <c r="BE897" s="140">
        <v>0</v>
      </c>
      <c r="BF897" s="140">
        <v>0</v>
      </c>
      <c r="BG897" s="140">
        <v>0</v>
      </c>
      <c r="BH897" s="140">
        <v>0</v>
      </c>
      <c r="BI897" s="140">
        <v>0</v>
      </c>
      <c r="BJ897" s="140">
        <v>0</v>
      </c>
      <c r="BK897" s="140">
        <v>0</v>
      </c>
      <c r="BL897" s="140">
        <v>0</v>
      </c>
      <c r="BM897" s="140">
        <v>0</v>
      </c>
      <c r="BN897" s="140">
        <v>0</v>
      </c>
      <c r="BO897" s="140">
        <v>0</v>
      </c>
      <c r="BQ897" s="89"/>
      <c r="BU897" s="89"/>
      <c r="BX897" s="43">
        <v>15</v>
      </c>
      <c r="BZ897" s="90">
        <f t="shared" si="122"/>
        <v>1</v>
      </c>
      <c r="CA897" s="90">
        <f t="shared" si="122"/>
        <v>1</v>
      </c>
      <c r="CB897" s="90">
        <f t="shared" si="122"/>
        <v>1</v>
      </c>
      <c r="CT897" s="90">
        <f t="shared" si="112"/>
        <v>3</v>
      </c>
      <c r="CU897" s="90">
        <f t="shared" si="113"/>
        <v>3</v>
      </c>
    </row>
    <row r="898" spans="1:99" ht="12" customHeight="1">
      <c r="A898" s="43">
        <v>7040</v>
      </c>
      <c r="B898" s="89" t="s">
        <v>1515</v>
      </c>
      <c r="C898" s="89" t="s">
        <v>2476</v>
      </c>
      <c r="D898" s="89" t="s">
        <v>2477</v>
      </c>
      <c r="F898" s="43">
        <v>525163</v>
      </c>
      <c r="G898" s="43">
        <v>173836</v>
      </c>
      <c r="H898" s="89" t="s">
        <v>176</v>
      </c>
      <c r="K898" s="140">
        <v>0</v>
      </c>
      <c r="L898" s="140">
        <v>1</v>
      </c>
      <c r="M898" s="140">
        <v>1</v>
      </c>
      <c r="N898" s="140">
        <v>1</v>
      </c>
      <c r="O898" s="140">
        <v>1</v>
      </c>
      <c r="Q898" s="89" t="s">
        <v>2478</v>
      </c>
      <c r="R898" s="43" t="s">
        <v>443</v>
      </c>
      <c r="S898" s="125">
        <v>43420</v>
      </c>
      <c r="T898" s="117">
        <v>43476</v>
      </c>
      <c r="V898" s="43" t="s">
        <v>317</v>
      </c>
      <c r="X898" s="43" t="s">
        <v>318</v>
      </c>
      <c r="Y898" s="43" t="s">
        <v>336</v>
      </c>
      <c r="Z898" s="43" t="s">
        <v>320</v>
      </c>
      <c r="AA898" s="43" t="s">
        <v>30</v>
      </c>
      <c r="AB898" s="144">
        <v>7.0000002160668399E-3</v>
      </c>
      <c r="AF898" s="43" t="s">
        <v>75</v>
      </c>
      <c r="AG898" s="43" t="s">
        <v>322</v>
      </c>
      <c r="AJ898" s="140">
        <v>0</v>
      </c>
      <c r="AK898" s="140">
        <v>0</v>
      </c>
      <c r="AL898" s="140">
        <v>0</v>
      </c>
      <c r="AM898" s="140">
        <v>0</v>
      </c>
      <c r="AN898" s="140">
        <v>0</v>
      </c>
      <c r="AO898" s="140">
        <v>1</v>
      </c>
      <c r="AP898" s="140">
        <v>0</v>
      </c>
      <c r="AQ898" s="140">
        <v>0</v>
      </c>
      <c r="AR898" s="140">
        <v>0</v>
      </c>
      <c r="AS898" s="140">
        <v>0</v>
      </c>
      <c r="AT898" s="140">
        <v>0</v>
      </c>
      <c r="AU898" s="140">
        <v>0</v>
      </c>
      <c r="AV898" s="140">
        <v>1</v>
      </c>
      <c r="AW898" s="140">
        <v>0</v>
      </c>
      <c r="AX898" s="140">
        <v>0</v>
      </c>
      <c r="AY898" s="140">
        <v>0</v>
      </c>
      <c r="AZ898" s="140">
        <v>0</v>
      </c>
      <c r="BA898" s="140">
        <v>0</v>
      </c>
      <c r="BB898" s="140">
        <v>0</v>
      </c>
      <c r="BC898" s="140">
        <v>0</v>
      </c>
      <c r="BD898" s="140">
        <v>0</v>
      </c>
      <c r="BE898" s="140">
        <v>0</v>
      </c>
      <c r="BF898" s="140">
        <v>0</v>
      </c>
      <c r="BG898" s="140">
        <v>0</v>
      </c>
      <c r="BH898" s="140">
        <v>0</v>
      </c>
      <c r="BI898" s="140">
        <v>0</v>
      </c>
      <c r="BJ898" s="140">
        <v>0</v>
      </c>
      <c r="BK898" s="140">
        <v>0</v>
      </c>
      <c r="BL898" s="140">
        <v>0</v>
      </c>
      <c r="BM898" s="140">
        <v>0</v>
      </c>
      <c r="BN898" s="140">
        <v>0</v>
      </c>
      <c r="BO898" s="140">
        <v>0</v>
      </c>
      <c r="BQ898" s="89"/>
      <c r="BU898" s="89"/>
      <c r="BX898" s="43">
        <v>15</v>
      </c>
      <c r="BZ898" s="90">
        <f t="shared" si="122"/>
        <v>0.33333333333333331</v>
      </c>
      <c r="CA898" s="90">
        <f t="shared" si="122"/>
        <v>0.33333333333333331</v>
      </c>
      <c r="CB898" s="90">
        <f t="shared" si="122"/>
        <v>0.33333333333333331</v>
      </c>
      <c r="CT898" s="90">
        <f t="shared" ref="CT898:CT961" si="123">SUM(BZ898:CD898)</f>
        <v>1</v>
      </c>
      <c r="CU898" s="90">
        <f t="shared" ref="CU898:CU961" si="124">SUM(BZ898:CI898)</f>
        <v>1</v>
      </c>
    </row>
    <row r="899" spans="1:99" ht="12" customHeight="1">
      <c r="A899" s="43">
        <v>7042</v>
      </c>
      <c r="B899" s="89" t="s">
        <v>1515</v>
      </c>
      <c r="C899" s="89" t="s">
        <v>2479</v>
      </c>
      <c r="D899" s="89" t="s">
        <v>2480</v>
      </c>
      <c r="F899" s="43">
        <v>522867</v>
      </c>
      <c r="G899" s="43">
        <v>174692</v>
      </c>
      <c r="H899" s="89" t="s">
        <v>181</v>
      </c>
      <c r="K899" s="140">
        <v>1</v>
      </c>
      <c r="L899" s="140">
        <v>1</v>
      </c>
      <c r="M899" s="140">
        <v>0</v>
      </c>
      <c r="N899" s="140">
        <v>1</v>
      </c>
      <c r="O899" s="140">
        <v>0</v>
      </c>
      <c r="Q899" s="89" t="s">
        <v>2481</v>
      </c>
      <c r="R899" s="43" t="s">
        <v>316</v>
      </c>
      <c r="S899" s="125">
        <v>43396</v>
      </c>
      <c r="T899" s="117">
        <v>43524</v>
      </c>
      <c r="V899" s="43" t="s">
        <v>317</v>
      </c>
      <c r="X899" s="43" t="s">
        <v>318</v>
      </c>
      <c r="Y899" s="43" t="s">
        <v>361</v>
      </c>
      <c r="Z899" s="43" t="s">
        <v>320</v>
      </c>
      <c r="AA899" s="43" t="s">
        <v>353</v>
      </c>
      <c r="AB899" s="144">
        <v>5.2999999374151202E-2</v>
      </c>
      <c r="AF899" s="43" t="s">
        <v>75</v>
      </c>
      <c r="AG899" s="43" t="s">
        <v>322</v>
      </c>
      <c r="AJ899" s="140">
        <v>0</v>
      </c>
      <c r="AK899" s="140">
        <v>0</v>
      </c>
      <c r="AL899" s="140">
        <v>0</v>
      </c>
      <c r="AM899" s="140">
        <v>0</v>
      </c>
      <c r="AN899" s="140">
        <v>0</v>
      </c>
      <c r="AO899" s="140">
        <v>0</v>
      </c>
      <c r="AP899" s="140">
        <v>0</v>
      </c>
      <c r="AQ899" s="140">
        <v>0</v>
      </c>
      <c r="AR899" s="140">
        <v>-1</v>
      </c>
      <c r="AS899" s="140">
        <v>1</v>
      </c>
      <c r="AT899" s="140">
        <v>0</v>
      </c>
      <c r="AU899" s="140">
        <v>0</v>
      </c>
      <c r="AV899" s="140">
        <v>0</v>
      </c>
      <c r="AW899" s="140">
        <v>0</v>
      </c>
      <c r="AX899" s="140">
        <v>0</v>
      </c>
      <c r="AY899" s="140">
        <v>0</v>
      </c>
      <c r="AZ899" s="140">
        <v>0</v>
      </c>
      <c r="BA899" s="140">
        <v>0</v>
      </c>
      <c r="BB899" s="140">
        <v>0</v>
      </c>
      <c r="BC899" s="140">
        <v>0</v>
      </c>
      <c r="BD899" s="140">
        <v>0</v>
      </c>
      <c r="BE899" s="140">
        <v>0</v>
      </c>
      <c r="BF899" s="140">
        <v>-1</v>
      </c>
      <c r="BG899" s="140">
        <v>1</v>
      </c>
      <c r="BH899" s="140">
        <v>0</v>
      </c>
      <c r="BI899" s="140">
        <v>0</v>
      </c>
      <c r="BJ899" s="140">
        <v>0</v>
      </c>
      <c r="BK899" s="140">
        <v>0</v>
      </c>
      <c r="BL899" s="140">
        <v>0</v>
      </c>
      <c r="BM899" s="140">
        <v>0</v>
      </c>
      <c r="BN899" s="140">
        <v>0</v>
      </c>
      <c r="BO899" s="140">
        <v>0</v>
      </c>
      <c r="BQ899" s="89"/>
      <c r="BU899" s="89"/>
      <c r="BX899" s="43">
        <v>6</v>
      </c>
      <c r="CA899" s="90">
        <f>$M899/4</f>
        <v>0</v>
      </c>
      <c r="CB899" s="90">
        <f>$M899/4</f>
        <v>0</v>
      </c>
      <c r="CC899" s="90">
        <f>$M899/4</f>
        <v>0</v>
      </c>
      <c r="CD899" s="90">
        <f>$M899/4</f>
        <v>0</v>
      </c>
      <c r="CT899" s="90">
        <f t="shared" si="123"/>
        <v>0</v>
      </c>
      <c r="CU899" s="90">
        <f t="shared" si="124"/>
        <v>0</v>
      </c>
    </row>
    <row r="900" spans="1:99" ht="12" customHeight="1">
      <c r="A900" s="43">
        <v>7053</v>
      </c>
      <c r="B900" s="89" t="s">
        <v>1515</v>
      </c>
      <c r="C900" s="89" t="s">
        <v>2482</v>
      </c>
      <c r="D900" s="89" t="s">
        <v>2483</v>
      </c>
      <c r="F900" s="43">
        <v>525097</v>
      </c>
      <c r="G900" s="43">
        <v>174828</v>
      </c>
      <c r="H900" s="89" t="s">
        <v>170</v>
      </c>
      <c r="K900" s="140">
        <v>2</v>
      </c>
      <c r="L900" s="140">
        <v>1</v>
      </c>
      <c r="M900" s="140">
        <v>-1</v>
      </c>
      <c r="N900" s="140">
        <v>1</v>
      </c>
      <c r="O900" s="140">
        <v>-1</v>
      </c>
      <c r="Q900" s="89" t="s">
        <v>2484</v>
      </c>
      <c r="R900" s="43" t="s">
        <v>316</v>
      </c>
      <c r="S900" s="125">
        <v>43434</v>
      </c>
      <c r="T900" s="117">
        <v>43490</v>
      </c>
      <c r="V900" s="43" t="s">
        <v>317</v>
      </c>
      <c r="X900" s="43" t="s">
        <v>318</v>
      </c>
      <c r="Y900" s="43" t="s">
        <v>348</v>
      </c>
      <c r="Z900" s="43" t="s">
        <v>320</v>
      </c>
      <c r="AA900" s="43" t="s">
        <v>636</v>
      </c>
      <c r="AB900" s="144">
        <v>2.70000007003546E-2</v>
      </c>
      <c r="AF900" s="43" t="s">
        <v>75</v>
      </c>
      <c r="AG900" s="43" t="s">
        <v>322</v>
      </c>
      <c r="AJ900" s="140">
        <v>0</v>
      </c>
      <c r="AK900" s="140">
        <v>0</v>
      </c>
      <c r="AL900" s="140">
        <v>0</v>
      </c>
      <c r="AM900" s="140">
        <v>0</v>
      </c>
      <c r="AN900" s="140">
        <v>0</v>
      </c>
      <c r="AO900" s="140">
        <v>0</v>
      </c>
      <c r="AP900" s="140">
        <v>-2</v>
      </c>
      <c r="AQ900" s="140">
        <v>0</v>
      </c>
      <c r="AR900" s="140">
        <v>1</v>
      </c>
      <c r="AS900" s="140">
        <v>0</v>
      </c>
      <c r="AT900" s="140">
        <v>0</v>
      </c>
      <c r="AU900" s="140">
        <v>0</v>
      </c>
      <c r="AV900" s="140">
        <v>0</v>
      </c>
      <c r="AW900" s="140">
        <v>-2</v>
      </c>
      <c r="AX900" s="140">
        <v>0</v>
      </c>
      <c r="AY900" s="140">
        <v>1</v>
      </c>
      <c r="AZ900" s="140">
        <v>0</v>
      </c>
      <c r="BA900" s="140">
        <v>0</v>
      </c>
      <c r="BB900" s="140">
        <v>0</v>
      </c>
      <c r="BC900" s="140">
        <v>0</v>
      </c>
      <c r="BD900" s="140">
        <v>0</v>
      </c>
      <c r="BE900" s="140">
        <v>0</v>
      </c>
      <c r="BF900" s="140">
        <v>0</v>
      </c>
      <c r="BG900" s="140">
        <v>0</v>
      </c>
      <c r="BH900" s="140">
        <v>0</v>
      </c>
      <c r="BI900" s="140">
        <v>0</v>
      </c>
      <c r="BJ900" s="140">
        <v>0</v>
      </c>
      <c r="BK900" s="140">
        <v>0</v>
      </c>
      <c r="BL900" s="140">
        <v>0</v>
      </c>
      <c r="BM900" s="140">
        <v>0</v>
      </c>
      <c r="BN900" s="140">
        <v>0</v>
      </c>
      <c r="BO900" s="140">
        <v>0</v>
      </c>
      <c r="BQ900" s="89"/>
      <c r="BU900" s="89"/>
      <c r="BX900" s="43">
        <v>15</v>
      </c>
      <c r="BZ900" s="90">
        <f t="shared" ref="BZ900:CB902" si="125">$M900/3</f>
        <v>-0.33333333333333331</v>
      </c>
      <c r="CA900" s="90">
        <f t="shared" si="125"/>
        <v>-0.33333333333333331</v>
      </c>
      <c r="CB900" s="90">
        <f t="shared" si="125"/>
        <v>-0.33333333333333331</v>
      </c>
      <c r="CT900" s="90">
        <f t="shared" si="123"/>
        <v>-1</v>
      </c>
      <c r="CU900" s="90">
        <f t="shared" si="124"/>
        <v>-1</v>
      </c>
    </row>
    <row r="901" spans="1:99" ht="12" customHeight="1">
      <c r="A901" s="43">
        <v>7055</v>
      </c>
      <c r="B901" s="89" t="s">
        <v>1515</v>
      </c>
      <c r="C901" s="89" t="s">
        <v>2485</v>
      </c>
      <c r="D901" s="89" t="s">
        <v>2486</v>
      </c>
      <c r="F901" s="43">
        <v>528371</v>
      </c>
      <c r="G901" s="43">
        <v>173680</v>
      </c>
      <c r="H901" s="89" t="s">
        <v>173</v>
      </c>
      <c r="K901" s="140">
        <v>5</v>
      </c>
      <c r="L901" s="140">
        <v>1</v>
      </c>
      <c r="M901" s="140">
        <v>-4</v>
      </c>
      <c r="N901" s="140">
        <v>1</v>
      </c>
      <c r="O901" s="140">
        <v>-4</v>
      </c>
      <c r="Q901" s="89" t="s">
        <v>2487</v>
      </c>
      <c r="R901" s="43" t="s">
        <v>316</v>
      </c>
      <c r="S901" s="125">
        <v>43425</v>
      </c>
      <c r="T901" s="117">
        <v>43481</v>
      </c>
      <c r="V901" s="43" t="s">
        <v>317</v>
      </c>
      <c r="X901" s="43" t="s">
        <v>318</v>
      </c>
      <c r="Y901" s="43" t="s">
        <v>348</v>
      </c>
      <c r="Z901" s="43" t="s">
        <v>320</v>
      </c>
      <c r="AA901" s="43" t="s">
        <v>22</v>
      </c>
      <c r="AB901" s="144">
        <v>4.1000001132488299E-2</v>
      </c>
      <c r="AF901" s="43" t="s">
        <v>75</v>
      </c>
      <c r="AG901" s="43" t="s">
        <v>322</v>
      </c>
      <c r="AJ901" s="140">
        <v>0</v>
      </c>
      <c r="AK901" s="140">
        <v>0</v>
      </c>
      <c r="AL901" s="140">
        <v>0</v>
      </c>
      <c r="AM901" s="140">
        <v>0</v>
      </c>
      <c r="AN901" s="140">
        <v>-2</v>
      </c>
      <c r="AO901" s="140">
        <v>-3</v>
      </c>
      <c r="AP901" s="140">
        <v>0</v>
      </c>
      <c r="AQ901" s="140">
        <v>0</v>
      </c>
      <c r="AR901" s="140">
        <v>0</v>
      </c>
      <c r="AS901" s="140">
        <v>1</v>
      </c>
      <c r="AT901" s="140">
        <v>0</v>
      </c>
      <c r="AU901" s="140">
        <v>-2</v>
      </c>
      <c r="AV901" s="140">
        <v>-3</v>
      </c>
      <c r="AW901" s="140">
        <v>0</v>
      </c>
      <c r="AX901" s="140">
        <v>0</v>
      </c>
      <c r="AY901" s="140">
        <v>0</v>
      </c>
      <c r="AZ901" s="140">
        <v>0</v>
      </c>
      <c r="BA901" s="140">
        <v>0</v>
      </c>
      <c r="BB901" s="140">
        <v>0</v>
      </c>
      <c r="BC901" s="140">
        <v>0</v>
      </c>
      <c r="BD901" s="140">
        <v>0</v>
      </c>
      <c r="BE901" s="140">
        <v>0</v>
      </c>
      <c r="BF901" s="140">
        <v>0</v>
      </c>
      <c r="BG901" s="140">
        <v>1</v>
      </c>
      <c r="BH901" s="140">
        <v>0</v>
      </c>
      <c r="BI901" s="140">
        <v>0</v>
      </c>
      <c r="BJ901" s="140">
        <v>0</v>
      </c>
      <c r="BK901" s="140">
        <v>0</v>
      </c>
      <c r="BL901" s="140">
        <v>0</v>
      </c>
      <c r="BM901" s="140">
        <v>0</v>
      </c>
      <c r="BN901" s="140">
        <v>0</v>
      </c>
      <c r="BO901" s="140">
        <v>0</v>
      </c>
      <c r="BQ901" s="89"/>
      <c r="BU901" s="89"/>
      <c r="BX901" s="43">
        <v>15</v>
      </c>
      <c r="BZ901" s="90">
        <f t="shared" si="125"/>
        <v>-1.3333333333333333</v>
      </c>
      <c r="CA901" s="90">
        <f t="shared" si="125"/>
        <v>-1.3333333333333333</v>
      </c>
      <c r="CB901" s="90">
        <f t="shared" si="125"/>
        <v>-1.3333333333333333</v>
      </c>
      <c r="CT901" s="90">
        <f t="shared" si="123"/>
        <v>-4</v>
      </c>
      <c r="CU901" s="90">
        <f t="shared" si="124"/>
        <v>-4</v>
      </c>
    </row>
    <row r="902" spans="1:99" ht="12" customHeight="1">
      <c r="A902" s="43">
        <v>7057</v>
      </c>
      <c r="B902" s="89" t="s">
        <v>1515</v>
      </c>
      <c r="C902" s="89" t="s">
        <v>2488</v>
      </c>
      <c r="D902" s="89" t="s">
        <v>2489</v>
      </c>
      <c r="F902" s="43">
        <v>521700</v>
      </c>
      <c r="G902" s="43">
        <v>172445</v>
      </c>
      <c r="H902" s="89" t="s">
        <v>149</v>
      </c>
      <c r="K902" s="140">
        <v>1</v>
      </c>
      <c r="L902" s="140">
        <v>3</v>
      </c>
      <c r="M902" s="140">
        <v>2</v>
      </c>
      <c r="N902" s="140">
        <v>3</v>
      </c>
      <c r="O902" s="140">
        <v>2</v>
      </c>
      <c r="Q902" s="89" t="s">
        <v>2490</v>
      </c>
      <c r="R902" s="43" t="s">
        <v>316</v>
      </c>
      <c r="S902" s="125">
        <v>43517</v>
      </c>
      <c r="T902" s="117">
        <v>43584</v>
      </c>
      <c r="U902" s="43" t="s">
        <v>329</v>
      </c>
      <c r="V902" s="43" t="s">
        <v>317</v>
      </c>
      <c r="X902" s="43" t="s">
        <v>318</v>
      </c>
      <c r="Y902" s="43" t="s">
        <v>319</v>
      </c>
      <c r="Z902" s="43" t="s">
        <v>320</v>
      </c>
      <c r="AA902" s="43" t="s">
        <v>20</v>
      </c>
      <c r="AB902" s="144">
        <v>5.4999999701976797E-2</v>
      </c>
      <c r="AF902" s="43" t="s">
        <v>75</v>
      </c>
      <c r="AG902" s="43" t="s">
        <v>322</v>
      </c>
      <c r="AJ902" s="140">
        <v>0</v>
      </c>
      <c r="AK902" s="140">
        <v>0</v>
      </c>
      <c r="AL902" s="140">
        <v>0</v>
      </c>
      <c r="AM902" s="140">
        <v>0</v>
      </c>
      <c r="AN902" s="140">
        <v>0</v>
      </c>
      <c r="AO902" s="140">
        <v>1</v>
      </c>
      <c r="AP902" s="140">
        <v>0</v>
      </c>
      <c r="AQ902" s="140">
        <v>2</v>
      </c>
      <c r="AR902" s="140">
        <v>-1</v>
      </c>
      <c r="AS902" s="140">
        <v>0</v>
      </c>
      <c r="AT902" s="140">
        <v>0</v>
      </c>
      <c r="AU902" s="140">
        <v>0</v>
      </c>
      <c r="AV902" s="140">
        <v>1</v>
      </c>
      <c r="AW902" s="140">
        <v>0</v>
      </c>
      <c r="AX902" s="140">
        <v>2</v>
      </c>
      <c r="AY902" s="140">
        <v>0</v>
      </c>
      <c r="AZ902" s="140">
        <v>0</v>
      </c>
      <c r="BA902" s="140">
        <v>0</v>
      </c>
      <c r="BB902" s="140">
        <v>0</v>
      </c>
      <c r="BC902" s="140">
        <v>0</v>
      </c>
      <c r="BD902" s="140">
        <v>0</v>
      </c>
      <c r="BE902" s="140">
        <v>0</v>
      </c>
      <c r="BF902" s="140">
        <v>-1</v>
      </c>
      <c r="BG902" s="140">
        <v>0</v>
      </c>
      <c r="BH902" s="140">
        <v>0</v>
      </c>
      <c r="BI902" s="140">
        <v>0</v>
      </c>
      <c r="BJ902" s="140">
        <v>0</v>
      </c>
      <c r="BK902" s="140">
        <v>0</v>
      </c>
      <c r="BL902" s="140">
        <v>0</v>
      </c>
      <c r="BM902" s="140">
        <v>0</v>
      </c>
      <c r="BN902" s="140">
        <v>0</v>
      </c>
      <c r="BO902" s="140">
        <v>0</v>
      </c>
      <c r="BQ902" s="89"/>
      <c r="BU902" s="89"/>
      <c r="BX902" s="43">
        <v>15</v>
      </c>
      <c r="BZ902" s="90">
        <f t="shared" si="125"/>
        <v>0.66666666666666663</v>
      </c>
      <c r="CA902" s="90">
        <f t="shared" si="125"/>
        <v>0.66666666666666663</v>
      </c>
      <c r="CB902" s="90">
        <f t="shared" si="125"/>
        <v>0.66666666666666663</v>
      </c>
      <c r="CT902" s="90">
        <f t="shared" si="123"/>
        <v>2</v>
      </c>
      <c r="CU902" s="90">
        <f t="shared" si="124"/>
        <v>2</v>
      </c>
    </row>
    <row r="903" spans="1:99" ht="12" customHeight="1">
      <c r="A903" s="43">
        <v>7061</v>
      </c>
      <c r="B903" s="89" t="s">
        <v>1515</v>
      </c>
      <c r="C903" s="89" t="s">
        <v>2491</v>
      </c>
      <c r="D903" s="89" t="s">
        <v>2492</v>
      </c>
      <c r="E903" s="89" t="s">
        <v>2493</v>
      </c>
      <c r="F903" s="43">
        <v>525997</v>
      </c>
      <c r="G903" s="43">
        <v>173573</v>
      </c>
      <c r="H903" s="89" t="s">
        <v>168</v>
      </c>
      <c r="K903" s="140">
        <v>0</v>
      </c>
      <c r="L903" s="140">
        <v>3</v>
      </c>
      <c r="M903" s="140">
        <v>3</v>
      </c>
      <c r="N903" s="140">
        <v>9</v>
      </c>
      <c r="O903" s="140">
        <v>7</v>
      </c>
      <c r="Q903" s="89" t="s">
        <v>2494</v>
      </c>
      <c r="R903" s="43" t="s">
        <v>2495</v>
      </c>
      <c r="S903" s="125">
        <v>43594</v>
      </c>
      <c r="T903" s="117">
        <v>43727</v>
      </c>
      <c r="U903" s="43" t="s">
        <v>329</v>
      </c>
      <c r="V903" s="43" t="s">
        <v>317</v>
      </c>
      <c r="X903" s="43" t="s">
        <v>318</v>
      </c>
      <c r="Y903" s="43" t="s">
        <v>361</v>
      </c>
      <c r="Z903" s="43" t="s">
        <v>320</v>
      </c>
      <c r="AA903" s="43" t="s">
        <v>353</v>
      </c>
      <c r="AB903" s="144">
        <v>1.7999999225139601E-2</v>
      </c>
      <c r="AF903" s="43" t="s">
        <v>75</v>
      </c>
      <c r="AG903" s="43" t="s">
        <v>322</v>
      </c>
      <c r="AJ903" s="140">
        <v>0</v>
      </c>
      <c r="AK903" s="140">
        <v>3</v>
      </c>
      <c r="AL903" s="140">
        <v>0</v>
      </c>
      <c r="AM903" s="140">
        <v>0</v>
      </c>
      <c r="AN903" s="140">
        <v>0</v>
      </c>
      <c r="AO903" s="140">
        <v>0</v>
      </c>
      <c r="AP903" s="140">
        <v>2</v>
      </c>
      <c r="AQ903" s="140">
        <v>1</v>
      </c>
      <c r="AR903" s="140">
        <v>0</v>
      </c>
      <c r="AS903" s="140">
        <v>0</v>
      </c>
      <c r="AT903" s="140">
        <v>0</v>
      </c>
      <c r="AU903" s="140">
        <v>0</v>
      </c>
      <c r="AV903" s="140">
        <v>0</v>
      </c>
      <c r="AW903" s="140">
        <v>2</v>
      </c>
      <c r="AX903" s="140">
        <v>1</v>
      </c>
      <c r="AY903" s="140">
        <v>0</v>
      </c>
      <c r="AZ903" s="140">
        <v>0</v>
      </c>
      <c r="BA903" s="140">
        <v>0</v>
      </c>
      <c r="BB903" s="140">
        <v>0</v>
      </c>
      <c r="BC903" s="140">
        <v>0</v>
      </c>
      <c r="BD903" s="140">
        <v>0</v>
      </c>
      <c r="BE903" s="140">
        <v>0</v>
      </c>
      <c r="BF903" s="140">
        <v>0</v>
      </c>
      <c r="BG903" s="140">
        <v>0</v>
      </c>
      <c r="BH903" s="140">
        <v>0</v>
      </c>
      <c r="BI903" s="140">
        <v>0</v>
      </c>
      <c r="BJ903" s="140">
        <v>0</v>
      </c>
      <c r="BK903" s="140">
        <v>0</v>
      </c>
      <c r="BL903" s="140">
        <v>0</v>
      </c>
      <c r="BM903" s="140">
        <v>0</v>
      </c>
      <c r="BN903" s="140">
        <v>0</v>
      </c>
      <c r="BO903" s="140">
        <v>0</v>
      </c>
      <c r="BU903" s="89"/>
      <c r="BX903" s="43">
        <v>7</v>
      </c>
      <c r="CA903" s="90">
        <f>M903</f>
        <v>3</v>
      </c>
      <c r="CT903" s="90">
        <f t="shared" si="123"/>
        <v>3</v>
      </c>
      <c r="CU903" s="90">
        <f t="shared" si="124"/>
        <v>3</v>
      </c>
    </row>
    <row r="904" spans="1:99" ht="12" customHeight="1">
      <c r="A904" s="43">
        <v>7061</v>
      </c>
      <c r="B904" s="89" t="s">
        <v>1515</v>
      </c>
      <c r="C904" s="89" t="s">
        <v>2491</v>
      </c>
      <c r="D904" s="89" t="s">
        <v>2492</v>
      </c>
      <c r="E904" s="89" t="s">
        <v>2496</v>
      </c>
      <c r="F904" s="43">
        <v>525997</v>
      </c>
      <c r="G904" s="43">
        <v>173573</v>
      </c>
      <c r="H904" s="89" t="s">
        <v>168</v>
      </c>
      <c r="K904" s="140">
        <v>2</v>
      </c>
      <c r="L904" s="140">
        <v>3</v>
      </c>
      <c r="M904" s="140">
        <v>1</v>
      </c>
      <c r="N904" s="140">
        <v>9</v>
      </c>
      <c r="O904" s="140">
        <v>7</v>
      </c>
      <c r="Q904" s="89" t="s">
        <v>2494</v>
      </c>
      <c r="R904" s="43" t="s">
        <v>2495</v>
      </c>
      <c r="S904" s="125">
        <v>43594</v>
      </c>
      <c r="T904" s="117">
        <v>43727</v>
      </c>
      <c r="U904" s="43" t="s">
        <v>329</v>
      </c>
      <c r="V904" s="43" t="s">
        <v>317</v>
      </c>
      <c r="X904" s="43" t="s">
        <v>318</v>
      </c>
      <c r="Y904" s="43" t="s">
        <v>361</v>
      </c>
      <c r="Z904" s="43" t="s">
        <v>320</v>
      </c>
      <c r="AA904" s="43" t="s">
        <v>353</v>
      </c>
      <c r="AB904" s="144">
        <v>1.8999999389052401E-2</v>
      </c>
      <c r="AF904" s="43" t="s">
        <v>75</v>
      </c>
      <c r="AG904" s="43" t="s">
        <v>322</v>
      </c>
      <c r="AJ904" s="140">
        <v>0</v>
      </c>
      <c r="AK904" s="140">
        <v>2</v>
      </c>
      <c r="AL904" s="140">
        <v>0</v>
      </c>
      <c r="AM904" s="140">
        <v>1</v>
      </c>
      <c r="AN904" s="140">
        <v>0</v>
      </c>
      <c r="AO904" s="140">
        <v>-1</v>
      </c>
      <c r="AP904" s="140">
        <v>0</v>
      </c>
      <c r="AQ904" s="140">
        <v>2</v>
      </c>
      <c r="AR904" s="140">
        <v>0</v>
      </c>
      <c r="AS904" s="140">
        <v>0</v>
      </c>
      <c r="AT904" s="140">
        <v>0</v>
      </c>
      <c r="AU904" s="140">
        <v>0</v>
      </c>
      <c r="AV904" s="140">
        <v>-1</v>
      </c>
      <c r="AW904" s="140">
        <v>0</v>
      </c>
      <c r="AX904" s="140">
        <v>2</v>
      </c>
      <c r="AY904" s="140">
        <v>0</v>
      </c>
      <c r="AZ904" s="140">
        <v>0</v>
      </c>
      <c r="BA904" s="140">
        <v>0</v>
      </c>
      <c r="BB904" s="140">
        <v>0</v>
      </c>
      <c r="BC904" s="140">
        <v>0</v>
      </c>
      <c r="BD904" s="140">
        <v>0</v>
      </c>
      <c r="BE904" s="140">
        <v>0</v>
      </c>
      <c r="BF904" s="140">
        <v>0</v>
      </c>
      <c r="BG904" s="140">
        <v>0</v>
      </c>
      <c r="BH904" s="140">
        <v>0</v>
      </c>
      <c r="BI904" s="140">
        <v>0</v>
      </c>
      <c r="BJ904" s="140">
        <v>0</v>
      </c>
      <c r="BK904" s="140">
        <v>0</v>
      </c>
      <c r="BL904" s="140">
        <v>0</v>
      </c>
      <c r="BM904" s="140">
        <v>0</v>
      </c>
      <c r="BN904" s="140">
        <v>0</v>
      </c>
      <c r="BO904" s="140">
        <v>0</v>
      </c>
      <c r="BU904" s="89"/>
      <c r="BX904" s="43">
        <v>7</v>
      </c>
      <c r="CA904" s="90">
        <f>M904</f>
        <v>1</v>
      </c>
      <c r="CT904" s="90">
        <f t="shared" si="123"/>
        <v>1</v>
      </c>
      <c r="CU904" s="90">
        <f t="shared" si="124"/>
        <v>1</v>
      </c>
    </row>
    <row r="905" spans="1:99" ht="12" customHeight="1">
      <c r="A905" s="43">
        <v>7061</v>
      </c>
      <c r="B905" s="89" t="s">
        <v>1515</v>
      </c>
      <c r="C905" s="89" t="s">
        <v>2491</v>
      </c>
      <c r="D905" s="89" t="s">
        <v>2492</v>
      </c>
      <c r="E905" s="89" t="s">
        <v>2497</v>
      </c>
      <c r="F905" s="43">
        <v>525997</v>
      </c>
      <c r="G905" s="43">
        <v>173573</v>
      </c>
      <c r="H905" s="89" t="s">
        <v>168</v>
      </c>
      <c r="K905" s="140">
        <v>0</v>
      </c>
      <c r="L905" s="140">
        <v>3</v>
      </c>
      <c r="M905" s="140">
        <v>3</v>
      </c>
      <c r="N905" s="140">
        <v>9</v>
      </c>
      <c r="O905" s="140">
        <v>7</v>
      </c>
      <c r="Q905" s="89" t="s">
        <v>2494</v>
      </c>
      <c r="R905" s="43" t="s">
        <v>2495</v>
      </c>
      <c r="S905" s="125">
        <v>43594</v>
      </c>
      <c r="T905" s="117">
        <v>43727</v>
      </c>
      <c r="U905" s="43" t="s">
        <v>329</v>
      </c>
      <c r="V905" s="43" t="s">
        <v>317</v>
      </c>
      <c r="X905" s="43" t="s">
        <v>318</v>
      </c>
      <c r="Y905" s="43" t="s">
        <v>361</v>
      </c>
      <c r="Z905" s="43" t="s">
        <v>320</v>
      </c>
      <c r="AA905" s="43" t="s">
        <v>353</v>
      </c>
      <c r="AB905" s="144">
        <v>1.7999999225139601E-2</v>
      </c>
      <c r="AF905" s="43" t="s">
        <v>75</v>
      </c>
      <c r="AG905" s="43" t="s">
        <v>322</v>
      </c>
      <c r="AJ905" s="140">
        <v>0</v>
      </c>
      <c r="AK905" s="140">
        <v>3</v>
      </c>
      <c r="AL905" s="140">
        <v>0</v>
      </c>
      <c r="AM905" s="140">
        <v>0</v>
      </c>
      <c r="AN905" s="140">
        <v>0</v>
      </c>
      <c r="AO905" s="140">
        <v>0</v>
      </c>
      <c r="AP905" s="140">
        <v>2</v>
      </c>
      <c r="AQ905" s="140">
        <v>1</v>
      </c>
      <c r="AR905" s="140">
        <v>0</v>
      </c>
      <c r="AS905" s="140">
        <v>0</v>
      </c>
      <c r="AT905" s="140">
        <v>0</v>
      </c>
      <c r="AU905" s="140">
        <v>0</v>
      </c>
      <c r="AV905" s="140">
        <v>0</v>
      </c>
      <c r="AW905" s="140">
        <v>2</v>
      </c>
      <c r="AX905" s="140">
        <v>1</v>
      </c>
      <c r="AY905" s="140">
        <v>0</v>
      </c>
      <c r="AZ905" s="140">
        <v>0</v>
      </c>
      <c r="BA905" s="140">
        <v>0</v>
      </c>
      <c r="BB905" s="140">
        <v>0</v>
      </c>
      <c r="BC905" s="140">
        <v>0</v>
      </c>
      <c r="BD905" s="140">
        <v>0</v>
      </c>
      <c r="BE905" s="140">
        <v>0</v>
      </c>
      <c r="BF905" s="140">
        <v>0</v>
      </c>
      <c r="BG905" s="140">
        <v>0</v>
      </c>
      <c r="BH905" s="140">
        <v>0</v>
      </c>
      <c r="BI905" s="140">
        <v>0</v>
      </c>
      <c r="BJ905" s="140">
        <v>0</v>
      </c>
      <c r="BK905" s="140">
        <v>0</v>
      </c>
      <c r="BL905" s="140">
        <v>0</v>
      </c>
      <c r="BM905" s="140">
        <v>0</v>
      </c>
      <c r="BN905" s="140">
        <v>0</v>
      </c>
      <c r="BO905" s="140">
        <v>0</v>
      </c>
      <c r="BU905" s="89"/>
      <c r="BX905" s="43">
        <v>7</v>
      </c>
      <c r="CA905" s="90">
        <f>M905</f>
        <v>3</v>
      </c>
      <c r="CT905" s="90">
        <f t="shared" si="123"/>
        <v>3</v>
      </c>
      <c r="CU905" s="90">
        <f t="shared" si="124"/>
        <v>3</v>
      </c>
    </row>
    <row r="906" spans="1:99" ht="12" customHeight="1">
      <c r="A906" s="43">
        <v>7066</v>
      </c>
      <c r="B906" s="89" t="s">
        <v>1515</v>
      </c>
      <c r="C906" s="89" t="s">
        <v>2498</v>
      </c>
      <c r="D906" s="89" t="s">
        <v>2499</v>
      </c>
      <c r="F906" s="43">
        <v>526155</v>
      </c>
      <c r="G906" s="43">
        <v>172567</v>
      </c>
      <c r="H906" s="89" t="s">
        <v>168</v>
      </c>
      <c r="K906" s="140">
        <v>0</v>
      </c>
      <c r="L906" s="140">
        <v>1</v>
      </c>
      <c r="M906" s="140">
        <v>1</v>
      </c>
      <c r="N906" s="140">
        <v>1</v>
      </c>
      <c r="O906" s="140">
        <v>1</v>
      </c>
      <c r="Q906" s="89" t="s">
        <v>2500</v>
      </c>
      <c r="R906" s="43" t="s">
        <v>316</v>
      </c>
      <c r="S906" s="125">
        <v>43448</v>
      </c>
      <c r="T906" s="117">
        <v>43607</v>
      </c>
      <c r="U906" s="43" t="s">
        <v>329</v>
      </c>
      <c r="V906" s="43" t="s">
        <v>317</v>
      </c>
      <c r="X906" s="43" t="s">
        <v>318</v>
      </c>
      <c r="Y906" s="43" t="s">
        <v>361</v>
      </c>
      <c r="Z906" s="43" t="s">
        <v>320</v>
      </c>
      <c r="AA906" s="43" t="s">
        <v>353</v>
      </c>
      <c r="AB906" s="144">
        <v>8.0000003799796104E-3</v>
      </c>
      <c r="AF906" s="43" t="s">
        <v>75</v>
      </c>
      <c r="AG906" s="43" t="s">
        <v>322</v>
      </c>
      <c r="AJ906" s="140">
        <v>0</v>
      </c>
      <c r="AK906" s="140">
        <v>1</v>
      </c>
      <c r="AL906" s="140">
        <v>0</v>
      </c>
      <c r="AM906" s="140">
        <v>0</v>
      </c>
      <c r="AN906" s="140">
        <v>0</v>
      </c>
      <c r="AO906" s="140">
        <v>1</v>
      </c>
      <c r="AP906" s="140">
        <v>0</v>
      </c>
      <c r="AQ906" s="140">
        <v>0</v>
      </c>
      <c r="AR906" s="140">
        <v>0</v>
      </c>
      <c r="AS906" s="140">
        <v>0</v>
      </c>
      <c r="AT906" s="140">
        <v>0</v>
      </c>
      <c r="AU906" s="140">
        <v>0</v>
      </c>
      <c r="AV906" s="140">
        <v>0</v>
      </c>
      <c r="AW906" s="140">
        <v>0</v>
      </c>
      <c r="AX906" s="140">
        <v>0</v>
      </c>
      <c r="AY906" s="140">
        <v>0</v>
      </c>
      <c r="AZ906" s="140">
        <v>0</v>
      </c>
      <c r="BA906" s="140">
        <v>0</v>
      </c>
      <c r="BB906" s="140">
        <v>0</v>
      </c>
      <c r="BC906" s="140">
        <v>1</v>
      </c>
      <c r="BD906" s="140">
        <v>0</v>
      </c>
      <c r="BE906" s="140">
        <v>0</v>
      </c>
      <c r="BF906" s="140">
        <v>0</v>
      </c>
      <c r="BG906" s="140">
        <v>0</v>
      </c>
      <c r="BH906" s="140">
        <v>0</v>
      </c>
      <c r="BI906" s="140">
        <v>0</v>
      </c>
      <c r="BJ906" s="140">
        <v>0</v>
      </c>
      <c r="BK906" s="140">
        <v>0</v>
      </c>
      <c r="BL906" s="140">
        <v>0</v>
      </c>
      <c r="BM906" s="140">
        <v>0</v>
      </c>
      <c r="BN906" s="140">
        <v>0</v>
      </c>
      <c r="BO906" s="140">
        <v>0</v>
      </c>
      <c r="BU906" s="89"/>
      <c r="BX906" s="43">
        <v>6</v>
      </c>
      <c r="CA906" s="90">
        <f>$M906/4</f>
        <v>0.25</v>
      </c>
      <c r="CB906" s="90">
        <f>$M906/4</f>
        <v>0.25</v>
      </c>
      <c r="CC906" s="90">
        <f>$M906/4</f>
        <v>0.25</v>
      </c>
      <c r="CD906" s="90">
        <f>$M906/4</f>
        <v>0.25</v>
      </c>
      <c r="CT906" s="90">
        <f t="shared" si="123"/>
        <v>1</v>
      </c>
      <c r="CU906" s="90">
        <f t="shared" si="124"/>
        <v>1</v>
      </c>
    </row>
    <row r="907" spans="1:99" ht="12" customHeight="1">
      <c r="A907" s="43">
        <v>7076</v>
      </c>
      <c r="B907" s="89" t="s">
        <v>1515</v>
      </c>
      <c r="C907" s="89" t="s">
        <v>2501</v>
      </c>
      <c r="D907" s="89" t="s">
        <v>2502</v>
      </c>
      <c r="F907" s="43">
        <v>527497</v>
      </c>
      <c r="G907" s="43">
        <v>171501</v>
      </c>
      <c r="H907" s="89" t="s">
        <v>172</v>
      </c>
      <c r="K907" s="140">
        <v>0</v>
      </c>
      <c r="L907" s="140">
        <v>2</v>
      </c>
      <c r="M907" s="140">
        <v>2</v>
      </c>
      <c r="N907" s="140">
        <v>2</v>
      </c>
      <c r="O907" s="140">
        <v>2</v>
      </c>
      <c r="Q907" s="89" t="s">
        <v>2503</v>
      </c>
      <c r="R907" s="43" t="s">
        <v>316</v>
      </c>
      <c r="S907" s="125">
        <v>43448</v>
      </c>
      <c r="T907" s="117">
        <v>43504</v>
      </c>
      <c r="V907" s="43" t="s">
        <v>317</v>
      </c>
      <c r="X907" s="43" t="s">
        <v>318</v>
      </c>
      <c r="Y907" s="43" t="s">
        <v>379</v>
      </c>
      <c r="Z907" s="43" t="s">
        <v>320</v>
      </c>
      <c r="AA907" s="43" t="s">
        <v>340</v>
      </c>
      <c r="AB907" s="144">
        <v>4.9999998882412902E-3</v>
      </c>
      <c r="AF907" s="43" t="s">
        <v>75</v>
      </c>
      <c r="AG907" s="43" t="s">
        <v>322</v>
      </c>
      <c r="AH907" s="43" t="s">
        <v>1022</v>
      </c>
      <c r="AJ907" s="140">
        <v>0</v>
      </c>
      <c r="AK907" s="140">
        <v>0</v>
      </c>
      <c r="AL907" s="140">
        <v>0</v>
      </c>
      <c r="AM907" s="140">
        <v>0</v>
      </c>
      <c r="AN907" s="140">
        <v>0</v>
      </c>
      <c r="AO907" s="140">
        <v>1</v>
      </c>
      <c r="AP907" s="140">
        <v>1</v>
      </c>
      <c r="AQ907" s="140">
        <v>0</v>
      </c>
      <c r="AR907" s="140">
        <v>0</v>
      </c>
      <c r="AS907" s="140">
        <v>0</v>
      </c>
      <c r="AT907" s="140">
        <v>0</v>
      </c>
      <c r="AU907" s="140">
        <v>0</v>
      </c>
      <c r="AV907" s="140">
        <v>1</v>
      </c>
      <c r="AW907" s="140">
        <v>1</v>
      </c>
      <c r="AX907" s="140">
        <v>0</v>
      </c>
      <c r="AY907" s="140">
        <v>0</v>
      </c>
      <c r="AZ907" s="140">
        <v>0</v>
      </c>
      <c r="BA907" s="140">
        <v>0</v>
      </c>
      <c r="BB907" s="140">
        <v>0</v>
      </c>
      <c r="BC907" s="140">
        <v>0</v>
      </c>
      <c r="BD907" s="140">
        <v>0</v>
      </c>
      <c r="BE907" s="140">
        <v>0</v>
      </c>
      <c r="BF907" s="140">
        <v>0</v>
      </c>
      <c r="BG907" s="140">
        <v>0</v>
      </c>
      <c r="BH907" s="140">
        <v>0</v>
      </c>
      <c r="BI907" s="140">
        <v>0</v>
      </c>
      <c r="BJ907" s="140">
        <v>0</v>
      </c>
      <c r="BK907" s="140">
        <v>0</v>
      </c>
      <c r="BL907" s="140">
        <v>0</v>
      </c>
      <c r="BM907" s="140">
        <v>0</v>
      </c>
      <c r="BN907" s="140">
        <v>0</v>
      </c>
      <c r="BO907" s="140">
        <v>0</v>
      </c>
      <c r="BP907" s="43" t="s">
        <v>141</v>
      </c>
      <c r="BU907" s="89"/>
      <c r="BX907" s="43">
        <v>15</v>
      </c>
      <c r="BZ907" s="90">
        <f>$M907/3</f>
        <v>0.66666666666666663</v>
      </c>
      <c r="CA907" s="90">
        <f>$M907/3</f>
        <v>0.66666666666666663</v>
      </c>
      <c r="CB907" s="90">
        <f>$M907/3</f>
        <v>0.66666666666666663</v>
      </c>
      <c r="CT907" s="90">
        <f t="shared" si="123"/>
        <v>2</v>
      </c>
      <c r="CU907" s="90">
        <f t="shared" si="124"/>
        <v>2</v>
      </c>
    </row>
    <row r="908" spans="1:99" ht="12" customHeight="1">
      <c r="A908" s="43">
        <v>7076</v>
      </c>
      <c r="B908" s="89" t="s">
        <v>1515</v>
      </c>
      <c r="C908" s="89" t="s">
        <v>2504</v>
      </c>
      <c r="D908" s="89" t="s">
        <v>2502</v>
      </c>
      <c r="E908" s="89" t="s">
        <v>346</v>
      </c>
      <c r="F908" s="43">
        <v>527497</v>
      </c>
      <c r="G908" s="43">
        <v>171501</v>
      </c>
      <c r="H908" s="89" t="s">
        <v>172</v>
      </c>
      <c r="K908" s="140">
        <v>7</v>
      </c>
      <c r="L908" s="140">
        <v>7</v>
      </c>
      <c r="M908" s="140">
        <v>0</v>
      </c>
      <c r="N908" s="140">
        <v>11</v>
      </c>
      <c r="O908" s="140">
        <v>4</v>
      </c>
      <c r="P908" s="43" t="s">
        <v>329</v>
      </c>
      <c r="Q908" s="89" t="s">
        <v>2505</v>
      </c>
      <c r="R908" s="43" t="s">
        <v>316</v>
      </c>
      <c r="S908" s="125">
        <v>43570</v>
      </c>
      <c r="T908" s="117">
        <v>43626</v>
      </c>
      <c r="U908" s="43" t="s">
        <v>329</v>
      </c>
      <c r="V908" s="43" t="s">
        <v>317</v>
      </c>
      <c r="X908" s="43" t="s">
        <v>318</v>
      </c>
      <c r="Y908" s="43" t="s">
        <v>319</v>
      </c>
      <c r="Z908" s="43" t="s">
        <v>320</v>
      </c>
      <c r="AA908" s="43" t="s">
        <v>321</v>
      </c>
      <c r="AB908" s="144">
        <v>2.3000000044703501E-2</v>
      </c>
      <c r="AF908" s="43" t="s">
        <v>75</v>
      </c>
      <c r="AG908" s="43" t="s">
        <v>322</v>
      </c>
      <c r="AH908" s="43" t="s">
        <v>1022</v>
      </c>
      <c r="AJ908" s="140">
        <v>0</v>
      </c>
      <c r="AK908" s="140">
        <v>0</v>
      </c>
      <c r="AL908" s="140">
        <v>0</v>
      </c>
      <c r="AM908" s="140">
        <v>0</v>
      </c>
      <c r="AN908" s="140">
        <v>2</v>
      </c>
      <c r="AO908" s="140">
        <v>0</v>
      </c>
      <c r="AP908" s="140">
        <v>3</v>
      </c>
      <c r="AQ908" s="140">
        <v>-4</v>
      </c>
      <c r="AR908" s="140">
        <v>-1</v>
      </c>
      <c r="AS908" s="140">
        <v>0</v>
      </c>
      <c r="AT908" s="140">
        <v>0</v>
      </c>
      <c r="AU908" s="140">
        <v>2</v>
      </c>
      <c r="AV908" s="140">
        <v>0</v>
      </c>
      <c r="AW908" s="140">
        <v>3</v>
      </c>
      <c r="AX908" s="140">
        <v>-4</v>
      </c>
      <c r="AY908" s="140">
        <v>-1</v>
      </c>
      <c r="AZ908" s="140">
        <v>0</v>
      </c>
      <c r="BA908" s="140">
        <v>0</v>
      </c>
      <c r="BB908" s="140">
        <v>0</v>
      </c>
      <c r="BC908" s="140">
        <v>0</v>
      </c>
      <c r="BD908" s="140">
        <v>0</v>
      </c>
      <c r="BE908" s="140">
        <v>0</v>
      </c>
      <c r="BF908" s="140">
        <v>0</v>
      </c>
      <c r="BG908" s="140">
        <v>0</v>
      </c>
      <c r="BH908" s="140">
        <v>0</v>
      </c>
      <c r="BI908" s="140">
        <v>0</v>
      </c>
      <c r="BJ908" s="140">
        <v>0</v>
      </c>
      <c r="BK908" s="140">
        <v>0</v>
      </c>
      <c r="BL908" s="140">
        <v>0</v>
      </c>
      <c r="BM908" s="140">
        <v>0</v>
      </c>
      <c r="BN908" s="140">
        <v>0</v>
      </c>
      <c r="BO908" s="140">
        <v>0</v>
      </c>
      <c r="BP908" s="43" t="s">
        <v>141</v>
      </c>
      <c r="BU908" s="89"/>
      <c r="BX908" s="43">
        <v>18</v>
      </c>
      <c r="CA908" s="90">
        <f t="shared" ref="CA908:CD909" si="126">$M908/4</f>
        <v>0</v>
      </c>
      <c r="CB908" s="90">
        <f t="shared" si="126"/>
        <v>0</v>
      </c>
      <c r="CC908" s="90">
        <f t="shared" si="126"/>
        <v>0</v>
      </c>
      <c r="CD908" s="90">
        <f t="shared" si="126"/>
        <v>0</v>
      </c>
      <c r="CT908" s="90">
        <f t="shared" si="123"/>
        <v>0</v>
      </c>
      <c r="CU908" s="90">
        <f t="shared" si="124"/>
        <v>0</v>
      </c>
    </row>
    <row r="909" spans="1:99" ht="12" customHeight="1">
      <c r="A909" s="43">
        <v>7076</v>
      </c>
      <c r="B909" s="89" t="s">
        <v>1515</v>
      </c>
      <c r="C909" s="89" t="s">
        <v>2504</v>
      </c>
      <c r="D909" s="89" t="s">
        <v>2502</v>
      </c>
      <c r="E909" s="89" t="s">
        <v>730</v>
      </c>
      <c r="F909" s="43">
        <v>527497</v>
      </c>
      <c r="G909" s="43">
        <v>171501</v>
      </c>
      <c r="H909" s="89" t="s">
        <v>172</v>
      </c>
      <c r="K909" s="140">
        <v>0</v>
      </c>
      <c r="L909" s="140">
        <v>4</v>
      </c>
      <c r="M909" s="140">
        <v>4</v>
      </c>
      <c r="N909" s="140">
        <v>11</v>
      </c>
      <c r="O909" s="140">
        <v>4</v>
      </c>
      <c r="P909" s="43" t="s">
        <v>329</v>
      </c>
      <c r="Q909" s="89" t="s">
        <v>2505</v>
      </c>
      <c r="R909" s="43" t="s">
        <v>316</v>
      </c>
      <c r="S909" s="125">
        <v>43570</v>
      </c>
      <c r="T909" s="117">
        <v>43626</v>
      </c>
      <c r="U909" s="43" t="s">
        <v>329</v>
      </c>
      <c r="V909" s="43" t="s">
        <v>317</v>
      </c>
      <c r="X909" s="43" t="s">
        <v>318</v>
      </c>
      <c r="Y909" s="43" t="s">
        <v>319</v>
      </c>
      <c r="Z909" s="43" t="s">
        <v>320</v>
      </c>
      <c r="AA909" s="43" t="s">
        <v>340</v>
      </c>
      <c r="AB909" s="144">
        <v>8.9999996125698107E-3</v>
      </c>
      <c r="AF909" s="43" t="s">
        <v>75</v>
      </c>
      <c r="AG909" s="43" t="s">
        <v>322</v>
      </c>
      <c r="AH909" s="43" t="s">
        <v>1022</v>
      </c>
      <c r="AJ909" s="140">
        <v>0</v>
      </c>
      <c r="AK909" s="140">
        <v>0</v>
      </c>
      <c r="AL909" s="140">
        <v>0</v>
      </c>
      <c r="AM909" s="140">
        <v>0</v>
      </c>
      <c r="AN909" s="140">
        <v>0</v>
      </c>
      <c r="AO909" s="140">
        <v>0</v>
      </c>
      <c r="AP909" s="140">
        <v>4</v>
      </c>
      <c r="AQ909" s="140">
        <v>0</v>
      </c>
      <c r="AR909" s="140">
        <v>0</v>
      </c>
      <c r="AS909" s="140">
        <v>0</v>
      </c>
      <c r="AT909" s="140">
        <v>0</v>
      </c>
      <c r="AU909" s="140">
        <v>0</v>
      </c>
      <c r="AV909" s="140">
        <v>0</v>
      </c>
      <c r="AW909" s="140">
        <v>4</v>
      </c>
      <c r="AX909" s="140">
        <v>0</v>
      </c>
      <c r="AY909" s="140">
        <v>0</v>
      </c>
      <c r="AZ909" s="140">
        <v>0</v>
      </c>
      <c r="BA909" s="140">
        <v>0</v>
      </c>
      <c r="BB909" s="140">
        <v>0</v>
      </c>
      <c r="BC909" s="140">
        <v>0</v>
      </c>
      <c r="BD909" s="140">
        <v>0</v>
      </c>
      <c r="BE909" s="140">
        <v>0</v>
      </c>
      <c r="BF909" s="140">
        <v>0</v>
      </c>
      <c r="BG909" s="140">
        <v>0</v>
      </c>
      <c r="BH909" s="140">
        <v>0</v>
      </c>
      <c r="BI909" s="140">
        <v>0</v>
      </c>
      <c r="BJ909" s="140">
        <v>0</v>
      </c>
      <c r="BK909" s="140">
        <v>0</v>
      </c>
      <c r="BL909" s="140">
        <v>0</v>
      </c>
      <c r="BM909" s="140">
        <v>0</v>
      </c>
      <c r="BN909" s="140">
        <v>0</v>
      </c>
      <c r="BO909" s="140">
        <v>0</v>
      </c>
      <c r="BP909" s="43" t="s">
        <v>141</v>
      </c>
      <c r="BU909" s="89"/>
      <c r="BX909" s="43">
        <v>18</v>
      </c>
      <c r="CA909" s="90">
        <f t="shared" si="126"/>
        <v>1</v>
      </c>
      <c r="CB909" s="90">
        <f t="shared" si="126"/>
        <v>1</v>
      </c>
      <c r="CC909" s="90">
        <f t="shared" si="126"/>
        <v>1</v>
      </c>
      <c r="CD909" s="90">
        <f t="shared" si="126"/>
        <v>1</v>
      </c>
      <c r="CT909" s="90">
        <f t="shared" si="123"/>
        <v>4</v>
      </c>
      <c r="CU909" s="90">
        <f t="shared" si="124"/>
        <v>4</v>
      </c>
    </row>
    <row r="910" spans="1:99" ht="12" customHeight="1">
      <c r="A910" s="43">
        <v>7077</v>
      </c>
      <c r="B910" s="89" t="s">
        <v>1515</v>
      </c>
      <c r="C910" s="89" t="s">
        <v>2506</v>
      </c>
      <c r="D910" s="89" t="s">
        <v>2507</v>
      </c>
      <c r="F910" s="43">
        <v>527815</v>
      </c>
      <c r="G910" s="43">
        <v>173666</v>
      </c>
      <c r="H910" s="89" t="s">
        <v>173</v>
      </c>
      <c r="K910" s="140">
        <v>1</v>
      </c>
      <c r="L910" s="140">
        <v>2</v>
      </c>
      <c r="M910" s="140">
        <v>1</v>
      </c>
      <c r="N910" s="140">
        <v>2</v>
      </c>
      <c r="O910" s="140">
        <v>1</v>
      </c>
      <c r="Q910" s="89" t="s">
        <v>2508</v>
      </c>
      <c r="R910" s="43" t="s">
        <v>316</v>
      </c>
      <c r="S910" s="125">
        <v>43446</v>
      </c>
      <c r="T910" s="117">
        <v>43502</v>
      </c>
      <c r="V910" s="43" t="s">
        <v>317</v>
      </c>
      <c r="X910" s="43" t="s">
        <v>318</v>
      </c>
      <c r="Y910" s="43" t="s">
        <v>348</v>
      </c>
      <c r="Z910" s="43" t="s">
        <v>320</v>
      </c>
      <c r="AA910" s="43" t="s">
        <v>321</v>
      </c>
      <c r="AB910" s="144">
        <v>2.9999999329447701E-2</v>
      </c>
      <c r="AF910" s="43" t="s">
        <v>75</v>
      </c>
      <c r="AG910" s="43" t="s">
        <v>322</v>
      </c>
      <c r="AJ910" s="140">
        <v>0</v>
      </c>
      <c r="AK910" s="140">
        <v>0</v>
      </c>
      <c r="AL910" s="140">
        <v>0</v>
      </c>
      <c r="AM910" s="140">
        <v>0</v>
      </c>
      <c r="AN910" s="140">
        <v>0</v>
      </c>
      <c r="AO910" s="140">
        <v>0</v>
      </c>
      <c r="AP910" s="140">
        <v>1</v>
      </c>
      <c r="AQ910" s="140">
        <v>1</v>
      </c>
      <c r="AR910" s="140">
        <v>-1</v>
      </c>
      <c r="AS910" s="140">
        <v>0</v>
      </c>
      <c r="AT910" s="140">
        <v>0</v>
      </c>
      <c r="AU910" s="140">
        <v>0</v>
      </c>
      <c r="AV910" s="140">
        <v>0</v>
      </c>
      <c r="AW910" s="140">
        <v>1</v>
      </c>
      <c r="AX910" s="140">
        <v>1</v>
      </c>
      <c r="AY910" s="140">
        <v>-1</v>
      </c>
      <c r="AZ910" s="140">
        <v>0</v>
      </c>
      <c r="BA910" s="140">
        <v>0</v>
      </c>
      <c r="BB910" s="140">
        <v>0</v>
      </c>
      <c r="BC910" s="140">
        <v>0</v>
      </c>
      <c r="BD910" s="140">
        <v>0</v>
      </c>
      <c r="BE910" s="140">
        <v>0</v>
      </c>
      <c r="BF910" s="140">
        <v>0</v>
      </c>
      <c r="BG910" s="140">
        <v>0</v>
      </c>
      <c r="BH910" s="140">
        <v>0</v>
      </c>
      <c r="BI910" s="140">
        <v>0</v>
      </c>
      <c r="BJ910" s="140">
        <v>0</v>
      </c>
      <c r="BK910" s="140">
        <v>0</v>
      </c>
      <c r="BL910" s="140">
        <v>0</v>
      </c>
      <c r="BM910" s="140">
        <v>0</v>
      </c>
      <c r="BN910" s="140">
        <v>0</v>
      </c>
      <c r="BO910" s="140">
        <v>0</v>
      </c>
      <c r="BU910" s="89"/>
      <c r="BX910" s="43">
        <v>15</v>
      </c>
      <c r="BZ910" s="90">
        <f>$M910/3</f>
        <v>0.33333333333333331</v>
      </c>
      <c r="CA910" s="90">
        <f>$M910/3</f>
        <v>0.33333333333333331</v>
      </c>
      <c r="CB910" s="90">
        <f>$M910/3</f>
        <v>0.33333333333333331</v>
      </c>
      <c r="CT910" s="90">
        <f t="shared" si="123"/>
        <v>1</v>
      </c>
      <c r="CU910" s="90">
        <f t="shared" si="124"/>
        <v>1</v>
      </c>
    </row>
    <row r="911" spans="1:99" ht="12" customHeight="1">
      <c r="A911" s="43">
        <v>7090</v>
      </c>
      <c r="B911" s="89" t="s">
        <v>1515</v>
      </c>
      <c r="C911" s="89" t="s">
        <v>2509</v>
      </c>
      <c r="D911" s="89" t="s">
        <v>2510</v>
      </c>
      <c r="E911" s="89" t="s">
        <v>2511</v>
      </c>
      <c r="F911" s="43">
        <v>527587</v>
      </c>
      <c r="G911" s="43">
        <v>174507</v>
      </c>
      <c r="H911" s="89" t="s">
        <v>174</v>
      </c>
      <c r="K911" s="140">
        <v>0</v>
      </c>
      <c r="L911" s="140">
        <v>7</v>
      </c>
      <c r="M911" s="140">
        <v>7</v>
      </c>
      <c r="N911" s="140">
        <v>16</v>
      </c>
      <c r="O911" s="140">
        <v>16</v>
      </c>
      <c r="P911" s="43" t="s">
        <v>329</v>
      </c>
      <c r="Q911" s="89" t="s">
        <v>2512</v>
      </c>
      <c r="R911" s="43" t="s">
        <v>392</v>
      </c>
      <c r="S911" s="125">
        <v>43480</v>
      </c>
      <c r="T911" s="117">
        <v>43915</v>
      </c>
      <c r="U911" s="43" t="s">
        <v>329</v>
      </c>
      <c r="V911" s="43" t="s">
        <v>317</v>
      </c>
      <c r="X911" s="43" t="s">
        <v>318</v>
      </c>
      <c r="Y911" s="43" t="s">
        <v>361</v>
      </c>
      <c r="Z911" s="43" t="s">
        <v>320</v>
      </c>
      <c r="AA911" s="43" t="s">
        <v>353</v>
      </c>
      <c r="AB911" s="144">
        <v>6.3000001013279003E-2</v>
      </c>
      <c r="AF911" s="43" t="s">
        <v>75</v>
      </c>
      <c r="AG911" s="43" t="s">
        <v>322</v>
      </c>
      <c r="AJ911" s="140">
        <v>0</v>
      </c>
      <c r="AK911" s="140">
        <v>1</v>
      </c>
      <c r="AL911" s="140">
        <v>0</v>
      </c>
      <c r="AM911" s="140">
        <v>0</v>
      </c>
      <c r="AN911" s="140">
        <v>0</v>
      </c>
      <c r="AO911" s="140">
        <v>3</v>
      </c>
      <c r="AP911" s="140">
        <v>4</v>
      </c>
      <c r="AQ911" s="140">
        <v>0</v>
      </c>
      <c r="AR911" s="140">
        <v>0</v>
      </c>
      <c r="AS911" s="140">
        <v>0</v>
      </c>
      <c r="AT911" s="140">
        <v>0</v>
      </c>
      <c r="AU911" s="140">
        <v>0</v>
      </c>
      <c r="AV911" s="140">
        <v>3</v>
      </c>
      <c r="AW911" s="140">
        <v>4</v>
      </c>
      <c r="AX911" s="140">
        <v>0</v>
      </c>
      <c r="AY911" s="140">
        <v>0</v>
      </c>
      <c r="AZ911" s="140">
        <v>0</v>
      </c>
      <c r="BA911" s="140">
        <v>0</v>
      </c>
      <c r="BB911" s="140">
        <v>0</v>
      </c>
      <c r="BC911" s="140">
        <v>0</v>
      </c>
      <c r="BD911" s="140">
        <v>0</v>
      </c>
      <c r="BE911" s="140">
        <v>0</v>
      </c>
      <c r="BF911" s="140">
        <v>0</v>
      </c>
      <c r="BG911" s="140">
        <v>0</v>
      </c>
      <c r="BH911" s="140">
        <v>0</v>
      </c>
      <c r="BI911" s="140">
        <v>0</v>
      </c>
      <c r="BJ911" s="140">
        <v>0</v>
      </c>
      <c r="BK911" s="140">
        <v>0</v>
      </c>
      <c r="BL911" s="140">
        <v>0</v>
      </c>
      <c r="BM911" s="140">
        <v>0</v>
      </c>
      <c r="BN911" s="140">
        <v>0</v>
      </c>
      <c r="BO911" s="140">
        <v>0</v>
      </c>
      <c r="BQ911" s="89"/>
      <c r="BU911" s="89"/>
      <c r="BX911" s="43">
        <v>7</v>
      </c>
      <c r="CB911" s="90">
        <f>M911</f>
        <v>7</v>
      </c>
      <c r="CT911" s="90">
        <f t="shared" si="123"/>
        <v>7</v>
      </c>
      <c r="CU911" s="90">
        <f t="shared" si="124"/>
        <v>7</v>
      </c>
    </row>
    <row r="912" spans="1:99" ht="12" customHeight="1">
      <c r="A912" s="43">
        <v>7090</v>
      </c>
      <c r="B912" s="89" t="s">
        <v>1515</v>
      </c>
      <c r="C912" s="89" t="s">
        <v>2509</v>
      </c>
      <c r="D912" s="89" t="s">
        <v>2510</v>
      </c>
      <c r="E912" s="89" t="s">
        <v>2513</v>
      </c>
      <c r="F912" s="43">
        <v>527587</v>
      </c>
      <c r="G912" s="43">
        <v>174507</v>
      </c>
      <c r="H912" s="89" t="s">
        <v>174</v>
      </c>
      <c r="K912" s="140">
        <v>0</v>
      </c>
      <c r="L912" s="140">
        <v>9</v>
      </c>
      <c r="M912" s="140">
        <v>9</v>
      </c>
      <c r="N912" s="140">
        <v>16</v>
      </c>
      <c r="O912" s="140">
        <v>16</v>
      </c>
      <c r="P912" s="43" t="s">
        <v>329</v>
      </c>
      <c r="Q912" s="89" t="s">
        <v>2512</v>
      </c>
      <c r="R912" s="43" t="s">
        <v>392</v>
      </c>
      <c r="S912" s="125">
        <v>43480</v>
      </c>
      <c r="T912" s="117">
        <v>43915</v>
      </c>
      <c r="U912" s="43" t="s">
        <v>329</v>
      </c>
      <c r="V912" s="43" t="s">
        <v>317</v>
      </c>
      <c r="X912" s="43" t="s">
        <v>318</v>
      </c>
      <c r="Y912" s="43" t="s">
        <v>361</v>
      </c>
      <c r="Z912" s="43" t="s">
        <v>320</v>
      </c>
      <c r="AA912" s="43" t="s">
        <v>353</v>
      </c>
      <c r="AB912" s="144">
        <v>6.5999999642372104E-2</v>
      </c>
      <c r="AF912" s="43" t="s">
        <v>75</v>
      </c>
      <c r="AG912" s="43" t="s">
        <v>322</v>
      </c>
      <c r="AJ912" s="140">
        <v>0</v>
      </c>
      <c r="AK912" s="140">
        <v>0</v>
      </c>
      <c r="AL912" s="140">
        <v>0</v>
      </c>
      <c r="AM912" s="140">
        <v>0</v>
      </c>
      <c r="AN912" s="140">
        <v>0</v>
      </c>
      <c r="AO912" s="140">
        <v>1</v>
      </c>
      <c r="AP912" s="140">
        <v>8</v>
      </c>
      <c r="AQ912" s="140">
        <v>0</v>
      </c>
      <c r="AR912" s="140">
        <v>0</v>
      </c>
      <c r="AS912" s="140">
        <v>0</v>
      </c>
      <c r="AT912" s="140">
        <v>0</v>
      </c>
      <c r="AU912" s="140">
        <v>0</v>
      </c>
      <c r="AV912" s="140">
        <v>1</v>
      </c>
      <c r="AW912" s="140">
        <v>8</v>
      </c>
      <c r="AX912" s="140">
        <v>0</v>
      </c>
      <c r="AY912" s="140">
        <v>0</v>
      </c>
      <c r="AZ912" s="140">
        <v>0</v>
      </c>
      <c r="BA912" s="140">
        <v>0</v>
      </c>
      <c r="BB912" s="140">
        <v>0</v>
      </c>
      <c r="BC912" s="140">
        <v>0</v>
      </c>
      <c r="BD912" s="140">
        <v>0</v>
      </c>
      <c r="BE912" s="140">
        <v>0</v>
      </c>
      <c r="BF912" s="140">
        <v>0</v>
      </c>
      <c r="BG912" s="140">
        <v>0</v>
      </c>
      <c r="BH912" s="140">
        <v>0</v>
      </c>
      <c r="BI912" s="140">
        <v>0</v>
      </c>
      <c r="BJ912" s="140">
        <v>0</v>
      </c>
      <c r="BK912" s="140">
        <v>0</v>
      </c>
      <c r="BL912" s="140">
        <v>0</v>
      </c>
      <c r="BM912" s="140">
        <v>0</v>
      </c>
      <c r="BN912" s="140">
        <v>0</v>
      </c>
      <c r="BO912" s="140">
        <v>0</v>
      </c>
      <c r="BQ912" s="89"/>
      <c r="BU912" s="89"/>
      <c r="BX912" s="43">
        <v>7</v>
      </c>
      <c r="CB912" s="90">
        <f>M912</f>
        <v>9</v>
      </c>
      <c r="CT912" s="90">
        <f t="shared" si="123"/>
        <v>9</v>
      </c>
      <c r="CU912" s="90">
        <f t="shared" si="124"/>
        <v>9</v>
      </c>
    </row>
    <row r="913" spans="1:99" ht="12" customHeight="1">
      <c r="A913" s="43">
        <v>7094</v>
      </c>
      <c r="B913" s="89" t="s">
        <v>1515</v>
      </c>
      <c r="C913" s="89" t="s">
        <v>2514</v>
      </c>
      <c r="D913" s="89" t="s">
        <v>2515</v>
      </c>
      <c r="F913" s="43">
        <v>528890</v>
      </c>
      <c r="G913" s="43">
        <v>171096</v>
      </c>
      <c r="H913" s="89" t="s">
        <v>171</v>
      </c>
      <c r="K913" s="140">
        <v>0</v>
      </c>
      <c r="L913" s="140">
        <v>1</v>
      </c>
      <c r="M913" s="140">
        <v>1</v>
      </c>
      <c r="N913" s="140">
        <v>1</v>
      </c>
      <c r="O913" s="140">
        <v>1</v>
      </c>
      <c r="Q913" s="89" t="s">
        <v>2516</v>
      </c>
      <c r="R913" s="43" t="s">
        <v>316</v>
      </c>
      <c r="S913" s="125">
        <v>43718</v>
      </c>
      <c r="T913" s="117">
        <v>43781</v>
      </c>
      <c r="U913" s="43" t="s">
        <v>329</v>
      </c>
      <c r="V913" s="43" t="s">
        <v>317</v>
      </c>
      <c r="X913" s="43" t="s">
        <v>318</v>
      </c>
      <c r="Y913" s="43" t="s">
        <v>336</v>
      </c>
      <c r="Z913" s="43" t="s">
        <v>320</v>
      </c>
      <c r="AA913" s="43" t="s">
        <v>30</v>
      </c>
      <c r="AB913" s="144">
        <v>4.0000001899898104E-3</v>
      </c>
      <c r="AF913" s="43" t="s">
        <v>75</v>
      </c>
      <c r="AG913" s="43" t="s">
        <v>322</v>
      </c>
      <c r="AJ913" s="140">
        <v>0</v>
      </c>
      <c r="AK913" s="140">
        <v>0</v>
      </c>
      <c r="AL913" s="140">
        <v>0</v>
      </c>
      <c r="AM913" s="140">
        <v>0</v>
      </c>
      <c r="AN913" s="140">
        <v>1</v>
      </c>
      <c r="AO913" s="140">
        <v>0</v>
      </c>
      <c r="AP913" s="140">
        <v>0</v>
      </c>
      <c r="AQ913" s="140">
        <v>0</v>
      </c>
      <c r="AR913" s="140">
        <v>0</v>
      </c>
      <c r="AS913" s="140">
        <v>0</v>
      </c>
      <c r="AT913" s="140">
        <v>0</v>
      </c>
      <c r="AU913" s="140">
        <v>1</v>
      </c>
      <c r="AV913" s="140">
        <v>0</v>
      </c>
      <c r="AW913" s="140">
        <v>0</v>
      </c>
      <c r="AX913" s="140">
        <v>0</v>
      </c>
      <c r="AY913" s="140">
        <v>0</v>
      </c>
      <c r="AZ913" s="140">
        <v>0</v>
      </c>
      <c r="BA913" s="140">
        <v>0</v>
      </c>
      <c r="BB913" s="140">
        <v>0</v>
      </c>
      <c r="BC913" s="140">
        <v>0</v>
      </c>
      <c r="BD913" s="140">
        <v>0</v>
      </c>
      <c r="BE913" s="140">
        <v>0</v>
      </c>
      <c r="BF913" s="140">
        <v>0</v>
      </c>
      <c r="BG913" s="140">
        <v>0</v>
      </c>
      <c r="BH913" s="140">
        <v>0</v>
      </c>
      <c r="BI913" s="140">
        <v>0</v>
      </c>
      <c r="BJ913" s="140">
        <v>0</v>
      </c>
      <c r="BK913" s="140">
        <v>0</v>
      </c>
      <c r="BL913" s="140">
        <v>0</v>
      </c>
      <c r="BM913" s="140">
        <v>0</v>
      </c>
      <c r="BN913" s="140">
        <v>0</v>
      </c>
      <c r="BO913" s="140">
        <v>0</v>
      </c>
      <c r="BQ913" s="89"/>
      <c r="BU913" s="89"/>
      <c r="BX913" s="43">
        <v>15</v>
      </c>
      <c r="BZ913" s="90">
        <f t="shared" ref="BZ913:CB914" si="127">$M913/3</f>
        <v>0.33333333333333331</v>
      </c>
      <c r="CA913" s="90">
        <f t="shared" si="127"/>
        <v>0.33333333333333331</v>
      </c>
      <c r="CB913" s="90">
        <f t="shared" si="127"/>
        <v>0.33333333333333331</v>
      </c>
      <c r="CT913" s="90">
        <f t="shared" si="123"/>
        <v>1</v>
      </c>
      <c r="CU913" s="90">
        <f t="shared" si="124"/>
        <v>1</v>
      </c>
    </row>
    <row r="914" spans="1:99" ht="12" customHeight="1">
      <c r="A914" s="43">
        <v>7098</v>
      </c>
      <c r="B914" s="89" t="s">
        <v>1515</v>
      </c>
      <c r="C914" s="89" t="s">
        <v>2517</v>
      </c>
      <c r="D914" s="89" t="s">
        <v>2518</v>
      </c>
      <c r="F914" s="43">
        <v>526209</v>
      </c>
      <c r="G914" s="43">
        <v>174797</v>
      </c>
      <c r="H914" s="89" t="s">
        <v>170</v>
      </c>
      <c r="K914" s="140">
        <v>0</v>
      </c>
      <c r="L914" s="140">
        <v>1</v>
      </c>
      <c r="M914" s="140">
        <v>1</v>
      </c>
      <c r="N914" s="140">
        <v>1</v>
      </c>
      <c r="O914" s="140">
        <v>1</v>
      </c>
      <c r="Q914" s="89" t="s">
        <v>2519</v>
      </c>
      <c r="R914" s="43" t="s">
        <v>316</v>
      </c>
      <c r="S914" s="125">
        <v>43734</v>
      </c>
      <c r="T914" s="117">
        <v>43879</v>
      </c>
      <c r="U914" s="43" t="s">
        <v>329</v>
      </c>
      <c r="V914" s="43" t="s">
        <v>317</v>
      </c>
      <c r="X914" s="43" t="s">
        <v>318</v>
      </c>
      <c r="Y914" s="43" t="s">
        <v>336</v>
      </c>
      <c r="Z914" s="43" t="s">
        <v>320</v>
      </c>
      <c r="AA914" s="43" t="s">
        <v>33</v>
      </c>
      <c r="AB914" s="144">
        <v>1.4000000432133701E-2</v>
      </c>
      <c r="AF914" s="43" t="s">
        <v>75</v>
      </c>
      <c r="AG914" s="43" t="s">
        <v>322</v>
      </c>
      <c r="AJ914" s="140">
        <v>0</v>
      </c>
      <c r="AK914" s="140">
        <v>0</v>
      </c>
      <c r="AL914" s="140">
        <v>0</v>
      </c>
      <c r="AM914" s="140">
        <v>0</v>
      </c>
      <c r="AN914" s="140">
        <v>0</v>
      </c>
      <c r="AO914" s="140">
        <v>0</v>
      </c>
      <c r="AP914" s="140">
        <v>0</v>
      </c>
      <c r="AQ914" s="140">
        <v>1</v>
      </c>
      <c r="AR914" s="140">
        <v>0</v>
      </c>
      <c r="AS914" s="140">
        <v>0</v>
      </c>
      <c r="AT914" s="140">
        <v>0</v>
      </c>
      <c r="AU914" s="140">
        <v>0</v>
      </c>
      <c r="AV914" s="140">
        <v>0</v>
      </c>
      <c r="AW914" s="140">
        <v>0</v>
      </c>
      <c r="AX914" s="140">
        <v>1</v>
      </c>
      <c r="AY914" s="140">
        <v>0</v>
      </c>
      <c r="AZ914" s="140">
        <v>0</v>
      </c>
      <c r="BA914" s="140">
        <v>0</v>
      </c>
      <c r="BB914" s="140">
        <v>0</v>
      </c>
      <c r="BC914" s="140">
        <v>0</v>
      </c>
      <c r="BD914" s="140">
        <v>0</v>
      </c>
      <c r="BE914" s="140">
        <v>0</v>
      </c>
      <c r="BF914" s="140">
        <v>0</v>
      </c>
      <c r="BG914" s="140">
        <v>0</v>
      </c>
      <c r="BH914" s="140">
        <v>0</v>
      </c>
      <c r="BI914" s="140">
        <v>0</v>
      </c>
      <c r="BJ914" s="140">
        <v>0</v>
      </c>
      <c r="BK914" s="140">
        <v>0</v>
      </c>
      <c r="BL914" s="140">
        <v>0</v>
      </c>
      <c r="BM914" s="140">
        <v>0</v>
      </c>
      <c r="BN914" s="140">
        <v>0</v>
      </c>
      <c r="BO914" s="140">
        <v>0</v>
      </c>
      <c r="BQ914" s="89"/>
      <c r="BU914" s="89"/>
      <c r="BX914" s="43">
        <v>15</v>
      </c>
      <c r="BZ914" s="90">
        <f t="shared" si="127"/>
        <v>0.33333333333333331</v>
      </c>
      <c r="CA914" s="90">
        <f t="shared" si="127"/>
        <v>0.33333333333333331</v>
      </c>
      <c r="CB914" s="90">
        <f t="shared" si="127"/>
        <v>0.33333333333333331</v>
      </c>
      <c r="CT914" s="90">
        <f t="shared" si="123"/>
        <v>1</v>
      </c>
      <c r="CU914" s="90">
        <f t="shared" si="124"/>
        <v>1</v>
      </c>
    </row>
    <row r="915" spans="1:99" ht="12" customHeight="1">
      <c r="A915" s="43">
        <v>7100</v>
      </c>
      <c r="B915" s="89" t="s">
        <v>1515</v>
      </c>
      <c r="C915" s="89" t="s">
        <v>2520</v>
      </c>
      <c r="D915" s="89" t="s">
        <v>2521</v>
      </c>
      <c r="F915" s="43">
        <v>525939</v>
      </c>
      <c r="G915" s="43">
        <v>174515</v>
      </c>
      <c r="H915" s="89" t="s">
        <v>170</v>
      </c>
      <c r="K915" s="140">
        <v>1</v>
      </c>
      <c r="L915" s="140">
        <v>9</v>
      </c>
      <c r="M915" s="140">
        <v>8</v>
      </c>
      <c r="N915" s="140">
        <v>9</v>
      </c>
      <c r="O915" s="140">
        <v>8</v>
      </c>
      <c r="Q915" s="89" t="s">
        <v>2522</v>
      </c>
      <c r="R915" s="43" t="s">
        <v>316</v>
      </c>
      <c r="S915" s="125">
        <v>43493</v>
      </c>
      <c r="T915" s="117">
        <v>43557</v>
      </c>
      <c r="U915" s="43" t="s">
        <v>329</v>
      </c>
      <c r="V915" s="43" t="s">
        <v>317</v>
      </c>
      <c r="X915" s="43" t="s">
        <v>318</v>
      </c>
      <c r="Y915" s="43" t="s">
        <v>361</v>
      </c>
      <c r="Z915" s="43" t="s">
        <v>320</v>
      </c>
      <c r="AA915" s="43" t="s">
        <v>353</v>
      </c>
      <c r="AB915" s="144">
        <v>3.5000000149011598E-2</v>
      </c>
      <c r="AF915" s="43" t="s">
        <v>75</v>
      </c>
      <c r="AG915" s="43" t="s">
        <v>322</v>
      </c>
      <c r="AJ915" s="140">
        <v>0</v>
      </c>
      <c r="AK915" s="140">
        <v>9</v>
      </c>
      <c r="AL915" s="140">
        <v>0</v>
      </c>
      <c r="AM915" s="140">
        <v>0</v>
      </c>
      <c r="AN915" s="140">
        <v>0</v>
      </c>
      <c r="AO915" s="140">
        <v>5</v>
      </c>
      <c r="AP915" s="140">
        <v>4</v>
      </c>
      <c r="AQ915" s="140">
        <v>0</v>
      </c>
      <c r="AR915" s="140">
        <v>0</v>
      </c>
      <c r="AS915" s="140">
        <v>0</v>
      </c>
      <c r="AT915" s="140">
        <v>-1</v>
      </c>
      <c r="AU915" s="140">
        <v>0</v>
      </c>
      <c r="AV915" s="140">
        <v>5</v>
      </c>
      <c r="AW915" s="140">
        <v>4</v>
      </c>
      <c r="AX915" s="140">
        <v>0</v>
      </c>
      <c r="AY915" s="140">
        <v>0</v>
      </c>
      <c r="AZ915" s="140">
        <v>0</v>
      </c>
      <c r="BA915" s="140">
        <v>-1</v>
      </c>
      <c r="BB915" s="140">
        <v>0</v>
      </c>
      <c r="BC915" s="140">
        <v>0</v>
      </c>
      <c r="BD915" s="140">
        <v>0</v>
      </c>
      <c r="BE915" s="140">
        <v>0</v>
      </c>
      <c r="BF915" s="140">
        <v>0</v>
      </c>
      <c r="BG915" s="140">
        <v>0</v>
      </c>
      <c r="BH915" s="140">
        <v>0</v>
      </c>
      <c r="BI915" s="140">
        <v>0</v>
      </c>
      <c r="BJ915" s="140">
        <v>0</v>
      </c>
      <c r="BK915" s="140">
        <v>0</v>
      </c>
      <c r="BL915" s="140">
        <v>0</v>
      </c>
      <c r="BM915" s="140">
        <v>0</v>
      </c>
      <c r="BN915" s="140">
        <v>0</v>
      </c>
      <c r="BO915" s="140">
        <v>0</v>
      </c>
      <c r="BQ915" s="89"/>
      <c r="BU915" s="89"/>
      <c r="BX915" s="43">
        <v>9</v>
      </c>
      <c r="CC915" s="90">
        <f>$M915/3</f>
        <v>2.6666666666666665</v>
      </c>
      <c r="CD915" s="90">
        <f>$M915/3</f>
        <v>2.6666666666666665</v>
      </c>
      <c r="CE915" s="90">
        <f>$M915/3</f>
        <v>2.6666666666666665</v>
      </c>
      <c r="CT915" s="90">
        <f t="shared" si="123"/>
        <v>5.333333333333333</v>
      </c>
      <c r="CU915" s="90">
        <f t="shared" si="124"/>
        <v>8</v>
      </c>
    </row>
    <row r="916" spans="1:99" ht="12" customHeight="1">
      <c r="A916" s="43">
        <v>7103</v>
      </c>
      <c r="B916" s="89" t="s">
        <v>1515</v>
      </c>
      <c r="C916" s="89" t="s">
        <v>2523</v>
      </c>
      <c r="D916" s="89" t="s">
        <v>2524</v>
      </c>
      <c r="E916" s="89" t="s">
        <v>346</v>
      </c>
      <c r="F916" s="43">
        <v>529082</v>
      </c>
      <c r="G916" s="43">
        <v>173094</v>
      </c>
      <c r="H916" s="89" t="s">
        <v>138</v>
      </c>
      <c r="K916" s="140">
        <v>1</v>
      </c>
      <c r="L916" s="140">
        <v>2</v>
      </c>
      <c r="M916" s="140">
        <v>1</v>
      </c>
      <c r="N916" s="140">
        <v>3</v>
      </c>
      <c r="O916" s="140">
        <v>2</v>
      </c>
      <c r="Q916" s="89" t="s">
        <v>2525</v>
      </c>
      <c r="R916" s="43" t="s">
        <v>316</v>
      </c>
      <c r="S916" s="125">
        <v>43497</v>
      </c>
      <c r="T916" s="117">
        <v>43553</v>
      </c>
      <c r="V916" s="43" t="s">
        <v>317</v>
      </c>
      <c r="X916" s="43" t="s">
        <v>318</v>
      </c>
      <c r="Y916" s="43" t="s">
        <v>319</v>
      </c>
      <c r="Z916" s="43" t="s">
        <v>320</v>
      </c>
      <c r="AA916" s="43" t="s">
        <v>20</v>
      </c>
      <c r="AB916" s="144">
        <v>1.30000002682209E-2</v>
      </c>
      <c r="AF916" s="43" t="s">
        <v>75</v>
      </c>
      <c r="AG916" s="43" t="s">
        <v>322</v>
      </c>
      <c r="AJ916" s="140">
        <v>0</v>
      </c>
      <c r="AK916" s="140">
        <v>0</v>
      </c>
      <c r="AL916" s="140">
        <v>0</v>
      </c>
      <c r="AM916" s="140">
        <v>0</v>
      </c>
      <c r="AN916" s="140">
        <v>0</v>
      </c>
      <c r="AO916" s="140">
        <v>0</v>
      </c>
      <c r="AP916" s="140">
        <v>1</v>
      </c>
      <c r="AQ916" s="140">
        <v>0</v>
      </c>
      <c r="AR916" s="140">
        <v>1</v>
      </c>
      <c r="AS916" s="140">
        <v>-1</v>
      </c>
      <c r="AT916" s="140">
        <v>0</v>
      </c>
      <c r="AU916" s="140">
        <v>0</v>
      </c>
      <c r="AV916" s="140">
        <v>0</v>
      </c>
      <c r="AW916" s="140">
        <v>1</v>
      </c>
      <c r="AX916" s="140">
        <v>0</v>
      </c>
      <c r="AY916" s="140">
        <v>1</v>
      </c>
      <c r="AZ916" s="140">
        <v>0</v>
      </c>
      <c r="BA916" s="140">
        <v>0</v>
      </c>
      <c r="BB916" s="140">
        <v>0</v>
      </c>
      <c r="BC916" s="140">
        <v>0</v>
      </c>
      <c r="BD916" s="140">
        <v>0</v>
      </c>
      <c r="BE916" s="140">
        <v>0</v>
      </c>
      <c r="BF916" s="140">
        <v>0</v>
      </c>
      <c r="BG916" s="140">
        <v>-1</v>
      </c>
      <c r="BH916" s="140">
        <v>0</v>
      </c>
      <c r="BI916" s="140">
        <v>0</v>
      </c>
      <c r="BJ916" s="140">
        <v>0</v>
      </c>
      <c r="BK916" s="140">
        <v>0</v>
      </c>
      <c r="BL916" s="140">
        <v>0</v>
      </c>
      <c r="BM916" s="140">
        <v>0</v>
      </c>
      <c r="BN916" s="140">
        <v>0</v>
      </c>
      <c r="BO916" s="140">
        <v>0</v>
      </c>
      <c r="BQ916" s="89"/>
      <c r="BU916" s="89"/>
      <c r="BX916" s="43">
        <v>15</v>
      </c>
      <c r="BZ916" s="90">
        <f t="shared" ref="BZ916:CB921" si="128">$M916/3</f>
        <v>0.33333333333333331</v>
      </c>
      <c r="CA916" s="90">
        <f t="shared" si="128"/>
        <v>0.33333333333333331</v>
      </c>
      <c r="CB916" s="90">
        <f t="shared" si="128"/>
        <v>0.33333333333333331</v>
      </c>
      <c r="CT916" s="90">
        <f t="shared" si="123"/>
        <v>1</v>
      </c>
      <c r="CU916" s="90">
        <f t="shared" si="124"/>
        <v>1</v>
      </c>
    </row>
    <row r="917" spans="1:99" ht="12" customHeight="1">
      <c r="A917" s="43">
        <v>7103</v>
      </c>
      <c r="B917" s="89" t="s">
        <v>1515</v>
      </c>
      <c r="C917" s="89" t="s">
        <v>2523</v>
      </c>
      <c r="D917" s="89" t="s">
        <v>2524</v>
      </c>
      <c r="E917" s="89" t="s">
        <v>944</v>
      </c>
      <c r="F917" s="43">
        <v>529082</v>
      </c>
      <c r="G917" s="43">
        <v>173094</v>
      </c>
      <c r="H917" s="89" t="s">
        <v>138</v>
      </c>
      <c r="K917" s="140">
        <v>0</v>
      </c>
      <c r="L917" s="140">
        <v>1</v>
      </c>
      <c r="M917" s="140">
        <v>1</v>
      </c>
      <c r="N917" s="140">
        <v>3</v>
      </c>
      <c r="O917" s="140">
        <v>2</v>
      </c>
      <c r="Q917" s="89" t="s">
        <v>2525</v>
      </c>
      <c r="R917" s="43" t="s">
        <v>316</v>
      </c>
      <c r="S917" s="125">
        <v>43497</v>
      </c>
      <c r="T917" s="117">
        <v>43553</v>
      </c>
      <c r="V917" s="43" t="s">
        <v>317</v>
      </c>
      <c r="X917" s="43" t="s">
        <v>318</v>
      </c>
      <c r="Y917" s="43" t="s">
        <v>319</v>
      </c>
      <c r="Z917" s="43" t="s">
        <v>320</v>
      </c>
      <c r="AA917" s="43" t="s">
        <v>340</v>
      </c>
      <c r="AB917" s="144">
        <v>4.0000001899898104E-3</v>
      </c>
      <c r="AF917" s="43" t="s">
        <v>75</v>
      </c>
      <c r="AG917" s="43" t="s">
        <v>322</v>
      </c>
      <c r="AJ917" s="140">
        <v>0</v>
      </c>
      <c r="AK917" s="140">
        <v>0</v>
      </c>
      <c r="AL917" s="140">
        <v>0</v>
      </c>
      <c r="AM917" s="140">
        <v>0</v>
      </c>
      <c r="AN917" s="140">
        <v>0</v>
      </c>
      <c r="AO917" s="140">
        <v>1</v>
      </c>
      <c r="AP917" s="140">
        <v>0</v>
      </c>
      <c r="AQ917" s="140">
        <v>0</v>
      </c>
      <c r="AR917" s="140">
        <v>0</v>
      </c>
      <c r="AS917" s="140">
        <v>0</v>
      </c>
      <c r="AT917" s="140">
        <v>0</v>
      </c>
      <c r="AU917" s="140">
        <v>0</v>
      </c>
      <c r="AV917" s="140">
        <v>1</v>
      </c>
      <c r="AW917" s="140">
        <v>0</v>
      </c>
      <c r="AX917" s="140">
        <v>0</v>
      </c>
      <c r="AY917" s="140">
        <v>0</v>
      </c>
      <c r="AZ917" s="140">
        <v>0</v>
      </c>
      <c r="BA917" s="140">
        <v>0</v>
      </c>
      <c r="BB917" s="140">
        <v>0</v>
      </c>
      <c r="BC917" s="140">
        <v>0</v>
      </c>
      <c r="BD917" s="140">
        <v>0</v>
      </c>
      <c r="BE917" s="140">
        <v>0</v>
      </c>
      <c r="BF917" s="140">
        <v>0</v>
      </c>
      <c r="BG917" s="140">
        <v>0</v>
      </c>
      <c r="BH917" s="140">
        <v>0</v>
      </c>
      <c r="BI917" s="140">
        <v>0</v>
      </c>
      <c r="BJ917" s="140">
        <v>0</v>
      </c>
      <c r="BK917" s="140">
        <v>0</v>
      </c>
      <c r="BL917" s="140">
        <v>0</v>
      </c>
      <c r="BM917" s="140">
        <v>0</v>
      </c>
      <c r="BN917" s="140">
        <v>0</v>
      </c>
      <c r="BO917" s="140">
        <v>0</v>
      </c>
      <c r="BQ917" s="89"/>
      <c r="BU917" s="89"/>
      <c r="BX917" s="43">
        <v>15</v>
      </c>
      <c r="BZ917" s="90">
        <f t="shared" si="128"/>
        <v>0.33333333333333331</v>
      </c>
      <c r="CA917" s="90">
        <f t="shared" si="128"/>
        <v>0.33333333333333331</v>
      </c>
      <c r="CB917" s="90">
        <f t="shared" si="128"/>
        <v>0.33333333333333331</v>
      </c>
      <c r="CT917" s="90">
        <f t="shared" si="123"/>
        <v>1</v>
      </c>
      <c r="CU917" s="90">
        <f t="shared" si="124"/>
        <v>1</v>
      </c>
    </row>
    <row r="918" spans="1:99" ht="12" customHeight="1">
      <c r="A918" s="43">
        <v>7129</v>
      </c>
      <c r="B918" s="89" t="s">
        <v>1515</v>
      </c>
      <c r="C918" s="89" t="s">
        <v>2526</v>
      </c>
      <c r="D918" s="89" t="s">
        <v>2527</v>
      </c>
      <c r="E918" s="89" t="s">
        <v>346</v>
      </c>
      <c r="F918" s="43">
        <v>527405</v>
      </c>
      <c r="G918" s="43">
        <v>175327</v>
      </c>
      <c r="H918" s="89" t="s">
        <v>174</v>
      </c>
      <c r="K918" s="140">
        <v>2</v>
      </c>
      <c r="L918" s="140">
        <v>4</v>
      </c>
      <c r="M918" s="140">
        <v>2</v>
      </c>
      <c r="N918" s="140">
        <v>5</v>
      </c>
      <c r="O918" s="140">
        <v>3</v>
      </c>
      <c r="Q918" s="89" t="s">
        <v>2528</v>
      </c>
      <c r="R918" s="43" t="s">
        <v>316</v>
      </c>
      <c r="S918" s="125">
        <v>43537</v>
      </c>
      <c r="T918" s="117">
        <v>43572</v>
      </c>
      <c r="U918" s="43" t="s">
        <v>329</v>
      </c>
      <c r="V918" s="43" t="s">
        <v>317</v>
      </c>
      <c r="X918" s="43" t="s">
        <v>318</v>
      </c>
      <c r="Y918" s="43" t="s">
        <v>319</v>
      </c>
      <c r="Z918" s="43" t="s">
        <v>320</v>
      </c>
      <c r="AA918" s="43" t="s">
        <v>321</v>
      </c>
      <c r="AB918" s="144">
        <v>1.7999999225139601E-2</v>
      </c>
      <c r="AF918" s="43" t="s">
        <v>75</v>
      </c>
      <c r="AG918" s="43" t="s">
        <v>322</v>
      </c>
      <c r="AJ918" s="140">
        <v>0</v>
      </c>
      <c r="AK918" s="140">
        <v>0</v>
      </c>
      <c r="AL918" s="140">
        <v>0</v>
      </c>
      <c r="AM918" s="140">
        <v>0</v>
      </c>
      <c r="AN918" s="140">
        <v>0</v>
      </c>
      <c r="AO918" s="140">
        <v>4</v>
      </c>
      <c r="AP918" s="140">
        <v>-1</v>
      </c>
      <c r="AQ918" s="140">
        <v>-1</v>
      </c>
      <c r="AR918" s="140">
        <v>0</v>
      </c>
      <c r="AS918" s="140">
        <v>0</v>
      </c>
      <c r="AT918" s="140">
        <v>0</v>
      </c>
      <c r="AU918" s="140">
        <v>0</v>
      </c>
      <c r="AV918" s="140">
        <v>4</v>
      </c>
      <c r="AW918" s="140">
        <v>-1</v>
      </c>
      <c r="AX918" s="140">
        <v>-1</v>
      </c>
      <c r="AY918" s="140">
        <v>0</v>
      </c>
      <c r="AZ918" s="140">
        <v>0</v>
      </c>
      <c r="BA918" s="140">
        <v>0</v>
      </c>
      <c r="BB918" s="140">
        <v>0</v>
      </c>
      <c r="BC918" s="140">
        <v>0</v>
      </c>
      <c r="BD918" s="140">
        <v>0</v>
      </c>
      <c r="BE918" s="140">
        <v>0</v>
      </c>
      <c r="BF918" s="140">
        <v>0</v>
      </c>
      <c r="BG918" s="140">
        <v>0</v>
      </c>
      <c r="BH918" s="140">
        <v>0</v>
      </c>
      <c r="BI918" s="140">
        <v>0</v>
      </c>
      <c r="BJ918" s="140">
        <v>0</v>
      </c>
      <c r="BK918" s="140">
        <v>0</v>
      </c>
      <c r="BL918" s="140">
        <v>0</v>
      </c>
      <c r="BM918" s="140">
        <v>0</v>
      </c>
      <c r="BN918" s="140">
        <v>0</v>
      </c>
      <c r="BO918" s="140">
        <v>0</v>
      </c>
      <c r="BP918" s="43" t="s">
        <v>139</v>
      </c>
      <c r="BQ918" s="89"/>
      <c r="BU918" s="89"/>
      <c r="BX918" s="43">
        <v>15</v>
      </c>
      <c r="BZ918" s="90">
        <f t="shared" si="128"/>
        <v>0.66666666666666663</v>
      </c>
      <c r="CA918" s="90">
        <f t="shared" si="128"/>
        <v>0.66666666666666663</v>
      </c>
      <c r="CB918" s="90">
        <f t="shared" si="128"/>
        <v>0.66666666666666663</v>
      </c>
      <c r="CT918" s="90">
        <f t="shared" si="123"/>
        <v>2</v>
      </c>
      <c r="CU918" s="90">
        <f t="shared" si="124"/>
        <v>2</v>
      </c>
    </row>
    <row r="919" spans="1:99" ht="12" customHeight="1">
      <c r="A919" s="43">
        <v>7129</v>
      </c>
      <c r="B919" s="89" t="s">
        <v>1515</v>
      </c>
      <c r="C919" s="89" t="s">
        <v>2526</v>
      </c>
      <c r="D919" s="89" t="s">
        <v>2527</v>
      </c>
      <c r="F919" s="43">
        <v>527405</v>
      </c>
      <c r="G919" s="43">
        <v>175327</v>
      </c>
      <c r="H919" s="89" t="s">
        <v>174</v>
      </c>
      <c r="K919" s="140">
        <v>0</v>
      </c>
      <c r="L919" s="140">
        <v>1</v>
      </c>
      <c r="M919" s="140">
        <v>1</v>
      </c>
      <c r="N919" s="140">
        <v>5</v>
      </c>
      <c r="O919" s="140">
        <v>3</v>
      </c>
      <c r="Q919" s="89" t="s">
        <v>2528</v>
      </c>
      <c r="R919" s="43" t="s">
        <v>316</v>
      </c>
      <c r="S919" s="125">
        <v>43537</v>
      </c>
      <c r="T919" s="117">
        <v>43572</v>
      </c>
      <c r="U919" s="43" t="s">
        <v>329</v>
      </c>
      <c r="V919" s="43" t="s">
        <v>317</v>
      </c>
      <c r="X919" s="43" t="s">
        <v>318</v>
      </c>
      <c r="Y919" s="43" t="s">
        <v>319</v>
      </c>
      <c r="Z919" s="43" t="s">
        <v>320</v>
      </c>
      <c r="AA919" s="43" t="s">
        <v>353</v>
      </c>
      <c r="AB919" s="144">
        <v>4.9999998882412902E-3</v>
      </c>
      <c r="AF919" s="43" t="s">
        <v>75</v>
      </c>
      <c r="AG919" s="43" t="s">
        <v>322</v>
      </c>
      <c r="AJ919" s="140">
        <v>0</v>
      </c>
      <c r="AK919" s="140">
        <v>0</v>
      </c>
      <c r="AL919" s="140">
        <v>0</v>
      </c>
      <c r="AM919" s="140">
        <v>0</v>
      </c>
      <c r="AN919" s="140">
        <v>0</v>
      </c>
      <c r="AO919" s="140">
        <v>0</v>
      </c>
      <c r="AP919" s="140">
        <v>1</v>
      </c>
      <c r="AQ919" s="140">
        <v>0</v>
      </c>
      <c r="AR919" s="140">
        <v>0</v>
      </c>
      <c r="AS919" s="140">
        <v>0</v>
      </c>
      <c r="AT919" s="140">
        <v>0</v>
      </c>
      <c r="AU919" s="140">
        <v>0</v>
      </c>
      <c r="AV919" s="140">
        <v>0</v>
      </c>
      <c r="AW919" s="140">
        <v>0</v>
      </c>
      <c r="AX919" s="140">
        <v>0</v>
      </c>
      <c r="AY919" s="140">
        <v>0</v>
      </c>
      <c r="AZ919" s="140">
        <v>0</v>
      </c>
      <c r="BA919" s="140">
        <v>0</v>
      </c>
      <c r="BB919" s="140">
        <v>0</v>
      </c>
      <c r="BC919" s="140">
        <v>0</v>
      </c>
      <c r="BD919" s="140">
        <v>1</v>
      </c>
      <c r="BE919" s="140">
        <v>0</v>
      </c>
      <c r="BF919" s="140">
        <v>0</v>
      </c>
      <c r="BG919" s="140">
        <v>0</v>
      </c>
      <c r="BH919" s="140">
        <v>0</v>
      </c>
      <c r="BI919" s="140">
        <v>0</v>
      </c>
      <c r="BJ919" s="140">
        <v>0</v>
      </c>
      <c r="BK919" s="140">
        <v>0</v>
      </c>
      <c r="BL919" s="140">
        <v>0</v>
      </c>
      <c r="BM919" s="140">
        <v>0</v>
      </c>
      <c r="BN919" s="140">
        <v>0</v>
      </c>
      <c r="BO919" s="140">
        <v>0</v>
      </c>
      <c r="BP919" s="43" t="s">
        <v>139</v>
      </c>
      <c r="BQ919" s="89"/>
      <c r="BU919" s="89"/>
      <c r="BX919" s="43">
        <v>15</v>
      </c>
      <c r="BZ919" s="90">
        <f t="shared" si="128"/>
        <v>0.33333333333333331</v>
      </c>
      <c r="CA919" s="90">
        <f t="shared" si="128"/>
        <v>0.33333333333333331</v>
      </c>
      <c r="CB919" s="90">
        <f t="shared" si="128"/>
        <v>0.33333333333333331</v>
      </c>
      <c r="CT919" s="90">
        <f t="shared" si="123"/>
        <v>1</v>
      </c>
      <c r="CU919" s="90">
        <f t="shared" si="124"/>
        <v>1</v>
      </c>
    </row>
    <row r="920" spans="1:99" ht="12" customHeight="1">
      <c r="A920" s="43">
        <v>7130</v>
      </c>
      <c r="B920" s="89" t="s">
        <v>1515</v>
      </c>
      <c r="C920" s="89" t="s">
        <v>2529</v>
      </c>
      <c r="D920" s="89" t="s">
        <v>2530</v>
      </c>
      <c r="F920" s="43">
        <v>527830</v>
      </c>
      <c r="G920" s="43">
        <v>174273</v>
      </c>
      <c r="H920" s="89" t="s">
        <v>174</v>
      </c>
      <c r="K920" s="140">
        <v>1</v>
      </c>
      <c r="L920" s="140">
        <v>1</v>
      </c>
      <c r="M920" s="140">
        <v>0</v>
      </c>
      <c r="N920" s="140">
        <v>2</v>
      </c>
      <c r="O920" s="140">
        <v>1</v>
      </c>
      <c r="Q920" s="89" t="s">
        <v>2531</v>
      </c>
      <c r="R920" s="43" t="s">
        <v>316</v>
      </c>
      <c r="S920" s="125">
        <v>43676</v>
      </c>
      <c r="T920" s="117">
        <v>43725</v>
      </c>
      <c r="U920" s="43" t="s">
        <v>329</v>
      </c>
      <c r="V920" s="43" t="s">
        <v>317</v>
      </c>
      <c r="X920" s="43" t="s">
        <v>318</v>
      </c>
      <c r="Y920" s="43" t="s">
        <v>319</v>
      </c>
      <c r="Z920" s="43" t="s">
        <v>320</v>
      </c>
      <c r="AA920" s="43" t="s">
        <v>20</v>
      </c>
      <c r="AB920" s="144">
        <v>7.0000002160668399E-3</v>
      </c>
      <c r="AF920" s="43" t="s">
        <v>75</v>
      </c>
      <c r="AG920" s="43" t="s">
        <v>322</v>
      </c>
      <c r="AJ920" s="140">
        <v>0</v>
      </c>
      <c r="AK920" s="140">
        <v>0</v>
      </c>
      <c r="AL920" s="140">
        <v>0</v>
      </c>
      <c r="AM920" s="140">
        <v>0</v>
      </c>
      <c r="AN920" s="140">
        <v>0</v>
      </c>
      <c r="AO920" s="140">
        <v>0</v>
      </c>
      <c r="AP920" s="140">
        <v>0</v>
      </c>
      <c r="AQ920" s="140">
        <v>1</v>
      </c>
      <c r="AR920" s="140">
        <v>-1</v>
      </c>
      <c r="AS920" s="140">
        <v>0</v>
      </c>
      <c r="AT920" s="140">
        <v>0</v>
      </c>
      <c r="AU920" s="140">
        <v>0</v>
      </c>
      <c r="AV920" s="140">
        <v>0</v>
      </c>
      <c r="AW920" s="140">
        <v>0</v>
      </c>
      <c r="AX920" s="140">
        <v>1</v>
      </c>
      <c r="AY920" s="140">
        <v>0</v>
      </c>
      <c r="AZ920" s="140">
        <v>0</v>
      </c>
      <c r="BA920" s="140">
        <v>0</v>
      </c>
      <c r="BB920" s="140">
        <v>0</v>
      </c>
      <c r="BC920" s="140">
        <v>0</v>
      </c>
      <c r="BD920" s="140">
        <v>0</v>
      </c>
      <c r="BE920" s="140">
        <v>0</v>
      </c>
      <c r="BF920" s="140">
        <v>-1</v>
      </c>
      <c r="BG920" s="140">
        <v>0</v>
      </c>
      <c r="BH920" s="140">
        <v>0</v>
      </c>
      <c r="BI920" s="140">
        <v>0</v>
      </c>
      <c r="BJ920" s="140">
        <v>0</v>
      </c>
      <c r="BK920" s="140">
        <v>0</v>
      </c>
      <c r="BL920" s="140">
        <v>0</v>
      </c>
      <c r="BM920" s="140">
        <v>0</v>
      </c>
      <c r="BN920" s="140">
        <v>0</v>
      </c>
      <c r="BO920" s="140">
        <v>0</v>
      </c>
      <c r="BQ920" s="89"/>
      <c r="BU920" s="89"/>
      <c r="BX920" s="43">
        <v>15</v>
      </c>
      <c r="BZ920" s="90">
        <f t="shared" si="128"/>
        <v>0</v>
      </c>
      <c r="CA920" s="90">
        <f t="shared" si="128"/>
        <v>0</v>
      </c>
      <c r="CB920" s="90">
        <f t="shared" si="128"/>
        <v>0</v>
      </c>
      <c r="CT920" s="90">
        <f t="shared" si="123"/>
        <v>0</v>
      </c>
      <c r="CU920" s="90">
        <f t="shared" si="124"/>
        <v>0</v>
      </c>
    </row>
    <row r="921" spans="1:99" ht="12" customHeight="1">
      <c r="A921" s="43">
        <v>7130</v>
      </c>
      <c r="B921" s="89" t="s">
        <v>1515</v>
      </c>
      <c r="C921" s="89" t="s">
        <v>2529</v>
      </c>
      <c r="D921" s="89" t="s">
        <v>2530</v>
      </c>
      <c r="F921" s="43">
        <v>527830</v>
      </c>
      <c r="G921" s="43">
        <v>174273</v>
      </c>
      <c r="H921" s="89" t="s">
        <v>174</v>
      </c>
      <c r="K921" s="140">
        <v>0</v>
      </c>
      <c r="L921" s="140">
        <v>1</v>
      </c>
      <c r="M921" s="140">
        <v>1</v>
      </c>
      <c r="N921" s="140">
        <v>2</v>
      </c>
      <c r="O921" s="140">
        <v>1</v>
      </c>
      <c r="Q921" s="89" t="s">
        <v>2531</v>
      </c>
      <c r="R921" s="43" t="s">
        <v>316</v>
      </c>
      <c r="S921" s="125">
        <v>43676</v>
      </c>
      <c r="T921" s="117">
        <v>43725</v>
      </c>
      <c r="U921" s="43" t="s">
        <v>329</v>
      </c>
      <c r="V921" s="43" t="s">
        <v>317</v>
      </c>
      <c r="X921" s="43" t="s">
        <v>318</v>
      </c>
      <c r="Y921" s="43" t="s">
        <v>319</v>
      </c>
      <c r="Z921" s="43" t="s">
        <v>320</v>
      </c>
      <c r="AA921" s="43" t="s">
        <v>340</v>
      </c>
      <c r="AB921" s="144">
        <v>7.0000002160668399E-3</v>
      </c>
      <c r="AF921" s="43" t="s">
        <v>75</v>
      </c>
      <c r="AG921" s="43" t="s">
        <v>322</v>
      </c>
      <c r="AJ921" s="140">
        <v>0</v>
      </c>
      <c r="AK921" s="140">
        <v>0</v>
      </c>
      <c r="AL921" s="140">
        <v>0</v>
      </c>
      <c r="AM921" s="140">
        <v>0</v>
      </c>
      <c r="AN921" s="140">
        <v>0</v>
      </c>
      <c r="AO921" s="140">
        <v>0</v>
      </c>
      <c r="AP921" s="140">
        <v>1</v>
      </c>
      <c r="AQ921" s="140">
        <v>0</v>
      </c>
      <c r="AR921" s="140">
        <v>0</v>
      </c>
      <c r="AS921" s="140">
        <v>0</v>
      </c>
      <c r="AT921" s="140">
        <v>0</v>
      </c>
      <c r="AU921" s="140">
        <v>0</v>
      </c>
      <c r="AV921" s="140">
        <v>0</v>
      </c>
      <c r="AW921" s="140">
        <v>1</v>
      </c>
      <c r="AX921" s="140">
        <v>0</v>
      </c>
      <c r="AY921" s="140">
        <v>0</v>
      </c>
      <c r="AZ921" s="140">
        <v>0</v>
      </c>
      <c r="BA921" s="140">
        <v>0</v>
      </c>
      <c r="BB921" s="140">
        <v>0</v>
      </c>
      <c r="BC921" s="140">
        <v>0</v>
      </c>
      <c r="BD921" s="140">
        <v>0</v>
      </c>
      <c r="BE921" s="140">
        <v>0</v>
      </c>
      <c r="BF921" s="140">
        <v>0</v>
      </c>
      <c r="BG921" s="140">
        <v>0</v>
      </c>
      <c r="BH921" s="140">
        <v>0</v>
      </c>
      <c r="BI921" s="140">
        <v>0</v>
      </c>
      <c r="BJ921" s="140">
        <v>0</v>
      </c>
      <c r="BK921" s="140">
        <v>0</v>
      </c>
      <c r="BL921" s="140">
        <v>0</v>
      </c>
      <c r="BM921" s="140">
        <v>0</v>
      </c>
      <c r="BN921" s="140">
        <v>0</v>
      </c>
      <c r="BO921" s="140">
        <v>0</v>
      </c>
      <c r="BQ921" s="89"/>
      <c r="BU921" s="89"/>
      <c r="BX921" s="43">
        <v>15</v>
      </c>
      <c r="BZ921" s="90">
        <f t="shared" si="128"/>
        <v>0.33333333333333331</v>
      </c>
      <c r="CA921" s="90">
        <f t="shared" si="128"/>
        <v>0.33333333333333331</v>
      </c>
      <c r="CB921" s="90">
        <f t="shared" si="128"/>
        <v>0.33333333333333331</v>
      </c>
      <c r="CT921" s="90">
        <f t="shared" si="123"/>
        <v>1</v>
      </c>
      <c r="CU921" s="90">
        <f t="shared" si="124"/>
        <v>1</v>
      </c>
    </row>
    <row r="922" spans="1:99" ht="12" customHeight="1">
      <c r="A922" s="43">
        <v>7134</v>
      </c>
      <c r="B922" s="89" t="s">
        <v>1515</v>
      </c>
      <c r="C922" s="89" t="s">
        <v>2532</v>
      </c>
      <c r="D922" s="89" t="s">
        <v>2533</v>
      </c>
      <c r="F922" s="43">
        <v>522411</v>
      </c>
      <c r="G922" s="43">
        <v>173805</v>
      </c>
      <c r="H922" s="89" t="s">
        <v>149</v>
      </c>
      <c r="K922" s="140">
        <v>0</v>
      </c>
      <c r="L922" s="140">
        <v>1</v>
      </c>
      <c r="M922" s="140">
        <v>1</v>
      </c>
      <c r="N922" s="140">
        <v>1</v>
      </c>
      <c r="O922" s="140">
        <v>1</v>
      </c>
      <c r="Q922" s="89" t="s">
        <v>2534</v>
      </c>
      <c r="R922" s="43" t="s">
        <v>316</v>
      </c>
      <c r="S922" s="125">
        <v>43545</v>
      </c>
      <c r="T922" s="117">
        <v>43752</v>
      </c>
      <c r="U922" s="43" t="s">
        <v>329</v>
      </c>
      <c r="V922" s="43" t="s">
        <v>317</v>
      </c>
      <c r="X922" s="43" t="s">
        <v>318</v>
      </c>
      <c r="Y922" s="43" t="s">
        <v>361</v>
      </c>
      <c r="Z922" s="43" t="s">
        <v>320</v>
      </c>
      <c r="AA922" s="43" t="s">
        <v>353</v>
      </c>
      <c r="AB922" s="144">
        <v>6.0000000521540598E-3</v>
      </c>
      <c r="AF922" s="43" t="s">
        <v>75</v>
      </c>
      <c r="AG922" s="43" t="s">
        <v>322</v>
      </c>
      <c r="AJ922" s="140">
        <v>0</v>
      </c>
      <c r="AK922" s="140">
        <v>0</v>
      </c>
      <c r="AL922" s="140">
        <v>0</v>
      </c>
      <c r="AM922" s="140">
        <v>0</v>
      </c>
      <c r="AN922" s="140">
        <v>0</v>
      </c>
      <c r="AO922" s="140">
        <v>1</v>
      </c>
      <c r="AP922" s="140">
        <v>0</v>
      </c>
      <c r="AQ922" s="140">
        <v>0</v>
      </c>
      <c r="AR922" s="140">
        <v>0</v>
      </c>
      <c r="AS922" s="140">
        <v>0</v>
      </c>
      <c r="AT922" s="140">
        <v>0</v>
      </c>
      <c r="AU922" s="140">
        <v>0</v>
      </c>
      <c r="AV922" s="140">
        <v>0</v>
      </c>
      <c r="AW922" s="140">
        <v>0</v>
      </c>
      <c r="AX922" s="140">
        <v>0</v>
      </c>
      <c r="AY922" s="140">
        <v>0</v>
      </c>
      <c r="AZ922" s="140">
        <v>0</v>
      </c>
      <c r="BA922" s="140">
        <v>0</v>
      </c>
      <c r="BB922" s="140">
        <v>0</v>
      </c>
      <c r="BC922" s="140">
        <v>1</v>
      </c>
      <c r="BD922" s="140">
        <v>0</v>
      </c>
      <c r="BE922" s="140">
        <v>0</v>
      </c>
      <c r="BF922" s="140">
        <v>0</v>
      </c>
      <c r="BG922" s="140">
        <v>0</v>
      </c>
      <c r="BH922" s="140">
        <v>0</v>
      </c>
      <c r="BI922" s="140">
        <v>0</v>
      </c>
      <c r="BJ922" s="140">
        <v>0</v>
      </c>
      <c r="BK922" s="140">
        <v>0</v>
      </c>
      <c r="BL922" s="140">
        <v>0</v>
      </c>
      <c r="BM922" s="140">
        <v>0</v>
      </c>
      <c r="BN922" s="140">
        <v>0</v>
      </c>
      <c r="BO922" s="140">
        <v>0</v>
      </c>
      <c r="BQ922" s="89"/>
      <c r="BU922" s="89"/>
      <c r="BX922" s="43">
        <v>6</v>
      </c>
      <c r="CA922" s="90">
        <f>$M922/4</f>
        <v>0.25</v>
      </c>
      <c r="CB922" s="90">
        <f>$M922/4</f>
        <v>0.25</v>
      </c>
      <c r="CC922" s="90">
        <f>$M922/4</f>
        <v>0.25</v>
      </c>
      <c r="CD922" s="90">
        <f>$M922/4</f>
        <v>0.25</v>
      </c>
      <c r="CT922" s="90">
        <f t="shared" si="123"/>
        <v>1</v>
      </c>
      <c r="CU922" s="90">
        <f t="shared" si="124"/>
        <v>1</v>
      </c>
    </row>
    <row r="923" spans="1:99" ht="12" customHeight="1">
      <c r="A923" s="43">
        <v>7148</v>
      </c>
      <c r="B923" s="89" t="s">
        <v>1515</v>
      </c>
      <c r="C923" s="89" t="s">
        <v>2535</v>
      </c>
      <c r="D923" s="89" t="s">
        <v>2536</v>
      </c>
      <c r="F923" s="43">
        <v>527437</v>
      </c>
      <c r="G923" s="43">
        <v>175150</v>
      </c>
      <c r="H923" s="89" t="s">
        <v>174</v>
      </c>
      <c r="K923" s="140">
        <v>0</v>
      </c>
      <c r="L923" s="140">
        <v>1</v>
      </c>
      <c r="M923" s="140">
        <v>1</v>
      </c>
      <c r="N923" s="140">
        <v>1</v>
      </c>
      <c r="O923" s="140">
        <v>1</v>
      </c>
      <c r="Q923" s="89" t="s">
        <v>2537</v>
      </c>
      <c r="R923" s="43" t="s">
        <v>316</v>
      </c>
      <c r="S923" s="125">
        <v>43648</v>
      </c>
      <c r="T923" s="117">
        <v>43679</v>
      </c>
      <c r="U923" s="43" t="s">
        <v>329</v>
      </c>
      <c r="V923" s="43" t="s">
        <v>317</v>
      </c>
      <c r="X923" s="43" t="s">
        <v>318</v>
      </c>
      <c r="Y923" s="43" t="s">
        <v>319</v>
      </c>
      <c r="Z923" s="43" t="s">
        <v>320</v>
      </c>
      <c r="AA923" s="43" t="s">
        <v>340</v>
      </c>
      <c r="AB923" s="144">
        <v>1.00000004749745E-3</v>
      </c>
      <c r="AF923" s="43" t="s">
        <v>75</v>
      </c>
      <c r="AG923" s="43" t="s">
        <v>322</v>
      </c>
      <c r="AJ923" s="140">
        <v>0</v>
      </c>
      <c r="AK923" s="140">
        <v>0</v>
      </c>
      <c r="AL923" s="140">
        <v>0</v>
      </c>
      <c r="AM923" s="140">
        <v>0</v>
      </c>
      <c r="AN923" s="140">
        <v>0</v>
      </c>
      <c r="AO923" s="140">
        <v>1</v>
      </c>
      <c r="AP923" s="140">
        <v>0</v>
      </c>
      <c r="AQ923" s="140">
        <v>0</v>
      </c>
      <c r="AR923" s="140">
        <v>0</v>
      </c>
      <c r="AS923" s="140">
        <v>0</v>
      </c>
      <c r="AT923" s="140">
        <v>0</v>
      </c>
      <c r="AU923" s="140">
        <v>0</v>
      </c>
      <c r="AV923" s="140">
        <v>1</v>
      </c>
      <c r="AW923" s="140">
        <v>0</v>
      </c>
      <c r="AX923" s="140">
        <v>0</v>
      </c>
      <c r="AY923" s="140">
        <v>0</v>
      </c>
      <c r="AZ923" s="140">
        <v>0</v>
      </c>
      <c r="BA923" s="140">
        <v>0</v>
      </c>
      <c r="BB923" s="140">
        <v>0</v>
      </c>
      <c r="BC923" s="140">
        <v>0</v>
      </c>
      <c r="BD923" s="140">
        <v>0</v>
      </c>
      <c r="BE923" s="140">
        <v>0</v>
      </c>
      <c r="BF923" s="140">
        <v>0</v>
      </c>
      <c r="BG923" s="140">
        <v>0</v>
      </c>
      <c r="BH923" s="140">
        <v>0</v>
      </c>
      <c r="BI923" s="140">
        <v>0</v>
      </c>
      <c r="BJ923" s="140">
        <v>0</v>
      </c>
      <c r="BK923" s="140">
        <v>0</v>
      </c>
      <c r="BL923" s="140">
        <v>0</v>
      </c>
      <c r="BM923" s="140">
        <v>0</v>
      </c>
      <c r="BN923" s="140">
        <v>0</v>
      </c>
      <c r="BO923" s="140">
        <v>0</v>
      </c>
      <c r="BP923" s="43" t="s">
        <v>139</v>
      </c>
      <c r="BQ923" s="89"/>
      <c r="BU923" s="89"/>
      <c r="BX923" s="43">
        <v>15</v>
      </c>
      <c r="BZ923" s="90">
        <f>$M923/3</f>
        <v>0.33333333333333331</v>
      </c>
      <c r="CA923" s="90">
        <f>$M923/3</f>
        <v>0.33333333333333331</v>
      </c>
      <c r="CB923" s="90">
        <f>$M923/3</f>
        <v>0.33333333333333331</v>
      </c>
      <c r="CT923" s="90">
        <f t="shared" si="123"/>
        <v>1</v>
      </c>
      <c r="CU923" s="90">
        <f t="shared" si="124"/>
        <v>1</v>
      </c>
    </row>
    <row r="924" spans="1:99" ht="12" customHeight="1">
      <c r="A924" s="43">
        <v>7149</v>
      </c>
      <c r="B924" s="89" t="s">
        <v>1515</v>
      </c>
      <c r="C924" s="89" t="s">
        <v>2538</v>
      </c>
      <c r="D924" s="89" t="s">
        <v>2539</v>
      </c>
      <c r="F924" s="43">
        <v>524351</v>
      </c>
      <c r="G924" s="43">
        <v>173350</v>
      </c>
      <c r="H924" s="89" t="s">
        <v>180</v>
      </c>
      <c r="K924" s="140">
        <v>0</v>
      </c>
      <c r="L924" s="140">
        <v>3</v>
      </c>
      <c r="M924" s="140">
        <v>3</v>
      </c>
      <c r="N924" s="140">
        <v>3</v>
      </c>
      <c r="O924" s="140">
        <v>3</v>
      </c>
      <c r="Q924" s="89" t="s">
        <v>2540</v>
      </c>
      <c r="R924" s="43" t="s">
        <v>316</v>
      </c>
      <c r="S924" s="125">
        <v>43284</v>
      </c>
      <c r="T924" s="117">
        <v>43361</v>
      </c>
      <c r="V924" s="43" t="s">
        <v>317</v>
      </c>
      <c r="X924" s="43" t="s">
        <v>318</v>
      </c>
      <c r="Y924" s="43" t="s">
        <v>361</v>
      </c>
      <c r="Z924" s="43" t="s">
        <v>320</v>
      </c>
      <c r="AA924" s="43" t="s">
        <v>353</v>
      </c>
      <c r="AB924" s="144">
        <v>2.5000000372528999E-2</v>
      </c>
      <c r="AF924" s="43" t="s">
        <v>75</v>
      </c>
      <c r="AG924" s="43" t="s">
        <v>322</v>
      </c>
      <c r="AJ924" s="140">
        <v>0</v>
      </c>
      <c r="AK924" s="140">
        <v>0</v>
      </c>
      <c r="AL924" s="140">
        <v>0</v>
      </c>
      <c r="AM924" s="140">
        <v>0</v>
      </c>
      <c r="AN924" s="140">
        <v>0</v>
      </c>
      <c r="AO924" s="140">
        <v>0</v>
      </c>
      <c r="AP924" s="140">
        <v>3</v>
      </c>
      <c r="AQ924" s="140">
        <v>0</v>
      </c>
      <c r="AR924" s="140">
        <v>0</v>
      </c>
      <c r="AS924" s="140">
        <v>0</v>
      </c>
      <c r="AT924" s="140">
        <v>0</v>
      </c>
      <c r="AU924" s="140">
        <v>0</v>
      </c>
      <c r="AV924" s="140">
        <v>0</v>
      </c>
      <c r="AW924" s="140">
        <v>0</v>
      </c>
      <c r="AX924" s="140">
        <v>0</v>
      </c>
      <c r="AY924" s="140">
        <v>0</v>
      </c>
      <c r="AZ924" s="140">
        <v>0</v>
      </c>
      <c r="BA924" s="140">
        <v>0</v>
      </c>
      <c r="BB924" s="140">
        <v>0</v>
      </c>
      <c r="BC924" s="140">
        <v>0</v>
      </c>
      <c r="BD924" s="140">
        <v>3</v>
      </c>
      <c r="BE924" s="140">
        <v>0</v>
      </c>
      <c r="BF924" s="140">
        <v>0</v>
      </c>
      <c r="BG924" s="140">
        <v>0</v>
      </c>
      <c r="BH924" s="140">
        <v>0</v>
      </c>
      <c r="BI924" s="140">
        <v>0</v>
      </c>
      <c r="BJ924" s="140">
        <v>0</v>
      </c>
      <c r="BK924" s="140">
        <v>0</v>
      </c>
      <c r="BL924" s="140">
        <v>0</v>
      </c>
      <c r="BM924" s="140">
        <v>0</v>
      </c>
      <c r="BN924" s="140">
        <v>0</v>
      </c>
      <c r="BO924" s="140">
        <v>0</v>
      </c>
      <c r="BQ924" s="89"/>
      <c r="BU924" s="89"/>
      <c r="BX924" s="43">
        <v>6</v>
      </c>
      <c r="CA924" s="90">
        <f>$M924/4</f>
        <v>0.75</v>
      </c>
      <c r="CB924" s="90">
        <f>$M924/4</f>
        <v>0.75</v>
      </c>
      <c r="CC924" s="90">
        <f>$M924/4</f>
        <v>0.75</v>
      </c>
      <c r="CD924" s="90">
        <f>$M924/4</f>
        <v>0.75</v>
      </c>
      <c r="CT924" s="90">
        <f t="shared" si="123"/>
        <v>3</v>
      </c>
      <c r="CU924" s="90">
        <f t="shared" si="124"/>
        <v>3</v>
      </c>
    </row>
    <row r="925" spans="1:99" ht="12" customHeight="1">
      <c r="A925" s="43">
        <v>7152</v>
      </c>
      <c r="B925" s="89" t="s">
        <v>1515</v>
      </c>
      <c r="C925" s="89" t="s">
        <v>2541</v>
      </c>
      <c r="D925" s="89" t="s">
        <v>2542</v>
      </c>
      <c r="F925" s="43">
        <v>526518</v>
      </c>
      <c r="G925" s="43">
        <v>174839</v>
      </c>
      <c r="H925" s="89" t="s">
        <v>170</v>
      </c>
      <c r="K925" s="140">
        <v>1</v>
      </c>
      <c r="L925" s="140">
        <v>1</v>
      </c>
      <c r="M925" s="140">
        <v>0</v>
      </c>
      <c r="N925" s="140">
        <v>2</v>
      </c>
      <c r="O925" s="140">
        <v>1</v>
      </c>
      <c r="Q925" s="89" t="s">
        <v>2543</v>
      </c>
      <c r="R925" s="43" t="s">
        <v>316</v>
      </c>
      <c r="S925" s="125">
        <v>43444</v>
      </c>
      <c r="T925" s="117">
        <v>43549</v>
      </c>
      <c r="V925" s="43" t="s">
        <v>317</v>
      </c>
      <c r="X925" s="43" t="s">
        <v>318</v>
      </c>
      <c r="Y925" s="43" t="s">
        <v>348</v>
      </c>
      <c r="Z925" s="43" t="s">
        <v>320</v>
      </c>
      <c r="AA925" s="43" t="s">
        <v>20</v>
      </c>
      <c r="AB925" s="144">
        <v>3.0000000260770299E-3</v>
      </c>
      <c r="AF925" s="43" t="s">
        <v>75</v>
      </c>
      <c r="AG925" s="43" t="s">
        <v>322</v>
      </c>
      <c r="AJ925" s="140">
        <v>0</v>
      </c>
      <c r="AK925" s="140">
        <v>0</v>
      </c>
      <c r="AL925" s="140">
        <v>0</v>
      </c>
      <c r="AM925" s="140">
        <v>0</v>
      </c>
      <c r="AN925" s="140">
        <v>0</v>
      </c>
      <c r="AO925" s="140">
        <v>1</v>
      </c>
      <c r="AP925" s="140">
        <v>0</v>
      </c>
      <c r="AQ925" s="140">
        <v>0</v>
      </c>
      <c r="AR925" s="140">
        <v>0</v>
      </c>
      <c r="AS925" s="140">
        <v>-1</v>
      </c>
      <c r="AT925" s="140">
        <v>0</v>
      </c>
      <c r="AU925" s="140">
        <v>0</v>
      </c>
      <c r="AV925" s="140">
        <v>1</v>
      </c>
      <c r="AW925" s="140">
        <v>0</v>
      </c>
      <c r="AX925" s="140">
        <v>0</v>
      </c>
      <c r="AY925" s="140">
        <v>0</v>
      </c>
      <c r="AZ925" s="140">
        <v>0</v>
      </c>
      <c r="BA925" s="140">
        <v>0</v>
      </c>
      <c r="BB925" s="140">
        <v>0</v>
      </c>
      <c r="BC925" s="140">
        <v>0</v>
      </c>
      <c r="BD925" s="140">
        <v>0</v>
      </c>
      <c r="BE925" s="140">
        <v>0</v>
      </c>
      <c r="BF925" s="140">
        <v>0</v>
      </c>
      <c r="BG925" s="140">
        <v>-1</v>
      </c>
      <c r="BH925" s="140">
        <v>0</v>
      </c>
      <c r="BI925" s="140">
        <v>0</v>
      </c>
      <c r="BJ925" s="140">
        <v>0</v>
      </c>
      <c r="BK925" s="140">
        <v>0</v>
      </c>
      <c r="BL925" s="140">
        <v>0</v>
      </c>
      <c r="BM925" s="140">
        <v>0</v>
      </c>
      <c r="BN925" s="140">
        <v>0</v>
      </c>
      <c r="BO925" s="140">
        <v>0</v>
      </c>
      <c r="BQ925" s="89"/>
      <c r="BU925" s="89"/>
      <c r="BX925" s="43">
        <v>15</v>
      </c>
      <c r="BZ925" s="90">
        <f t="shared" ref="BZ925:CB938" si="129">$M925/3</f>
        <v>0</v>
      </c>
      <c r="CA925" s="90">
        <f t="shared" si="129"/>
        <v>0</v>
      </c>
      <c r="CB925" s="90">
        <f t="shared" si="129"/>
        <v>0</v>
      </c>
      <c r="CT925" s="90">
        <f t="shared" si="123"/>
        <v>0</v>
      </c>
      <c r="CU925" s="90">
        <f t="shared" si="124"/>
        <v>0</v>
      </c>
    </row>
    <row r="926" spans="1:99" ht="12" customHeight="1">
      <c r="A926" s="43">
        <v>7152</v>
      </c>
      <c r="B926" s="89" t="s">
        <v>1515</v>
      </c>
      <c r="C926" s="89" t="s">
        <v>2541</v>
      </c>
      <c r="D926" s="89" t="s">
        <v>2542</v>
      </c>
      <c r="F926" s="43">
        <v>526518</v>
      </c>
      <c r="G926" s="43">
        <v>174839</v>
      </c>
      <c r="H926" s="89" t="s">
        <v>170</v>
      </c>
      <c r="K926" s="140">
        <v>0</v>
      </c>
      <c r="L926" s="140">
        <v>1</v>
      </c>
      <c r="M926" s="140">
        <v>1</v>
      </c>
      <c r="N926" s="140">
        <v>2</v>
      </c>
      <c r="O926" s="140">
        <v>1</v>
      </c>
      <c r="Q926" s="89" t="s">
        <v>2543</v>
      </c>
      <c r="R926" s="43" t="s">
        <v>316</v>
      </c>
      <c r="S926" s="125">
        <v>43444</v>
      </c>
      <c r="T926" s="117">
        <v>43549</v>
      </c>
      <c r="V926" s="43" t="s">
        <v>317</v>
      </c>
      <c r="X926" s="43" t="s">
        <v>318</v>
      </c>
      <c r="Y926" s="43" t="s">
        <v>348</v>
      </c>
      <c r="Z926" s="43" t="s">
        <v>320</v>
      </c>
      <c r="AA926" s="43" t="s">
        <v>2544</v>
      </c>
      <c r="AB926" s="144">
        <v>8.0000003799796104E-3</v>
      </c>
      <c r="AF926" s="43" t="s">
        <v>75</v>
      </c>
      <c r="AG926" s="43" t="s">
        <v>322</v>
      </c>
      <c r="AJ926" s="140">
        <v>0</v>
      </c>
      <c r="AK926" s="140">
        <v>0</v>
      </c>
      <c r="AL926" s="140">
        <v>0</v>
      </c>
      <c r="AM926" s="140">
        <v>0</v>
      </c>
      <c r="AN926" s="140">
        <v>0</v>
      </c>
      <c r="AO926" s="140">
        <v>0</v>
      </c>
      <c r="AP926" s="140">
        <v>0</v>
      </c>
      <c r="AQ926" s="140">
        <v>0</v>
      </c>
      <c r="AR926" s="140">
        <v>0</v>
      </c>
      <c r="AS926" s="140">
        <v>1</v>
      </c>
      <c r="AT926" s="140">
        <v>0</v>
      </c>
      <c r="AU926" s="140">
        <v>0</v>
      </c>
      <c r="AV926" s="140">
        <v>0</v>
      </c>
      <c r="AW926" s="140">
        <v>0</v>
      </c>
      <c r="AX926" s="140">
        <v>0</v>
      </c>
      <c r="AY926" s="140">
        <v>0</v>
      </c>
      <c r="AZ926" s="140">
        <v>0</v>
      </c>
      <c r="BA926" s="140">
        <v>0</v>
      </c>
      <c r="BB926" s="140">
        <v>0</v>
      </c>
      <c r="BC926" s="140">
        <v>0</v>
      </c>
      <c r="BD926" s="140">
        <v>0</v>
      </c>
      <c r="BE926" s="140">
        <v>0</v>
      </c>
      <c r="BF926" s="140">
        <v>0</v>
      </c>
      <c r="BG926" s="140">
        <v>1</v>
      </c>
      <c r="BH926" s="140">
        <v>0</v>
      </c>
      <c r="BI926" s="140">
        <v>0</v>
      </c>
      <c r="BJ926" s="140">
        <v>0</v>
      </c>
      <c r="BK926" s="140">
        <v>0</v>
      </c>
      <c r="BL926" s="140">
        <v>0</v>
      </c>
      <c r="BM926" s="140">
        <v>0</v>
      </c>
      <c r="BN926" s="140">
        <v>0</v>
      </c>
      <c r="BO926" s="140">
        <v>0</v>
      </c>
      <c r="BQ926" s="89"/>
      <c r="BU926" s="89"/>
      <c r="BX926" s="43">
        <v>15</v>
      </c>
      <c r="BZ926" s="90">
        <f t="shared" si="129"/>
        <v>0.33333333333333331</v>
      </c>
      <c r="CA926" s="90">
        <f t="shared" si="129"/>
        <v>0.33333333333333331</v>
      </c>
      <c r="CB926" s="90">
        <f t="shared" si="129"/>
        <v>0.33333333333333331</v>
      </c>
      <c r="CT926" s="90">
        <f t="shared" si="123"/>
        <v>1</v>
      </c>
      <c r="CU926" s="90">
        <f t="shared" si="124"/>
        <v>1</v>
      </c>
    </row>
    <row r="927" spans="1:99" ht="12" customHeight="1">
      <c r="A927" s="43">
        <v>7153</v>
      </c>
      <c r="B927" s="89" t="s">
        <v>1515</v>
      </c>
      <c r="C927" s="89" t="s">
        <v>2545</v>
      </c>
      <c r="D927" s="89" t="s">
        <v>2546</v>
      </c>
      <c r="F927" s="43">
        <v>527497</v>
      </c>
      <c r="G927" s="43">
        <v>174444</v>
      </c>
      <c r="H927" s="89" t="s">
        <v>174</v>
      </c>
      <c r="K927" s="140">
        <v>3</v>
      </c>
      <c r="L927" s="140">
        <v>5</v>
      </c>
      <c r="M927" s="140">
        <v>2</v>
      </c>
      <c r="N927" s="140">
        <v>5</v>
      </c>
      <c r="O927" s="140">
        <v>2</v>
      </c>
      <c r="Q927" s="89" t="s">
        <v>2547</v>
      </c>
      <c r="R927" s="43" t="s">
        <v>316</v>
      </c>
      <c r="S927" s="125">
        <v>43236</v>
      </c>
      <c r="T927" s="117">
        <v>43367</v>
      </c>
      <c r="V927" s="43" t="s">
        <v>317</v>
      </c>
      <c r="X927" s="43" t="s">
        <v>318</v>
      </c>
      <c r="Y927" s="43" t="s">
        <v>348</v>
      </c>
      <c r="Z927" s="43" t="s">
        <v>320</v>
      </c>
      <c r="AA927" s="43" t="s">
        <v>20</v>
      </c>
      <c r="AB927" s="144">
        <v>3.5000000149011598E-2</v>
      </c>
      <c r="AF927" s="43" t="s">
        <v>75</v>
      </c>
      <c r="AG927" s="43" t="s">
        <v>322</v>
      </c>
      <c r="AJ927" s="140">
        <v>0</v>
      </c>
      <c r="AK927" s="140">
        <v>0</v>
      </c>
      <c r="AL927" s="140">
        <v>0</v>
      </c>
      <c r="AM927" s="140">
        <v>0</v>
      </c>
      <c r="AN927" s="140">
        <v>1</v>
      </c>
      <c r="AO927" s="140">
        <v>1</v>
      </c>
      <c r="AP927" s="140">
        <v>0</v>
      </c>
      <c r="AQ927" s="140">
        <v>0</v>
      </c>
      <c r="AR927" s="140">
        <v>0</v>
      </c>
      <c r="AS927" s="140">
        <v>0</v>
      </c>
      <c r="AT927" s="140">
        <v>0</v>
      </c>
      <c r="AU927" s="140">
        <v>1</v>
      </c>
      <c r="AV927" s="140">
        <v>1</v>
      </c>
      <c r="AW927" s="140">
        <v>0</v>
      </c>
      <c r="AX927" s="140">
        <v>1</v>
      </c>
      <c r="AY927" s="140">
        <v>0</v>
      </c>
      <c r="AZ927" s="140">
        <v>0</v>
      </c>
      <c r="BA927" s="140">
        <v>0</v>
      </c>
      <c r="BB927" s="140">
        <v>0</v>
      </c>
      <c r="BC927" s="140">
        <v>0</v>
      </c>
      <c r="BD927" s="140">
        <v>0</v>
      </c>
      <c r="BE927" s="140">
        <v>-1</v>
      </c>
      <c r="BF927" s="140">
        <v>0</v>
      </c>
      <c r="BG927" s="140">
        <v>0</v>
      </c>
      <c r="BH927" s="140">
        <v>0</v>
      </c>
      <c r="BI927" s="140">
        <v>0</v>
      </c>
      <c r="BJ927" s="140">
        <v>0</v>
      </c>
      <c r="BK927" s="140">
        <v>0</v>
      </c>
      <c r="BL927" s="140">
        <v>0</v>
      </c>
      <c r="BM927" s="140">
        <v>0</v>
      </c>
      <c r="BN927" s="140">
        <v>0</v>
      </c>
      <c r="BO927" s="140">
        <v>0</v>
      </c>
      <c r="BQ927" s="89"/>
      <c r="BU927" s="89"/>
      <c r="BX927" s="43">
        <v>15</v>
      </c>
      <c r="BZ927" s="90">
        <f t="shared" si="129"/>
        <v>0.66666666666666663</v>
      </c>
      <c r="CA927" s="90">
        <f t="shared" si="129"/>
        <v>0.66666666666666663</v>
      </c>
      <c r="CB927" s="90">
        <f t="shared" si="129"/>
        <v>0.66666666666666663</v>
      </c>
      <c r="CT927" s="90">
        <f t="shared" si="123"/>
        <v>2</v>
      </c>
      <c r="CU927" s="90">
        <f t="shared" si="124"/>
        <v>2</v>
      </c>
    </row>
    <row r="928" spans="1:99" ht="12" customHeight="1">
      <c r="A928" s="43">
        <v>7155</v>
      </c>
      <c r="B928" s="89" t="s">
        <v>1515</v>
      </c>
      <c r="C928" s="89" t="s">
        <v>2548</v>
      </c>
      <c r="D928" s="89" t="s">
        <v>2549</v>
      </c>
      <c r="E928" s="89" t="s">
        <v>346</v>
      </c>
      <c r="F928" s="43">
        <v>526848</v>
      </c>
      <c r="G928" s="43">
        <v>171854</v>
      </c>
      <c r="H928" s="89" t="s">
        <v>141</v>
      </c>
      <c r="K928" s="140">
        <v>1</v>
      </c>
      <c r="L928" s="140">
        <v>1</v>
      </c>
      <c r="M928" s="140">
        <v>0</v>
      </c>
      <c r="N928" s="140">
        <v>2</v>
      </c>
      <c r="O928" s="140">
        <v>1</v>
      </c>
      <c r="Q928" s="89" t="s">
        <v>2550</v>
      </c>
      <c r="R928" s="43" t="s">
        <v>316</v>
      </c>
      <c r="S928" s="125">
        <v>43581</v>
      </c>
      <c r="T928" s="117">
        <v>43637</v>
      </c>
      <c r="U928" s="43" t="s">
        <v>329</v>
      </c>
      <c r="V928" s="43" t="s">
        <v>317</v>
      </c>
      <c r="X928" s="43" t="s">
        <v>318</v>
      </c>
      <c r="Y928" s="43" t="s">
        <v>319</v>
      </c>
      <c r="Z928" s="43" t="s">
        <v>320</v>
      </c>
      <c r="AA928" s="43" t="s">
        <v>321</v>
      </c>
      <c r="AB928" s="144">
        <v>4.0000001899898104E-3</v>
      </c>
      <c r="AF928" s="43" t="s">
        <v>75</v>
      </c>
      <c r="AG928" s="43" t="s">
        <v>322</v>
      </c>
      <c r="AJ928" s="140">
        <v>0</v>
      </c>
      <c r="AK928" s="140">
        <v>0</v>
      </c>
      <c r="AL928" s="140">
        <v>0</v>
      </c>
      <c r="AM928" s="140">
        <v>0</v>
      </c>
      <c r="AN928" s="140">
        <v>0</v>
      </c>
      <c r="AO928" s="140">
        <v>0</v>
      </c>
      <c r="AP928" s="140">
        <v>0</v>
      </c>
      <c r="AQ928" s="140">
        <v>0</v>
      </c>
      <c r="AR928" s="140">
        <v>0</v>
      </c>
      <c r="AS928" s="140">
        <v>0</v>
      </c>
      <c r="AT928" s="140">
        <v>0</v>
      </c>
      <c r="AU928" s="140">
        <v>0</v>
      </c>
      <c r="AV928" s="140">
        <v>0</v>
      </c>
      <c r="AW928" s="140">
        <v>0</v>
      </c>
      <c r="AX928" s="140">
        <v>0</v>
      </c>
      <c r="AY928" s="140">
        <v>0</v>
      </c>
      <c r="AZ928" s="140">
        <v>0</v>
      </c>
      <c r="BA928" s="140">
        <v>0</v>
      </c>
      <c r="BB928" s="140">
        <v>0</v>
      </c>
      <c r="BC928" s="140">
        <v>0</v>
      </c>
      <c r="BD928" s="140">
        <v>0</v>
      </c>
      <c r="BE928" s="140">
        <v>0</v>
      </c>
      <c r="BF928" s="140">
        <v>0</v>
      </c>
      <c r="BG928" s="140">
        <v>0</v>
      </c>
      <c r="BH928" s="140">
        <v>0</v>
      </c>
      <c r="BI928" s="140">
        <v>0</v>
      </c>
      <c r="BJ928" s="140">
        <v>0</v>
      </c>
      <c r="BK928" s="140">
        <v>0</v>
      </c>
      <c r="BL928" s="140">
        <v>0</v>
      </c>
      <c r="BM928" s="140">
        <v>0</v>
      </c>
      <c r="BN928" s="140">
        <v>0</v>
      </c>
      <c r="BO928" s="140">
        <v>0</v>
      </c>
      <c r="BQ928" s="89"/>
      <c r="BU928" s="89"/>
      <c r="BX928" s="43">
        <v>15</v>
      </c>
      <c r="BZ928" s="90">
        <f t="shared" si="129"/>
        <v>0</v>
      </c>
      <c r="CA928" s="90">
        <f t="shared" si="129"/>
        <v>0</v>
      </c>
      <c r="CB928" s="90">
        <f t="shared" si="129"/>
        <v>0</v>
      </c>
      <c r="CT928" s="90">
        <f t="shared" si="123"/>
        <v>0</v>
      </c>
      <c r="CU928" s="90">
        <f t="shared" si="124"/>
        <v>0</v>
      </c>
    </row>
    <row r="929" spans="1:99" ht="12" customHeight="1">
      <c r="A929" s="43">
        <v>7155</v>
      </c>
      <c r="B929" s="89" t="s">
        <v>1515</v>
      </c>
      <c r="C929" s="89" t="s">
        <v>2548</v>
      </c>
      <c r="D929" s="89" t="s">
        <v>2549</v>
      </c>
      <c r="E929" s="89" t="s">
        <v>730</v>
      </c>
      <c r="F929" s="43">
        <v>526848</v>
      </c>
      <c r="G929" s="43">
        <v>171854</v>
      </c>
      <c r="H929" s="89" t="s">
        <v>141</v>
      </c>
      <c r="K929" s="140">
        <v>0</v>
      </c>
      <c r="L929" s="140">
        <v>1</v>
      </c>
      <c r="M929" s="140">
        <v>1</v>
      </c>
      <c r="N929" s="140">
        <v>2</v>
      </c>
      <c r="O929" s="140">
        <v>1</v>
      </c>
      <c r="Q929" s="89" t="s">
        <v>2550</v>
      </c>
      <c r="R929" s="43" t="s">
        <v>316</v>
      </c>
      <c r="S929" s="125">
        <v>43581</v>
      </c>
      <c r="T929" s="117">
        <v>43637</v>
      </c>
      <c r="U929" s="43" t="s">
        <v>329</v>
      </c>
      <c r="V929" s="43" t="s">
        <v>317</v>
      </c>
      <c r="X929" s="43" t="s">
        <v>318</v>
      </c>
      <c r="Y929" s="43" t="s">
        <v>319</v>
      </c>
      <c r="Z929" s="43" t="s">
        <v>320</v>
      </c>
      <c r="AA929" s="43" t="s">
        <v>340</v>
      </c>
      <c r="AB929" s="144">
        <v>3.0000000260770299E-3</v>
      </c>
      <c r="AF929" s="43" t="s">
        <v>75</v>
      </c>
      <c r="AG929" s="43" t="s">
        <v>322</v>
      </c>
      <c r="AJ929" s="140">
        <v>0</v>
      </c>
      <c r="AK929" s="140">
        <v>0</v>
      </c>
      <c r="AL929" s="140">
        <v>0</v>
      </c>
      <c r="AM929" s="140">
        <v>0</v>
      </c>
      <c r="AN929" s="140">
        <v>0</v>
      </c>
      <c r="AO929" s="140">
        <v>1</v>
      </c>
      <c r="AP929" s="140">
        <v>0</v>
      </c>
      <c r="AQ929" s="140">
        <v>0</v>
      </c>
      <c r="AR929" s="140">
        <v>0</v>
      </c>
      <c r="AS929" s="140">
        <v>0</v>
      </c>
      <c r="AT929" s="140">
        <v>0</v>
      </c>
      <c r="AU929" s="140">
        <v>0</v>
      </c>
      <c r="AV929" s="140">
        <v>1</v>
      </c>
      <c r="AW929" s="140">
        <v>0</v>
      </c>
      <c r="AX929" s="140">
        <v>0</v>
      </c>
      <c r="AY929" s="140">
        <v>0</v>
      </c>
      <c r="AZ929" s="140">
        <v>0</v>
      </c>
      <c r="BA929" s="140">
        <v>0</v>
      </c>
      <c r="BB929" s="140">
        <v>0</v>
      </c>
      <c r="BC929" s="140">
        <v>0</v>
      </c>
      <c r="BD929" s="140">
        <v>0</v>
      </c>
      <c r="BE929" s="140">
        <v>0</v>
      </c>
      <c r="BF929" s="140">
        <v>0</v>
      </c>
      <c r="BG929" s="140">
        <v>0</v>
      </c>
      <c r="BH929" s="140">
        <v>0</v>
      </c>
      <c r="BI929" s="140">
        <v>0</v>
      </c>
      <c r="BJ929" s="140">
        <v>0</v>
      </c>
      <c r="BK929" s="140">
        <v>0</v>
      </c>
      <c r="BL929" s="140">
        <v>0</v>
      </c>
      <c r="BM929" s="140">
        <v>0</v>
      </c>
      <c r="BN929" s="140">
        <v>0</v>
      </c>
      <c r="BO929" s="140">
        <v>0</v>
      </c>
      <c r="BQ929" s="89"/>
      <c r="BU929" s="89"/>
      <c r="BX929" s="43">
        <v>15</v>
      </c>
      <c r="BZ929" s="90">
        <f t="shared" si="129"/>
        <v>0.33333333333333331</v>
      </c>
      <c r="CA929" s="90">
        <f t="shared" si="129"/>
        <v>0.33333333333333331</v>
      </c>
      <c r="CB929" s="90">
        <f t="shared" si="129"/>
        <v>0.33333333333333331</v>
      </c>
      <c r="CT929" s="90">
        <f t="shared" si="123"/>
        <v>1</v>
      </c>
      <c r="CU929" s="90">
        <f t="shared" si="124"/>
        <v>1</v>
      </c>
    </row>
    <row r="930" spans="1:99" ht="12" customHeight="1">
      <c r="A930" s="43">
        <v>7157</v>
      </c>
      <c r="B930" s="89" t="s">
        <v>1515</v>
      </c>
      <c r="C930" s="89" t="s">
        <v>2551</v>
      </c>
      <c r="D930" s="89" t="s">
        <v>2552</v>
      </c>
      <c r="F930" s="43">
        <v>528409</v>
      </c>
      <c r="G930" s="43">
        <v>175769</v>
      </c>
      <c r="H930" s="89" t="s">
        <v>175</v>
      </c>
      <c r="K930" s="140">
        <v>0</v>
      </c>
      <c r="L930" s="140">
        <v>1</v>
      </c>
      <c r="M930" s="140">
        <v>1</v>
      </c>
      <c r="N930" s="140">
        <v>1</v>
      </c>
      <c r="O930" s="140">
        <v>1</v>
      </c>
      <c r="Q930" s="89" t="s">
        <v>2553</v>
      </c>
      <c r="R930" s="43" t="s">
        <v>316</v>
      </c>
      <c r="S930" s="125">
        <v>43570</v>
      </c>
      <c r="T930" s="117">
        <v>43626</v>
      </c>
      <c r="U930" s="43" t="s">
        <v>329</v>
      </c>
      <c r="V930" s="43" t="s">
        <v>317</v>
      </c>
      <c r="X930" s="43" t="s">
        <v>318</v>
      </c>
      <c r="Y930" s="43" t="s">
        <v>348</v>
      </c>
      <c r="Z930" s="43" t="s">
        <v>320</v>
      </c>
      <c r="AA930" s="43" t="s">
        <v>36</v>
      </c>
      <c r="AB930" s="144">
        <v>6.0000000521540598E-3</v>
      </c>
      <c r="AF930" s="43" t="s">
        <v>75</v>
      </c>
      <c r="AG930" s="43" t="s">
        <v>322</v>
      </c>
      <c r="AJ930" s="140">
        <v>0</v>
      </c>
      <c r="AK930" s="140">
        <v>0</v>
      </c>
      <c r="AL930" s="140">
        <v>0</v>
      </c>
      <c r="AM930" s="140">
        <v>0</v>
      </c>
      <c r="AN930" s="140">
        <v>0</v>
      </c>
      <c r="AO930" s="140">
        <v>1</v>
      </c>
      <c r="AP930" s="140">
        <v>0</v>
      </c>
      <c r="AQ930" s="140">
        <v>0</v>
      </c>
      <c r="AR930" s="140">
        <v>0</v>
      </c>
      <c r="AS930" s="140">
        <v>0</v>
      </c>
      <c r="AT930" s="140">
        <v>0</v>
      </c>
      <c r="AU930" s="140">
        <v>0</v>
      </c>
      <c r="AV930" s="140">
        <v>1</v>
      </c>
      <c r="AW930" s="140">
        <v>0</v>
      </c>
      <c r="AX930" s="140">
        <v>0</v>
      </c>
      <c r="AY930" s="140">
        <v>0</v>
      </c>
      <c r="AZ930" s="140">
        <v>0</v>
      </c>
      <c r="BA930" s="140">
        <v>0</v>
      </c>
      <c r="BB930" s="140">
        <v>0</v>
      </c>
      <c r="BC930" s="140">
        <v>0</v>
      </c>
      <c r="BD930" s="140">
        <v>0</v>
      </c>
      <c r="BE930" s="140">
        <v>0</v>
      </c>
      <c r="BF930" s="140">
        <v>0</v>
      </c>
      <c r="BG930" s="140">
        <v>0</v>
      </c>
      <c r="BH930" s="140">
        <v>0</v>
      </c>
      <c r="BI930" s="140">
        <v>0</v>
      </c>
      <c r="BJ930" s="140">
        <v>0</v>
      </c>
      <c r="BK930" s="140">
        <v>0</v>
      </c>
      <c r="BL930" s="140">
        <v>0</v>
      </c>
      <c r="BM930" s="140">
        <v>0</v>
      </c>
      <c r="BN930" s="140">
        <v>0</v>
      </c>
      <c r="BO930" s="140">
        <v>0</v>
      </c>
      <c r="BQ930" s="89"/>
      <c r="BU930" s="89"/>
      <c r="BX930" s="43">
        <v>15</v>
      </c>
      <c r="BZ930" s="90">
        <f t="shared" si="129"/>
        <v>0.33333333333333331</v>
      </c>
      <c r="CA930" s="90">
        <f t="shared" si="129"/>
        <v>0.33333333333333331</v>
      </c>
      <c r="CB930" s="90">
        <f t="shared" si="129"/>
        <v>0.33333333333333331</v>
      </c>
      <c r="CT930" s="90">
        <f t="shared" si="123"/>
        <v>1</v>
      </c>
      <c r="CU930" s="90">
        <f t="shared" si="124"/>
        <v>1</v>
      </c>
    </row>
    <row r="931" spans="1:99" ht="12" customHeight="1">
      <c r="A931" s="43">
        <v>7161</v>
      </c>
      <c r="B931" s="89" t="s">
        <v>1515</v>
      </c>
      <c r="C931" s="89" t="s">
        <v>2554</v>
      </c>
      <c r="D931" s="89" t="s">
        <v>2555</v>
      </c>
      <c r="F931" s="43">
        <v>528016</v>
      </c>
      <c r="G931" s="43">
        <v>175405</v>
      </c>
      <c r="H931" s="89" t="s">
        <v>175</v>
      </c>
      <c r="K931" s="140">
        <v>1</v>
      </c>
      <c r="L931" s="140">
        <v>4</v>
      </c>
      <c r="M931" s="140">
        <v>3</v>
      </c>
      <c r="N931" s="140">
        <v>4</v>
      </c>
      <c r="O931" s="140">
        <v>3</v>
      </c>
      <c r="Q931" s="89" t="s">
        <v>2556</v>
      </c>
      <c r="R931" s="43" t="s">
        <v>316</v>
      </c>
      <c r="S931" s="125">
        <v>43607</v>
      </c>
      <c r="T931" s="117">
        <v>43663</v>
      </c>
      <c r="U931" s="43" t="s">
        <v>329</v>
      </c>
      <c r="V931" s="43" t="s">
        <v>317</v>
      </c>
      <c r="X931" s="43" t="s">
        <v>318</v>
      </c>
      <c r="Y931" s="43" t="s">
        <v>348</v>
      </c>
      <c r="Z931" s="43" t="s">
        <v>320</v>
      </c>
      <c r="AA931" s="43" t="s">
        <v>20</v>
      </c>
      <c r="AB931" s="144">
        <v>2.5000000372528999E-2</v>
      </c>
      <c r="AF931" s="43" t="s">
        <v>75</v>
      </c>
      <c r="AG931" s="43" t="s">
        <v>322</v>
      </c>
      <c r="AJ931" s="140">
        <v>0</v>
      </c>
      <c r="AK931" s="140">
        <v>0</v>
      </c>
      <c r="AL931" s="140">
        <v>0</v>
      </c>
      <c r="AM931" s="140">
        <v>0</v>
      </c>
      <c r="AN931" s="140">
        <v>0</v>
      </c>
      <c r="AO931" s="140">
        <v>1</v>
      </c>
      <c r="AP931" s="140">
        <v>0</v>
      </c>
      <c r="AQ931" s="140">
        <v>3</v>
      </c>
      <c r="AR931" s="140">
        <v>-1</v>
      </c>
      <c r="AS931" s="140">
        <v>0</v>
      </c>
      <c r="AT931" s="140">
        <v>0</v>
      </c>
      <c r="AU931" s="140">
        <v>0</v>
      </c>
      <c r="AV931" s="140">
        <v>1</v>
      </c>
      <c r="AW931" s="140">
        <v>0</v>
      </c>
      <c r="AX931" s="140">
        <v>3</v>
      </c>
      <c r="AY931" s="140">
        <v>0</v>
      </c>
      <c r="AZ931" s="140">
        <v>0</v>
      </c>
      <c r="BA931" s="140">
        <v>0</v>
      </c>
      <c r="BB931" s="140">
        <v>0</v>
      </c>
      <c r="BC931" s="140">
        <v>0</v>
      </c>
      <c r="BD931" s="140">
        <v>0</v>
      </c>
      <c r="BE931" s="140">
        <v>0</v>
      </c>
      <c r="BF931" s="140">
        <v>-1</v>
      </c>
      <c r="BG931" s="140">
        <v>0</v>
      </c>
      <c r="BH931" s="140">
        <v>0</v>
      </c>
      <c r="BI931" s="140">
        <v>0</v>
      </c>
      <c r="BJ931" s="140">
        <v>0</v>
      </c>
      <c r="BK931" s="140">
        <v>0</v>
      </c>
      <c r="BL931" s="140">
        <v>0</v>
      </c>
      <c r="BM931" s="140">
        <v>0</v>
      </c>
      <c r="BN931" s="140">
        <v>0</v>
      </c>
      <c r="BO931" s="140">
        <v>0</v>
      </c>
      <c r="BQ931" s="89"/>
      <c r="BU931" s="89"/>
      <c r="BX931" s="43">
        <v>15</v>
      </c>
      <c r="BZ931" s="90">
        <f t="shared" si="129"/>
        <v>1</v>
      </c>
      <c r="CA931" s="90">
        <f t="shared" si="129"/>
        <v>1</v>
      </c>
      <c r="CB931" s="90">
        <f t="shared" si="129"/>
        <v>1</v>
      </c>
      <c r="CT931" s="90">
        <f t="shared" si="123"/>
        <v>3</v>
      </c>
      <c r="CU931" s="90">
        <f t="shared" si="124"/>
        <v>3</v>
      </c>
    </row>
    <row r="932" spans="1:99" ht="12" customHeight="1">
      <c r="A932" s="43">
        <v>7163</v>
      </c>
      <c r="B932" s="89" t="s">
        <v>1515</v>
      </c>
      <c r="C932" s="89" t="s">
        <v>2557</v>
      </c>
      <c r="D932" s="89" t="s">
        <v>2558</v>
      </c>
      <c r="F932" s="43">
        <v>526291</v>
      </c>
      <c r="G932" s="43">
        <v>173671</v>
      </c>
      <c r="H932" s="89" t="s">
        <v>179</v>
      </c>
      <c r="K932" s="140">
        <v>0</v>
      </c>
      <c r="L932" s="140">
        <v>1</v>
      </c>
      <c r="M932" s="140">
        <v>1</v>
      </c>
      <c r="N932" s="140">
        <v>1</v>
      </c>
      <c r="O932" s="140">
        <v>1</v>
      </c>
      <c r="Q932" s="89" t="s">
        <v>2559</v>
      </c>
      <c r="R932" s="43" t="s">
        <v>316</v>
      </c>
      <c r="S932" s="125">
        <v>43571</v>
      </c>
      <c r="T932" s="117">
        <v>43662</v>
      </c>
      <c r="U932" s="43" t="s">
        <v>329</v>
      </c>
      <c r="V932" s="43" t="s">
        <v>317</v>
      </c>
      <c r="X932" s="43" t="s">
        <v>318</v>
      </c>
      <c r="Y932" s="43" t="s">
        <v>379</v>
      </c>
      <c r="Z932" s="43" t="s">
        <v>320</v>
      </c>
      <c r="AA932" s="43" t="s">
        <v>340</v>
      </c>
      <c r="AB932" s="144">
        <v>4.9999998882412902E-3</v>
      </c>
      <c r="AF932" s="43" t="s">
        <v>75</v>
      </c>
      <c r="AG932" s="43" t="s">
        <v>322</v>
      </c>
      <c r="AJ932" s="140">
        <v>0</v>
      </c>
      <c r="AK932" s="140">
        <v>0</v>
      </c>
      <c r="AL932" s="140">
        <v>0</v>
      </c>
      <c r="AM932" s="140">
        <v>0</v>
      </c>
      <c r="AN932" s="140">
        <v>0</v>
      </c>
      <c r="AO932" s="140">
        <v>1</v>
      </c>
      <c r="AP932" s="140">
        <v>0</v>
      </c>
      <c r="AQ932" s="140">
        <v>0</v>
      </c>
      <c r="AR932" s="140">
        <v>0</v>
      </c>
      <c r="AS932" s="140">
        <v>0</v>
      </c>
      <c r="AT932" s="140">
        <v>0</v>
      </c>
      <c r="AU932" s="140">
        <v>0</v>
      </c>
      <c r="AV932" s="140">
        <v>1</v>
      </c>
      <c r="AW932" s="140">
        <v>0</v>
      </c>
      <c r="AX932" s="140">
        <v>0</v>
      </c>
      <c r="AY932" s="140">
        <v>0</v>
      </c>
      <c r="AZ932" s="140">
        <v>0</v>
      </c>
      <c r="BA932" s="140">
        <v>0</v>
      </c>
      <c r="BB932" s="140">
        <v>0</v>
      </c>
      <c r="BC932" s="140">
        <v>0</v>
      </c>
      <c r="BD932" s="140">
        <v>0</v>
      </c>
      <c r="BE932" s="140">
        <v>0</v>
      </c>
      <c r="BF932" s="140">
        <v>0</v>
      </c>
      <c r="BG932" s="140">
        <v>0</v>
      </c>
      <c r="BH932" s="140">
        <v>0</v>
      </c>
      <c r="BI932" s="140">
        <v>0</v>
      </c>
      <c r="BJ932" s="140">
        <v>0</v>
      </c>
      <c r="BK932" s="140">
        <v>0</v>
      </c>
      <c r="BL932" s="140">
        <v>0</v>
      </c>
      <c r="BM932" s="140">
        <v>0</v>
      </c>
      <c r="BN932" s="140">
        <v>0</v>
      </c>
      <c r="BO932" s="140">
        <v>0</v>
      </c>
      <c r="BQ932" s="89"/>
      <c r="BU932" s="89"/>
      <c r="BX932" s="43">
        <v>15</v>
      </c>
      <c r="BZ932" s="90">
        <f t="shared" si="129"/>
        <v>0.33333333333333331</v>
      </c>
      <c r="CA932" s="90">
        <f t="shared" si="129"/>
        <v>0.33333333333333331</v>
      </c>
      <c r="CB932" s="90">
        <f t="shared" si="129"/>
        <v>0.33333333333333331</v>
      </c>
      <c r="CT932" s="90">
        <f t="shared" si="123"/>
        <v>1</v>
      </c>
      <c r="CU932" s="90">
        <f t="shared" si="124"/>
        <v>1</v>
      </c>
    </row>
    <row r="933" spans="1:99" ht="12" customHeight="1">
      <c r="A933" s="43">
        <v>7166</v>
      </c>
      <c r="B933" s="89" t="s">
        <v>1515</v>
      </c>
      <c r="C933" s="89" t="s">
        <v>2560</v>
      </c>
      <c r="D933" s="89" t="s">
        <v>2561</v>
      </c>
      <c r="F933" s="43">
        <v>528340</v>
      </c>
      <c r="G933" s="43">
        <v>172918</v>
      </c>
      <c r="H933" s="89" t="s">
        <v>167</v>
      </c>
      <c r="K933" s="140">
        <v>0</v>
      </c>
      <c r="L933" s="140">
        <v>2</v>
      </c>
      <c r="M933" s="140">
        <v>2</v>
      </c>
      <c r="N933" s="140">
        <v>2</v>
      </c>
      <c r="O933" s="140">
        <v>2</v>
      </c>
      <c r="Q933" s="89" t="s">
        <v>2562</v>
      </c>
      <c r="R933" s="43" t="s">
        <v>316</v>
      </c>
      <c r="S933" s="125">
        <v>43558</v>
      </c>
      <c r="T933" s="117">
        <v>43614</v>
      </c>
      <c r="U933" s="43" t="s">
        <v>329</v>
      </c>
      <c r="V933" s="43" t="s">
        <v>317</v>
      </c>
      <c r="X933" s="43" t="s">
        <v>318</v>
      </c>
      <c r="Y933" s="43" t="s">
        <v>379</v>
      </c>
      <c r="Z933" s="43" t="s">
        <v>320</v>
      </c>
      <c r="AA933" s="43" t="s">
        <v>340</v>
      </c>
      <c r="AB933" s="144">
        <v>7.0000002160668399E-3</v>
      </c>
      <c r="AF933" s="43" t="s">
        <v>75</v>
      </c>
      <c r="AG933" s="43" t="s">
        <v>322</v>
      </c>
      <c r="AJ933" s="140">
        <v>0</v>
      </c>
      <c r="AK933" s="140">
        <v>0</v>
      </c>
      <c r="AL933" s="140">
        <v>0</v>
      </c>
      <c r="AM933" s="140">
        <v>0</v>
      </c>
      <c r="AN933" s="140">
        <v>0</v>
      </c>
      <c r="AO933" s="140">
        <v>1</v>
      </c>
      <c r="AP933" s="140">
        <v>1</v>
      </c>
      <c r="AQ933" s="140">
        <v>0</v>
      </c>
      <c r="AR933" s="140">
        <v>0</v>
      </c>
      <c r="AS933" s="140">
        <v>0</v>
      </c>
      <c r="AT933" s="140">
        <v>0</v>
      </c>
      <c r="AU933" s="140">
        <v>0</v>
      </c>
      <c r="AV933" s="140">
        <v>1</v>
      </c>
      <c r="AW933" s="140">
        <v>1</v>
      </c>
      <c r="AX933" s="140">
        <v>0</v>
      </c>
      <c r="AY933" s="140">
        <v>0</v>
      </c>
      <c r="AZ933" s="140">
        <v>0</v>
      </c>
      <c r="BA933" s="140">
        <v>0</v>
      </c>
      <c r="BB933" s="140">
        <v>0</v>
      </c>
      <c r="BC933" s="140">
        <v>0</v>
      </c>
      <c r="BD933" s="140">
        <v>0</v>
      </c>
      <c r="BE933" s="140">
        <v>0</v>
      </c>
      <c r="BF933" s="140">
        <v>0</v>
      </c>
      <c r="BG933" s="140">
        <v>0</v>
      </c>
      <c r="BH933" s="140">
        <v>0</v>
      </c>
      <c r="BI933" s="140">
        <v>0</v>
      </c>
      <c r="BJ933" s="140">
        <v>0</v>
      </c>
      <c r="BK933" s="140">
        <v>0</v>
      </c>
      <c r="BL933" s="140">
        <v>0</v>
      </c>
      <c r="BM933" s="140">
        <v>0</v>
      </c>
      <c r="BN933" s="140">
        <v>0</v>
      </c>
      <c r="BO933" s="140">
        <v>0</v>
      </c>
      <c r="BQ933" s="89"/>
      <c r="BU933" s="89"/>
      <c r="BX933" s="43">
        <v>15</v>
      </c>
      <c r="BZ933" s="90">
        <f t="shared" si="129"/>
        <v>0.66666666666666663</v>
      </c>
      <c r="CA933" s="90">
        <f t="shared" si="129"/>
        <v>0.66666666666666663</v>
      </c>
      <c r="CB933" s="90">
        <f t="shared" si="129"/>
        <v>0.66666666666666663</v>
      </c>
      <c r="CT933" s="90">
        <f t="shared" si="123"/>
        <v>2</v>
      </c>
      <c r="CU933" s="90">
        <f t="shared" si="124"/>
        <v>2</v>
      </c>
    </row>
    <row r="934" spans="1:99" ht="12" customHeight="1">
      <c r="A934" s="43">
        <v>7167</v>
      </c>
      <c r="B934" s="89" t="s">
        <v>1515</v>
      </c>
      <c r="C934" s="89" t="s">
        <v>2563</v>
      </c>
      <c r="D934" s="89" t="s">
        <v>2564</v>
      </c>
      <c r="F934" s="43">
        <v>526267</v>
      </c>
      <c r="G934" s="43">
        <v>174208</v>
      </c>
      <c r="H934" s="89" t="s">
        <v>179</v>
      </c>
      <c r="K934" s="140">
        <v>0</v>
      </c>
      <c r="L934" s="140">
        <v>1</v>
      </c>
      <c r="M934" s="140">
        <v>1</v>
      </c>
      <c r="N934" s="140">
        <v>1</v>
      </c>
      <c r="O934" s="140">
        <v>1</v>
      </c>
      <c r="Q934" s="89" t="s">
        <v>2565</v>
      </c>
      <c r="R934" s="43" t="s">
        <v>316</v>
      </c>
      <c r="S934" s="125">
        <v>43595</v>
      </c>
      <c r="T934" s="117">
        <v>43741</v>
      </c>
      <c r="U934" s="43" t="s">
        <v>329</v>
      </c>
      <c r="V934" s="43" t="s">
        <v>317</v>
      </c>
      <c r="X934" s="43" t="s">
        <v>318</v>
      </c>
      <c r="Y934" s="43" t="s">
        <v>319</v>
      </c>
      <c r="Z934" s="43" t="s">
        <v>320</v>
      </c>
      <c r="AA934" s="43" t="s">
        <v>33</v>
      </c>
      <c r="AB934" s="144">
        <v>4.9999998882412902E-3</v>
      </c>
      <c r="AF934" s="43" t="s">
        <v>75</v>
      </c>
      <c r="AG934" s="43" t="s">
        <v>322</v>
      </c>
      <c r="AJ934" s="140">
        <v>0</v>
      </c>
      <c r="AK934" s="140">
        <v>0</v>
      </c>
      <c r="AL934" s="140">
        <v>0</v>
      </c>
      <c r="AM934" s="140">
        <v>0</v>
      </c>
      <c r="AN934" s="140">
        <v>0</v>
      </c>
      <c r="AO934" s="140">
        <v>0</v>
      </c>
      <c r="AP934" s="140">
        <v>1</v>
      </c>
      <c r="AQ934" s="140">
        <v>0</v>
      </c>
      <c r="AR934" s="140">
        <v>0</v>
      </c>
      <c r="AS934" s="140">
        <v>0</v>
      </c>
      <c r="AT934" s="140">
        <v>0</v>
      </c>
      <c r="AU934" s="140">
        <v>0</v>
      </c>
      <c r="AV934" s="140">
        <v>0</v>
      </c>
      <c r="AW934" s="140">
        <v>1</v>
      </c>
      <c r="AX934" s="140">
        <v>0</v>
      </c>
      <c r="AY934" s="140">
        <v>0</v>
      </c>
      <c r="AZ934" s="140">
        <v>0</v>
      </c>
      <c r="BA934" s="140">
        <v>0</v>
      </c>
      <c r="BB934" s="140">
        <v>0</v>
      </c>
      <c r="BC934" s="140">
        <v>0</v>
      </c>
      <c r="BD934" s="140">
        <v>0</v>
      </c>
      <c r="BE934" s="140">
        <v>0</v>
      </c>
      <c r="BF934" s="140">
        <v>0</v>
      </c>
      <c r="BG934" s="140">
        <v>0</v>
      </c>
      <c r="BH934" s="140">
        <v>0</v>
      </c>
      <c r="BI934" s="140">
        <v>0</v>
      </c>
      <c r="BJ934" s="140">
        <v>0</v>
      </c>
      <c r="BK934" s="140">
        <v>0</v>
      </c>
      <c r="BL934" s="140">
        <v>0</v>
      </c>
      <c r="BM934" s="140">
        <v>0</v>
      </c>
      <c r="BN934" s="140">
        <v>0</v>
      </c>
      <c r="BO934" s="140">
        <v>0</v>
      </c>
      <c r="BQ934" s="89"/>
      <c r="BU934" s="89"/>
      <c r="BX934" s="43">
        <v>15</v>
      </c>
      <c r="BZ934" s="90">
        <f t="shared" si="129"/>
        <v>0.33333333333333331</v>
      </c>
      <c r="CA934" s="90">
        <f t="shared" si="129"/>
        <v>0.33333333333333331</v>
      </c>
      <c r="CB934" s="90">
        <f t="shared" si="129"/>
        <v>0.33333333333333331</v>
      </c>
      <c r="CT934" s="90">
        <f t="shared" si="123"/>
        <v>1</v>
      </c>
      <c r="CU934" s="90">
        <f t="shared" si="124"/>
        <v>1</v>
      </c>
    </row>
    <row r="935" spans="1:99" ht="12" customHeight="1">
      <c r="A935" s="43">
        <v>7169</v>
      </c>
      <c r="B935" s="89" t="s">
        <v>1515</v>
      </c>
      <c r="C935" s="89" t="s">
        <v>2566</v>
      </c>
      <c r="D935" s="89" t="s">
        <v>2567</v>
      </c>
      <c r="F935" s="43">
        <v>528809</v>
      </c>
      <c r="G935" s="43">
        <v>173795</v>
      </c>
      <c r="H935" s="89" t="s">
        <v>138</v>
      </c>
      <c r="K935" s="140">
        <v>0</v>
      </c>
      <c r="L935" s="140">
        <v>1</v>
      </c>
      <c r="M935" s="140">
        <v>1</v>
      </c>
      <c r="N935" s="140">
        <v>1</v>
      </c>
      <c r="O935" s="140">
        <v>1</v>
      </c>
      <c r="Q935" s="89" t="s">
        <v>2568</v>
      </c>
      <c r="R935" s="43" t="s">
        <v>443</v>
      </c>
      <c r="S935" s="125">
        <v>43570</v>
      </c>
      <c r="T935" s="117">
        <v>43621</v>
      </c>
      <c r="U935" s="43" t="s">
        <v>329</v>
      </c>
      <c r="V935" s="43" t="s">
        <v>317</v>
      </c>
      <c r="X935" s="43" t="s">
        <v>318</v>
      </c>
      <c r="Y935" s="43" t="s">
        <v>336</v>
      </c>
      <c r="Z935" s="43" t="s">
        <v>320</v>
      </c>
      <c r="AA935" s="43" t="s">
        <v>33</v>
      </c>
      <c r="AB935" s="144">
        <v>2.0000000949949E-3</v>
      </c>
      <c r="AF935" s="43" t="s">
        <v>75</v>
      </c>
      <c r="AG935" s="43" t="s">
        <v>322</v>
      </c>
      <c r="AJ935" s="140">
        <v>0</v>
      </c>
      <c r="AK935" s="140">
        <v>0</v>
      </c>
      <c r="AL935" s="140">
        <v>0</v>
      </c>
      <c r="AM935" s="140">
        <v>0</v>
      </c>
      <c r="AN935" s="140">
        <v>0</v>
      </c>
      <c r="AO935" s="140">
        <v>0</v>
      </c>
      <c r="AP935" s="140">
        <v>1</v>
      </c>
      <c r="AQ935" s="140">
        <v>0</v>
      </c>
      <c r="AR935" s="140">
        <v>0</v>
      </c>
      <c r="AS935" s="140">
        <v>0</v>
      </c>
      <c r="AT935" s="140">
        <v>0</v>
      </c>
      <c r="AU935" s="140">
        <v>0</v>
      </c>
      <c r="AV935" s="140">
        <v>0</v>
      </c>
      <c r="AW935" s="140">
        <v>1</v>
      </c>
      <c r="AX935" s="140">
        <v>0</v>
      </c>
      <c r="AY935" s="140">
        <v>0</v>
      </c>
      <c r="AZ935" s="140">
        <v>0</v>
      </c>
      <c r="BA935" s="140">
        <v>0</v>
      </c>
      <c r="BB935" s="140">
        <v>0</v>
      </c>
      <c r="BC935" s="140">
        <v>0</v>
      </c>
      <c r="BD935" s="140">
        <v>0</v>
      </c>
      <c r="BE935" s="140">
        <v>0</v>
      </c>
      <c r="BF935" s="140">
        <v>0</v>
      </c>
      <c r="BG935" s="140">
        <v>0</v>
      </c>
      <c r="BH935" s="140">
        <v>0</v>
      </c>
      <c r="BI935" s="140">
        <v>0</v>
      </c>
      <c r="BJ935" s="140">
        <v>0</v>
      </c>
      <c r="BK935" s="140">
        <v>0</v>
      </c>
      <c r="BL935" s="140">
        <v>0</v>
      </c>
      <c r="BM935" s="140">
        <v>0</v>
      </c>
      <c r="BN935" s="140">
        <v>0</v>
      </c>
      <c r="BO935" s="140">
        <v>0</v>
      </c>
      <c r="BQ935" s="89"/>
      <c r="BU935" s="89"/>
      <c r="BX935" s="43">
        <v>15</v>
      </c>
      <c r="BZ935" s="90">
        <f t="shared" si="129"/>
        <v>0.33333333333333331</v>
      </c>
      <c r="CA935" s="90">
        <f t="shared" si="129"/>
        <v>0.33333333333333331</v>
      </c>
      <c r="CB935" s="90">
        <f t="shared" si="129"/>
        <v>0.33333333333333331</v>
      </c>
      <c r="CT935" s="90">
        <f t="shared" si="123"/>
        <v>1</v>
      </c>
      <c r="CU935" s="90">
        <f t="shared" si="124"/>
        <v>1</v>
      </c>
    </row>
    <row r="936" spans="1:99" ht="12" customHeight="1">
      <c r="A936" s="43">
        <v>7170</v>
      </c>
      <c r="B936" s="89" t="s">
        <v>1515</v>
      </c>
      <c r="C936" s="89" t="s">
        <v>2569</v>
      </c>
      <c r="D936" s="89" t="s">
        <v>2570</v>
      </c>
      <c r="F936" s="43">
        <v>526060</v>
      </c>
      <c r="G936" s="43">
        <v>174693</v>
      </c>
      <c r="H936" s="89" t="s">
        <v>170</v>
      </c>
      <c r="K936" s="140">
        <v>0</v>
      </c>
      <c r="L936" s="140">
        <v>1</v>
      </c>
      <c r="M936" s="140">
        <v>1</v>
      </c>
      <c r="N936" s="140">
        <v>1</v>
      </c>
      <c r="O936" s="140">
        <v>1</v>
      </c>
      <c r="Q936" s="89" t="s">
        <v>2571</v>
      </c>
      <c r="R936" s="43" t="s">
        <v>316</v>
      </c>
      <c r="S936" s="125">
        <v>43607</v>
      </c>
      <c r="T936" s="117">
        <v>43706</v>
      </c>
      <c r="U936" s="43" t="s">
        <v>329</v>
      </c>
      <c r="V936" s="43" t="s">
        <v>317</v>
      </c>
      <c r="X936" s="43" t="s">
        <v>318</v>
      </c>
      <c r="Y936" s="43" t="s">
        <v>379</v>
      </c>
      <c r="Z936" s="43" t="s">
        <v>320</v>
      </c>
      <c r="AA936" s="43" t="s">
        <v>340</v>
      </c>
      <c r="AB936" s="144">
        <v>2.0000000949949E-3</v>
      </c>
      <c r="AF936" s="43" t="s">
        <v>75</v>
      </c>
      <c r="AG936" s="43" t="s">
        <v>322</v>
      </c>
      <c r="AJ936" s="140">
        <v>0</v>
      </c>
      <c r="AK936" s="140">
        <v>0</v>
      </c>
      <c r="AL936" s="140">
        <v>0</v>
      </c>
      <c r="AM936" s="140">
        <v>0</v>
      </c>
      <c r="AN936" s="140">
        <v>0</v>
      </c>
      <c r="AO936" s="140">
        <v>1</v>
      </c>
      <c r="AP936" s="140">
        <v>0</v>
      </c>
      <c r="AQ936" s="140">
        <v>0</v>
      </c>
      <c r="AR936" s="140">
        <v>0</v>
      </c>
      <c r="AS936" s="140">
        <v>0</v>
      </c>
      <c r="AT936" s="140">
        <v>0</v>
      </c>
      <c r="AU936" s="140">
        <v>0</v>
      </c>
      <c r="AV936" s="140">
        <v>1</v>
      </c>
      <c r="AW936" s="140">
        <v>0</v>
      </c>
      <c r="AX936" s="140">
        <v>0</v>
      </c>
      <c r="AY936" s="140">
        <v>0</v>
      </c>
      <c r="AZ936" s="140">
        <v>0</v>
      </c>
      <c r="BA936" s="140">
        <v>0</v>
      </c>
      <c r="BB936" s="140">
        <v>0</v>
      </c>
      <c r="BC936" s="140">
        <v>0</v>
      </c>
      <c r="BD936" s="140">
        <v>0</v>
      </c>
      <c r="BE936" s="140">
        <v>0</v>
      </c>
      <c r="BF936" s="140">
        <v>0</v>
      </c>
      <c r="BG936" s="140">
        <v>0</v>
      </c>
      <c r="BH936" s="140">
        <v>0</v>
      </c>
      <c r="BI936" s="140">
        <v>0</v>
      </c>
      <c r="BJ936" s="140">
        <v>0</v>
      </c>
      <c r="BK936" s="140">
        <v>0</v>
      </c>
      <c r="BL936" s="140">
        <v>0</v>
      </c>
      <c r="BM936" s="140">
        <v>0</v>
      </c>
      <c r="BN936" s="140">
        <v>0</v>
      </c>
      <c r="BO936" s="140">
        <v>0</v>
      </c>
      <c r="BQ936" s="89"/>
      <c r="BU936" s="89"/>
      <c r="BX936" s="43">
        <v>15</v>
      </c>
      <c r="BZ936" s="90">
        <f t="shared" si="129"/>
        <v>0.33333333333333331</v>
      </c>
      <c r="CA936" s="90">
        <f t="shared" si="129"/>
        <v>0.33333333333333331</v>
      </c>
      <c r="CB936" s="90">
        <f t="shared" si="129"/>
        <v>0.33333333333333331</v>
      </c>
      <c r="CT936" s="90">
        <f t="shared" si="123"/>
        <v>1</v>
      </c>
      <c r="CU936" s="90">
        <f t="shared" si="124"/>
        <v>1</v>
      </c>
    </row>
    <row r="937" spans="1:99" ht="12" customHeight="1">
      <c r="A937" s="43">
        <v>7171</v>
      </c>
      <c r="B937" s="89" t="s">
        <v>1515</v>
      </c>
      <c r="C937" s="89" t="s">
        <v>2572</v>
      </c>
      <c r="D937" s="89" t="s">
        <v>2573</v>
      </c>
      <c r="F937" s="43">
        <v>526265</v>
      </c>
      <c r="G937" s="43">
        <v>172170</v>
      </c>
      <c r="H937" s="89" t="s">
        <v>168</v>
      </c>
      <c r="K937" s="140">
        <v>0</v>
      </c>
      <c r="L937" s="140">
        <v>3</v>
      </c>
      <c r="M937" s="140">
        <v>3</v>
      </c>
      <c r="N937" s="140">
        <v>3</v>
      </c>
      <c r="O937" s="140">
        <v>3</v>
      </c>
      <c r="Q937" s="89" t="s">
        <v>2574</v>
      </c>
      <c r="R937" s="43" t="s">
        <v>316</v>
      </c>
      <c r="S937" s="125">
        <v>43594</v>
      </c>
      <c r="T937" s="117">
        <v>43767</v>
      </c>
      <c r="U937" s="43" t="s">
        <v>329</v>
      </c>
      <c r="V937" s="43" t="s">
        <v>317</v>
      </c>
      <c r="X937" s="43" t="s">
        <v>318</v>
      </c>
      <c r="Y937" s="43" t="s">
        <v>336</v>
      </c>
      <c r="Z937" s="43" t="s">
        <v>320</v>
      </c>
      <c r="AA937" s="43" t="s">
        <v>33</v>
      </c>
      <c r="AB937" s="144">
        <v>2.3000000044703501E-2</v>
      </c>
      <c r="AF937" s="43" t="s">
        <v>75</v>
      </c>
      <c r="AG937" s="43" t="s">
        <v>322</v>
      </c>
      <c r="AJ937" s="140">
        <v>0</v>
      </c>
      <c r="AK937" s="140">
        <v>0</v>
      </c>
      <c r="AL937" s="140">
        <v>0</v>
      </c>
      <c r="AM937" s="140">
        <v>0</v>
      </c>
      <c r="AN937" s="140">
        <v>0</v>
      </c>
      <c r="AO937" s="140">
        <v>2</v>
      </c>
      <c r="AP937" s="140">
        <v>1</v>
      </c>
      <c r="AQ937" s="140">
        <v>0</v>
      </c>
      <c r="AR937" s="140">
        <v>0</v>
      </c>
      <c r="AS937" s="140">
        <v>0</v>
      </c>
      <c r="AT937" s="140">
        <v>0</v>
      </c>
      <c r="AU937" s="140">
        <v>0</v>
      </c>
      <c r="AV937" s="140">
        <v>2</v>
      </c>
      <c r="AW937" s="140">
        <v>1</v>
      </c>
      <c r="AX937" s="140">
        <v>0</v>
      </c>
      <c r="AY937" s="140">
        <v>0</v>
      </c>
      <c r="AZ937" s="140">
        <v>0</v>
      </c>
      <c r="BA937" s="140">
        <v>0</v>
      </c>
      <c r="BB937" s="140">
        <v>0</v>
      </c>
      <c r="BC937" s="140">
        <v>0</v>
      </c>
      <c r="BD937" s="140">
        <v>0</v>
      </c>
      <c r="BE937" s="140">
        <v>0</v>
      </c>
      <c r="BF937" s="140">
        <v>0</v>
      </c>
      <c r="BG937" s="140">
        <v>0</v>
      </c>
      <c r="BH937" s="140">
        <v>0</v>
      </c>
      <c r="BI937" s="140">
        <v>0</v>
      </c>
      <c r="BJ937" s="140">
        <v>0</v>
      </c>
      <c r="BK937" s="140">
        <v>0</v>
      </c>
      <c r="BL937" s="140">
        <v>0</v>
      </c>
      <c r="BM937" s="140">
        <v>0</v>
      </c>
      <c r="BN937" s="140">
        <v>0</v>
      </c>
      <c r="BO937" s="140">
        <v>0</v>
      </c>
      <c r="BQ937" s="89"/>
      <c r="BU937" s="89"/>
      <c r="BX937" s="43">
        <v>15</v>
      </c>
      <c r="BZ937" s="90">
        <f t="shared" si="129"/>
        <v>1</v>
      </c>
      <c r="CA937" s="90">
        <f t="shared" si="129"/>
        <v>1</v>
      </c>
      <c r="CB937" s="90">
        <f t="shared" si="129"/>
        <v>1</v>
      </c>
      <c r="CT937" s="90">
        <f t="shared" si="123"/>
        <v>3</v>
      </c>
      <c r="CU937" s="90">
        <f t="shared" si="124"/>
        <v>3</v>
      </c>
    </row>
    <row r="938" spans="1:99" ht="12" customHeight="1">
      <c r="A938" s="43">
        <v>7173</v>
      </c>
      <c r="B938" s="89" t="s">
        <v>1515</v>
      </c>
      <c r="C938" s="89" t="s">
        <v>2575</v>
      </c>
      <c r="D938" s="89" t="s">
        <v>2576</v>
      </c>
      <c r="F938" s="43">
        <v>527960</v>
      </c>
      <c r="G938" s="43">
        <v>175575</v>
      </c>
      <c r="H938" s="89" t="s">
        <v>175</v>
      </c>
      <c r="K938" s="140">
        <v>0</v>
      </c>
      <c r="L938" s="140">
        <v>3</v>
      </c>
      <c r="M938" s="140">
        <v>3</v>
      </c>
      <c r="N938" s="140">
        <v>3</v>
      </c>
      <c r="O938" s="140">
        <v>3</v>
      </c>
      <c r="Q938" s="89" t="s">
        <v>2577</v>
      </c>
      <c r="R938" s="43" t="s">
        <v>316</v>
      </c>
      <c r="S938" s="125">
        <v>43567</v>
      </c>
      <c r="T938" s="117">
        <v>43622</v>
      </c>
      <c r="U938" s="43" t="s">
        <v>329</v>
      </c>
      <c r="V938" s="43" t="s">
        <v>317</v>
      </c>
      <c r="X938" s="43" t="s">
        <v>318</v>
      </c>
      <c r="Y938" s="43" t="s">
        <v>319</v>
      </c>
      <c r="Z938" s="43" t="s">
        <v>320</v>
      </c>
      <c r="AA938" s="43" t="s">
        <v>340</v>
      </c>
      <c r="AB938" s="144">
        <v>8.0000003799796104E-3</v>
      </c>
      <c r="AF938" s="43" t="s">
        <v>75</v>
      </c>
      <c r="AG938" s="43" t="s">
        <v>322</v>
      </c>
      <c r="AJ938" s="140">
        <v>0</v>
      </c>
      <c r="AK938" s="140">
        <v>0</v>
      </c>
      <c r="AL938" s="140">
        <v>0</v>
      </c>
      <c r="AM938" s="140">
        <v>0</v>
      </c>
      <c r="AN938" s="140">
        <v>0</v>
      </c>
      <c r="AO938" s="140">
        <v>1</v>
      </c>
      <c r="AP938" s="140">
        <v>2</v>
      </c>
      <c r="AQ938" s="140">
        <v>0</v>
      </c>
      <c r="AR938" s="140">
        <v>0</v>
      </c>
      <c r="AS938" s="140">
        <v>0</v>
      </c>
      <c r="AT938" s="140">
        <v>0</v>
      </c>
      <c r="AU938" s="140">
        <v>0</v>
      </c>
      <c r="AV938" s="140">
        <v>1</v>
      </c>
      <c r="AW938" s="140">
        <v>2</v>
      </c>
      <c r="AX938" s="140">
        <v>0</v>
      </c>
      <c r="AY938" s="140">
        <v>0</v>
      </c>
      <c r="AZ938" s="140">
        <v>0</v>
      </c>
      <c r="BA938" s="140">
        <v>0</v>
      </c>
      <c r="BB938" s="140">
        <v>0</v>
      </c>
      <c r="BC938" s="140">
        <v>0</v>
      </c>
      <c r="BD938" s="140">
        <v>0</v>
      </c>
      <c r="BE938" s="140">
        <v>0</v>
      </c>
      <c r="BF938" s="140">
        <v>0</v>
      </c>
      <c r="BG938" s="140">
        <v>0</v>
      </c>
      <c r="BH938" s="140">
        <v>0</v>
      </c>
      <c r="BI938" s="140">
        <v>0</v>
      </c>
      <c r="BJ938" s="140">
        <v>0</v>
      </c>
      <c r="BK938" s="140">
        <v>0</v>
      </c>
      <c r="BL938" s="140">
        <v>0</v>
      </c>
      <c r="BM938" s="140">
        <v>0</v>
      </c>
      <c r="BN938" s="140">
        <v>0</v>
      </c>
      <c r="BO938" s="140">
        <v>0</v>
      </c>
      <c r="BQ938" s="89"/>
      <c r="BU938" s="89"/>
      <c r="BX938" s="43">
        <v>15</v>
      </c>
      <c r="BZ938" s="90">
        <f t="shared" si="129"/>
        <v>1</v>
      </c>
      <c r="CA938" s="90">
        <f t="shared" si="129"/>
        <v>1</v>
      </c>
      <c r="CB938" s="90">
        <f t="shared" si="129"/>
        <v>1</v>
      </c>
      <c r="CT938" s="90">
        <f t="shared" si="123"/>
        <v>3</v>
      </c>
      <c r="CU938" s="90">
        <f t="shared" si="124"/>
        <v>3</v>
      </c>
    </row>
    <row r="939" spans="1:99" ht="12" customHeight="1">
      <c r="A939" s="43">
        <v>7179</v>
      </c>
      <c r="B939" s="89" t="s">
        <v>1515</v>
      </c>
      <c r="C939" s="89" t="s">
        <v>2578</v>
      </c>
      <c r="D939" s="89" t="s">
        <v>2579</v>
      </c>
      <c r="F939" s="43">
        <v>525217</v>
      </c>
      <c r="G939" s="43">
        <v>173866</v>
      </c>
      <c r="H939" s="89" t="s">
        <v>176</v>
      </c>
      <c r="K939" s="140">
        <v>0</v>
      </c>
      <c r="L939" s="140">
        <v>2</v>
      </c>
      <c r="M939" s="140">
        <v>2</v>
      </c>
      <c r="N939" s="140">
        <v>2</v>
      </c>
      <c r="O939" s="140">
        <v>2</v>
      </c>
      <c r="Q939" s="89" t="s">
        <v>2580</v>
      </c>
      <c r="R939" s="43" t="s">
        <v>316</v>
      </c>
      <c r="S939" s="125">
        <v>43580</v>
      </c>
      <c r="T939" s="117">
        <v>43794</v>
      </c>
      <c r="U939" s="43" t="s">
        <v>329</v>
      </c>
      <c r="V939" s="43" t="s">
        <v>317</v>
      </c>
      <c r="X939" s="43" t="s">
        <v>318</v>
      </c>
      <c r="Y939" s="43" t="s">
        <v>361</v>
      </c>
      <c r="Z939" s="43" t="s">
        <v>320</v>
      </c>
      <c r="AA939" s="43" t="s">
        <v>353</v>
      </c>
      <c r="AB939" s="144">
        <v>8.0000003799796104E-3</v>
      </c>
      <c r="AF939" s="43" t="s">
        <v>75</v>
      </c>
      <c r="AG939" s="43" t="s">
        <v>322</v>
      </c>
      <c r="AJ939" s="140">
        <v>0</v>
      </c>
      <c r="AK939" s="140">
        <v>0</v>
      </c>
      <c r="AL939" s="140">
        <v>0</v>
      </c>
      <c r="AM939" s="140">
        <v>0</v>
      </c>
      <c r="AN939" s="140">
        <v>0</v>
      </c>
      <c r="AO939" s="140">
        <v>2</v>
      </c>
      <c r="AP939" s="140">
        <v>0</v>
      </c>
      <c r="AQ939" s="140">
        <v>0</v>
      </c>
      <c r="AR939" s="140">
        <v>0</v>
      </c>
      <c r="AS939" s="140">
        <v>0</v>
      </c>
      <c r="AT939" s="140">
        <v>0</v>
      </c>
      <c r="AU939" s="140">
        <v>0</v>
      </c>
      <c r="AV939" s="140">
        <v>2</v>
      </c>
      <c r="AW939" s="140">
        <v>0</v>
      </c>
      <c r="AX939" s="140">
        <v>0</v>
      </c>
      <c r="AY939" s="140">
        <v>0</v>
      </c>
      <c r="AZ939" s="140">
        <v>0</v>
      </c>
      <c r="BA939" s="140">
        <v>0</v>
      </c>
      <c r="BB939" s="140">
        <v>0</v>
      </c>
      <c r="BC939" s="140">
        <v>0</v>
      </c>
      <c r="BD939" s="140">
        <v>0</v>
      </c>
      <c r="BE939" s="140">
        <v>0</v>
      </c>
      <c r="BF939" s="140">
        <v>0</v>
      </c>
      <c r="BG939" s="140">
        <v>0</v>
      </c>
      <c r="BH939" s="140">
        <v>0</v>
      </c>
      <c r="BI939" s="140">
        <v>0</v>
      </c>
      <c r="BJ939" s="140">
        <v>0</v>
      </c>
      <c r="BK939" s="140">
        <v>0</v>
      </c>
      <c r="BL939" s="140">
        <v>0</v>
      </c>
      <c r="BM939" s="140">
        <v>0</v>
      </c>
      <c r="BN939" s="140">
        <v>0</v>
      </c>
      <c r="BO939" s="140">
        <v>0</v>
      </c>
      <c r="BQ939" s="89"/>
      <c r="BU939" s="89"/>
      <c r="BX939" s="43">
        <v>6</v>
      </c>
      <c r="CA939" s="90">
        <f>$M939/4</f>
        <v>0.5</v>
      </c>
      <c r="CB939" s="90">
        <f>$M939/4</f>
        <v>0.5</v>
      </c>
      <c r="CC939" s="90">
        <f>$M939/4</f>
        <v>0.5</v>
      </c>
      <c r="CD939" s="90">
        <f>$M939/4</f>
        <v>0.5</v>
      </c>
      <c r="CT939" s="90">
        <f t="shared" si="123"/>
        <v>2</v>
      </c>
      <c r="CU939" s="90">
        <f t="shared" si="124"/>
        <v>2</v>
      </c>
    </row>
    <row r="940" spans="1:99" ht="12" customHeight="1">
      <c r="A940" s="43">
        <v>7182</v>
      </c>
      <c r="B940" s="89" t="s">
        <v>1515</v>
      </c>
      <c r="C940" s="89" t="s">
        <v>2581</v>
      </c>
      <c r="D940" s="89" t="s">
        <v>2582</v>
      </c>
      <c r="F940" s="43">
        <v>523838</v>
      </c>
      <c r="G940" s="43">
        <v>174742</v>
      </c>
      <c r="H940" s="89" t="s">
        <v>169</v>
      </c>
      <c r="K940" s="140">
        <v>0</v>
      </c>
      <c r="L940" s="140">
        <v>4</v>
      </c>
      <c r="M940" s="140">
        <v>4</v>
      </c>
      <c r="N940" s="140">
        <v>4</v>
      </c>
      <c r="O940" s="140">
        <v>4</v>
      </c>
      <c r="Q940" s="89" t="s">
        <v>2583</v>
      </c>
      <c r="R940" s="43" t="s">
        <v>316</v>
      </c>
      <c r="S940" s="125">
        <v>43588</v>
      </c>
      <c r="T940" s="117">
        <v>43797</v>
      </c>
      <c r="U940" s="43" t="s">
        <v>329</v>
      </c>
      <c r="V940" s="43" t="s">
        <v>317</v>
      </c>
      <c r="X940" s="43" t="s">
        <v>318</v>
      </c>
      <c r="Y940" s="43" t="s">
        <v>319</v>
      </c>
      <c r="Z940" s="43" t="s">
        <v>320</v>
      </c>
      <c r="AA940" s="43" t="s">
        <v>36</v>
      </c>
      <c r="AB940" s="144">
        <v>1.7999999225139601E-2</v>
      </c>
      <c r="AF940" s="43" t="s">
        <v>75</v>
      </c>
      <c r="AG940" s="43" t="s">
        <v>322</v>
      </c>
      <c r="AJ940" s="140">
        <v>0</v>
      </c>
      <c r="AK940" s="140">
        <v>0</v>
      </c>
      <c r="AL940" s="140">
        <v>0</v>
      </c>
      <c r="AM940" s="140">
        <v>0</v>
      </c>
      <c r="AN940" s="140">
        <v>0</v>
      </c>
      <c r="AO940" s="140">
        <v>4</v>
      </c>
      <c r="AP940" s="140">
        <v>0</v>
      </c>
      <c r="AQ940" s="140">
        <v>0</v>
      </c>
      <c r="AR940" s="140">
        <v>0</v>
      </c>
      <c r="AS940" s="140">
        <v>0</v>
      </c>
      <c r="AT940" s="140">
        <v>0</v>
      </c>
      <c r="AU940" s="140">
        <v>0</v>
      </c>
      <c r="AV940" s="140">
        <v>4</v>
      </c>
      <c r="AW940" s="140">
        <v>0</v>
      </c>
      <c r="AX940" s="140">
        <v>0</v>
      </c>
      <c r="AY940" s="140">
        <v>0</v>
      </c>
      <c r="AZ940" s="140">
        <v>0</v>
      </c>
      <c r="BA940" s="140">
        <v>0</v>
      </c>
      <c r="BB940" s="140">
        <v>0</v>
      </c>
      <c r="BC940" s="140">
        <v>0</v>
      </c>
      <c r="BD940" s="140">
        <v>0</v>
      </c>
      <c r="BE940" s="140">
        <v>0</v>
      </c>
      <c r="BF940" s="140">
        <v>0</v>
      </c>
      <c r="BG940" s="140">
        <v>0</v>
      </c>
      <c r="BH940" s="140">
        <v>0</v>
      </c>
      <c r="BI940" s="140">
        <v>0</v>
      </c>
      <c r="BJ940" s="140">
        <v>0</v>
      </c>
      <c r="BK940" s="140">
        <v>0</v>
      </c>
      <c r="BL940" s="140">
        <v>0</v>
      </c>
      <c r="BM940" s="140">
        <v>0</v>
      </c>
      <c r="BN940" s="140">
        <v>0</v>
      </c>
      <c r="BO940" s="140">
        <v>0</v>
      </c>
      <c r="BQ940" s="89"/>
      <c r="BU940" s="89"/>
      <c r="BX940" s="43">
        <v>15</v>
      </c>
      <c r="BZ940" s="90">
        <f t="shared" ref="BZ940:CB943" si="130">$M940/3</f>
        <v>1.3333333333333333</v>
      </c>
      <c r="CA940" s="90">
        <f t="shared" si="130"/>
        <v>1.3333333333333333</v>
      </c>
      <c r="CB940" s="90">
        <f t="shared" si="130"/>
        <v>1.3333333333333333</v>
      </c>
      <c r="CT940" s="90">
        <f t="shared" si="123"/>
        <v>4</v>
      </c>
      <c r="CU940" s="90">
        <f t="shared" si="124"/>
        <v>4</v>
      </c>
    </row>
    <row r="941" spans="1:99" ht="12" customHeight="1">
      <c r="A941" s="43">
        <v>7184</v>
      </c>
      <c r="B941" s="89" t="s">
        <v>1515</v>
      </c>
      <c r="C941" s="89" t="s">
        <v>2584</v>
      </c>
      <c r="D941" s="89" t="s">
        <v>2585</v>
      </c>
      <c r="F941" s="43">
        <v>528548</v>
      </c>
      <c r="G941" s="43">
        <v>175966</v>
      </c>
      <c r="H941" s="89" t="s">
        <v>148</v>
      </c>
      <c r="K941" s="140">
        <v>0</v>
      </c>
      <c r="L941" s="140">
        <v>1</v>
      </c>
      <c r="M941" s="140">
        <v>1</v>
      </c>
      <c r="N941" s="140">
        <v>1</v>
      </c>
      <c r="O941" s="140">
        <v>1</v>
      </c>
      <c r="Q941" s="89" t="s">
        <v>2586</v>
      </c>
      <c r="R941" s="43" t="s">
        <v>316</v>
      </c>
      <c r="S941" s="125">
        <v>43588</v>
      </c>
      <c r="T941" s="117">
        <v>43726</v>
      </c>
      <c r="U941" s="43" t="s">
        <v>329</v>
      </c>
      <c r="V941" s="43" t="s">
        <v>317</v>
      </c>
      <c r="X941" s="43" t="s">
        <v>318</v>
      </c>
      <c r="Y941" s="43" t="s">
        <v>319</v>
      </c>
      <c r="Z941" s="43" t="s">
        <v>320</v>
      </c>
      <c r="AA941" s="43" t="s">
        <v>30</v>
      </c>
      <c r="AB941" s="144">
        <v>3.0000000260770299E-3</v>
      </c>
      <c r="AF941" s="43" t="s">
        <v>75</v>
      </c>
      <c r="AG941" s="43" t="s">
        <v>322</v>
      </c>
      <c r="AJ941" s="140">
        <v>0</v>
      </c>
      <c r="AK941" s="140">
        <v>0</v>
      </c>
      <c r="AL941" s="140">
        <v>0</v>
      </c>
      <c r="AM941" s="140">
        <v>0</v>
      </c>
      <c r="AN941" s="140">
        <v>0</v>
      </c>
      <c r="AO941" s="140">
        <v>1</v>
      </c>
      <c r="AP941" s="140">
        <v>0</v>
      </c>
      <c r="AQ941" s="140">
        <v>0</v>
      </c>
      <c r="AR941" s="140">
        <v>0</v>
      </c>
      <c r="AS941" s="140">
        <v>0</v>
      </c>
      <c r="AT941" s="140">
        <v>0</v>
      </c>
      <c r="AU941" s="140">
        <v>0</v>
      </c>
      <c r="AV941" s="140">
        <v>0</v>
      </c>
      <c r="AW941" s="140">
        <v>0</v>
      </c>
      <c r="AX941" s="140">
        <v>0</v>
      </c>
      <c r="AY941" s="140">
        <v>0</v>
      </c>
      <c r="AZ941" s="140">
        <v>0</v>
      </c>
      <c r="BA941" s="140">
        <v>0</v>
      </c>
      <c r="BB941" s="140">
        <v>0</v>
      </c>
      <c r="BC941" s="140">
        <v>0</v>
      </c>
      <c r="BD941" s="140">
        <v>0</v>
      </c>
      <c r="BE941" s="140">
        <v>0</v>
      </c>
      <c r="BF941" s="140">
        <v>0</v>
      </c>
      <c r="BG941" s="140">
        <v>0</v>
      </c>
      <c r="BH941" s="140">
        <v>0</v>
      </c>
      <c r="BI941" s="140">
        <v>0</v>
      </c>
      <c r="BJ941" s="140">
        <v>1</v>
      </c>
      <c r="BK941" s="140">
        <v>0</v>
      </c>
      <c r="BL941" s="140">
        <v>0</v>
      </c>
      <c r="BM941" s="140">
        <v>0</v>
      </c>
      <c r="BN941" s="140">
        <v>0</v>
      </c>
      <c r="BO941" s="140">
        <v>0</v>
      </c>
      <c r="BQ941" s="89"/>
      <c r="BU941" s="89"/>
      <c r="BX941" s="43">
        <v>15</v>
      </c>
      <c r="BZ941" s="90">
        <f t="shared" si="130"/>
        <v>0.33333333333333331</v>
      </c>
      <c r="CA941" s="90">
        <f t="shared" si="130"/>
        <v>0.33333333333333331</v>
      </c>
      <c r="CB941" s="90">
        <f t="shared" si="130"/>
        <v>0.33333333333333331</v>
      </c>
      <c r="CT941" s="90">
        <f t="shared" si="123"/>
        <v>1</v>
      </c>
      <c r="CU941" s="90">
        <f t="shared" si="124"/>
        <v>1</v>
      </c>
    </row>
    <row r="942" spans="1:99" ht="12" customHeight="1">
      <c r="A942" s="43">
        <v>7186</v>
      </c>
      <c r="B942" s="89" t="s">
        <v>1515</v>
      </c>
      <c r="C942" s="89" t="s">
        <v>2587</v>
      </c>
      <c r="D942" s="89" t="s">
        <v>2588</v>
      </c>
      <c r="F942" s="43">
        <v>526344</v>
      </c>
      <c r="G942" s="43">
        <v>172515</v>
      </c>
      <c r="H942" s="89" t="s">
        <v>168</v>
      </c>
      <c r="K942" s="140">
        <v>0</v>
      </c>
      <c r="L942" s="140">
        <v>1</v>
      </c>
      <c r="M942" s="140">
        <v>1</v>
      </c>
      <c r="N942" s="140">
        <v>1</v>
      </c>
      <c r="O942" s="140">
        <v>1</v>
      </c>
      <c r="Q942" s="89" t="s">
        <v>2589</v>
      </c>
      <c r="R942" s="43" t="s">
        <v>316</v>
      </c>
      <c r="S942" s="125">
        <v>43601</v>
      </c>
      <c r="T942" s="117">
        <v>43739</v>
      </c>
      <c r="U942" s="43" t="s">
        <v>329</v>
      </c>
      <c r="V942" s="43" t="s">
        <v>317</v>
      </c>
      <c r="X942" s="43" t="s">
        <v>318</v>
      </c>
      <c r="Y942" s="43" t="s">
        <v>379</v>
      </c>
      <c r="Z942" s="43" t="s">
        <v>320</v>
      </c>
      <c r="AA942" s="43" t="s">
        <v>340</v>
      </c>
      <c r="AB942" s="144">
        <v>8.0000003799796104E-3</v>
      </c>
      <c r="AF942" s="43" t="s">
        <v>75</v>
      </c>
      <c r="AG942" s="43" t="s">
        <v>322</v>
      </c>
      <c r="AJ942" s="140">
        <v>0</v>
      </c>
      <c r="AK942" s="140">
        <v>0</v>
      </c>
      <c r="AL942" s="140">
        <v>0</v>
      </c>
      <c r="AM942" s="140">
        <v>0</v>
      </c>
      <c r="AN942" s="140">
        <v>0</v>
      </c>
      <c r="AO942" s="140">
        <v>1</v>
      </c>
      <c r="AP942" s="140">
        <v>0</v>
      </c>
      <c r="AQ942" s="140">
        <v>0</v>
      </c>
      <c r="AR942" s="140">
        <v>0</v>
      </c>
      <c r="AS942" s="140">
        <v>0</v>
      </c>
      <c r="AT942" s="140">
        <v>0</v>
      </c>
      <c r="AU942" s="140">
        <v>0</v>
      </c>
      <c r="AV942" s="140">
        <v>1</v>
      </c>
      <c r="AW942" s="140">
        <v>0</v>
      </c>
      <c r="AX942" s="140">
        <v>0</v>
      </c>
      <c r="AY942" s="140">
        <v>0</v>
      </c>
      <c r="AZ942" s="140">
        <v>0</v>
      </c>
      <c r="BA942" s="140">
        <v>0</v>
      </c>
      <c r="BB942" s="140">
        <v>0</v>
      </c>
      <c r="BC942" s="140">
        <v>0</v>
      </c>
      <c r="BD942" s="140">
        <v>0</v>
      </c>
      <c r="BE942" s="140">
        <v>0</v>
      </c>
      <c r="BF942" s="140">
        <v>0</v>
      </c>
      <c r="BG942" s="140">
        <v>0</v>
      </c>
      <c r="BH942" s="140">
        <v>0</v>
      </c>
      <c r="BI942" s="140">
        <v>0</v>
      </c>
      <c r="BJ942" s="140">
        <v>0</v>
      </c>
      <c r="BK942" s="140">
        <v>0</v>
      </c>
      <c r="BL942" s="140">
        <v>0</v>
      </c>
      <c r="BM942" s="140">
        <v>0</v>
      </c>
      <c r="BN942" s="140">
        <v>0</v>
      </c>
      <c r="BO942" s="140">
        <v>0</v>
      </c>
      <c r="BQ942" s="89"/>
      <c r="BU942" s="89"/>
      <c r="BX942" s="43">
        <v>15</v>
      </c>
      <c r="BZ942" s="90">
        <f t="shared" si="130"/>
        <v>0.33333333333333331</v>
      </c>
      <c r="CA942" s="90">
        <f t="shared" si="130"/>
        <v>0.33333333333333331</v>
      </c>
      <c r="CB942" s="90">
        <f t="shared" si="130"/>
        <v>0.33333333333333331</v>
      </c>
      <c r="CT942" s="90">
        <f t="shared" si="123"/>
        <v>1</v>
      </c>
      <c r="CU942" s="90">
        <f t="shared" si="124"/>
        <v>1</v>
      </c>
    </row>
    <row r="943" spans="1:99" ht="12" customHeight="1">
      <c r="A943" s="43">
        <v>7188</v>
      </c>
      <c r="B943" s="89" t="s">
        <v>1515</v>
      </c>
      <c r="C943" s="89" t="s">
        <v>2590</v>
      </c>
      <c r="D943" s="89" t="s">
        <v>2591</v>
      </c>
      <c r="F943" s="43">
        <v>528902</v>
      </c>
      <c r="G943" s="43">
        <v>172500</v>
      </c>
      <c r="H943" s="89" t="s">
        <v>167</v>
      </c>
      <c r="K943" s="140">
        <v>0</v>
      </c>
      <c r="L943" s="140">
        <v>2</v>
      </c>
      <c r="M943" s="140">
        <v>2</v>
      </c>
      <c r="N943" s="140">
        <v>2</v>
      </c>
      <c r="O943" s="140">
        <v>2</v>
      </c>
      <c r="Q943" s="89" t="s">
        <v>2592</v>
      </c>
      <c r="R943" s="43" t="s">
        <v>316</v>
      </c>
      <c r="S943" s="125">
        <v>43633</v>
      </c>
      <c r="T943" s="117">
        <v>43707</v>
      </c>
      <c r="U943" s="43" t="s">
        <v>329</v>
      </c>
      <c r="V943" s="43" t="s">
        <v>317</v>
      </c>
      <c r="X943" s="43" t="s">
        <v>318</v>
      </c>
      <c r="Y943" s="43" t="s">
        <v>379</v>
      </c>
      <c r="Z943" s="43" t="s">
        <v>320</v>
      </c>
      <c r="AA943" s="43" t="s">
        <v>340</v>
      </c>
      <c r="AB943" s="144">
        <v>1.30000002682209E-2</v>
      </c>
      <c r="AF943" s="43" t="s">
        <v>75</v>
      </c>
      <c r="AG943" s="43" t="s">
        <v>322</v>
      </c>
      <c r="AJ943" s="140">
        <v>0</v>
      </c>
      <c r="AK943" s="140">
        <v>0</v>
      </c>
      <c r="AL943" s="140">
        <v>0</v>
      </c>
      <c r="AM943" s="140">
        <v>0</v>
      </c>
      <c r="AN943" s="140">
        <v>0</v>
      </c>
      <c r="AO943" s="140">
        <v>0</v>
      </c>
      <c r="AP943" s="140">
        <v>2</v>
      </c>
      <c r="AQ943" s="140">
        <v>0</v>
      </c>
      <c r="AR943" s="140">
        <v>0</v>
      </c>
      <c r="AS943" s="140">
        <v>0</v>
      </c>
      <c r="AT943" s="140">
        <v>0</v>
      </c>
      <c r="AU943" s="140">
        <v>0</v>
      </c>
      <c r="AV943" s="140">
        <v>0</v>
      </c>
      <c r="AW943" s="140">
        <v>2</v>
      </c>
      <c r="AX943" s="140">
        <v>0</v>
      </c>
      <c r="AY943" s="140">
        <v>0</v>
      </c>
      <c r="AZ943" s="140">
        <v>0</v>
      </c>
      <c r="BA943" s="140">
        <v>0</v>
      </c>
      <c r="BB943" s="140">
        <v>0</v>
      </c>
      <c r="BC943" s="140">
        <v>0</v>
      </c>
      <c r="BD943" s="140">
        <v>0</v>
      </c>
      <c r="BE943" s="140">
        <v>0</v>
      </c>
      <c r="BF943" s="140">
        <v>0</v>
      </c>
      <c r="BG943" s="140">
        <v>0</v>
      </c>
      <c r="BH943" s="140">
        <v>0</v>
      </c>
      <c r="BI943" s="140">
        <v>0</v>
      </c>
      <c r="BJ943" s="140">
        <v>0</v>
      </c>
      <c r="BK943" s="140">
        <v>0</v>
      </c>
      <c r="BL943" s="140">
        <v>0</v>
      </c>
      <c r="BM943" s="140">
        <v>0</v>
      </c>
      <c r="BN943" s="140">
        <v>0</v>
      </c>
      <c r="BO943" s="140">
        <v>0</v>
      </c>
      <c r="BQ943" s="89"/>
      <c r="BU943" s="89"/>
      <c r="BX943" s="43">
        <v>15</v>
      </c>
      <c r="BZ943" s="90">
        <f t="shared" si="130"/>
        <v>0.66666666666666663</v>
      </c>
      <c r="CA943" s="90">
        <f t="shared" si="130"/>
        <v>0.66666666666666663</v>
      </c>
      <c r="CB943" s="90">
        <f t="shared" si="130"/>
        <v>0.66666666666666663</v>
      </c>
      <c r="CT943" s="90">
        <f t="shared" si="123"/>
        <v>2</v>
      </c>
      <c r="CU943" s="90">
        <f t="shared" si="124"/>
        <v>2</v>
      </c>
    </row>
    <row r="944" spans="1:99" ht="12" customHeight="1">
      <c r="A944" s="43">
        <v>7190</v>
      </c>
      <c r="B944" s="89" t="s">
        <v>1515</v>
      </c>
      <c r="C944" s="89" t="s">
        <v>2593</v>
      </c>
      <c r="D944" s="89" t="s">
        <v>2594</v>
      </c>
      <c r="F944" s="43">
        <v>523349</v>
      </c>
      <c r="G944" s="43">
        <v>173599</v>
      </c>
      <c r="H944" s="89" t="s">
        <v>149</v>
      </c>
      <c r="K944" s="140">
        <v>0</v>
      </c>
      <c r="L944" s="140">
        <v>9</v>
      </c>
      <c r="M944" s="140">
        <v>9</v>
      </c>
      <c r="N944" s="140">
        <v>9</v>
      </c>
      <c r="O944" s="140">
        <v>9</v>
      </c>
      <c r="Q944" s="89" t="s">
        <v>2595</v>
      </c>
      <c r="R944" s="43" t="s">
        <v>316</v>
      </c>
      <c r="S944" s="125">
        <v>43643</v>
      </c>
      <c r="T944" s="117">
        <v>43726</v>
      </c>
      <c r="U944" s="43" t="s">
        <v>329</v>
      </c>
      <c r="V944" s="43" t="s">
        <v>317</v>
      </c>
      <c r="X944" s="43" t="s">
        <v>318</v>
      </c>
      <c r="Y944" s="43" t="s">
        <v>379</v>
      </c>
      <c r="Z944" s="43" t="s">
        <v>320</v>
      </c>
      <c r="AA944" s="43" t="s">
        <v>340</v>
      </c>
      <c r="AB944" s="144">
        <v>3.5999998450279201E-2</v>
      </c>
      <c r="AF944" s="43" t="s">
        <v>75</v>
      </c>
      <c r="AG944" s="43" t="s">
        <v>322</v>
      </c>
      <c r="AJ944" s="140">
        <v>0</v>
      </c>
      <c r="AK944" s="140">
        <v>0</v>
      </c>
      <c r="AL944" s="140">
        <v>0</v>
      </c>
      <c r="AM944" s="140">
        <v>0</v>
      </c>
      <c r="AN944" s="140">
        <v>0</v>
      </c>
      <c r="AO944" s="140">
        <v>0</v>
      </c>
      <c r="AP944" s="140">
        <v>6</v>
      </c>
      <c r="AQ944" s="140">
        <v>3</v>
      </c>
      <c r="AR944" s="140">
        <v>0</v>
      </c>
      <c r="AS944" s="140">
        <v>0</v>
      </c>
      <c r="AT944" s="140">
        <v>0</v>
      </c>
      <c r="AU944" s="140">
        <v>0</v>
      </c>
      <c r="AV944" s="140">
        <v>0</v>
      </c>
      <c r="AW944" s="140">
        <v>6</v>
      </c>
      <c r="AX944" s="140">
        <v>3</v>
      </c>
      <c r="AY944" s="140">
        <v>0</v>
      </c>
      <c r="AZ944" s="140">
        <v>0</v>
      </c>
      <c r="BA944" s="140">
        <v>0</v>
      </c>
      <c r="BB944" s="140">
        <v>0</v>
      </c>
      <c r="BC944" s="140">
        <v>0</v>
      </c>
      <c r="BD944" s="140">
        <v>0</v>
      </c>
      <c r="BE944" s="140">
        <v>0</v>
      </c>
      <c r="BF944" s="140">
        <v>0</v>
      </c>
      <c r="BG944" s="140">
        <v>0</v>
      </c>
      <c r="BH944" s="140">
        <v>0</v>
      </c>
      <c r="BI944" s="140">
        <v>0</v>
      </c>
      <c r="BJ944" s="140">
        <v>0</v>
      </c>
      <c r="BK944" s="140">
        <v>0</v>
      </c>
      <c r="BL944" s="140">
        <v>0</v>
      </c>
      <c r="BM944" s="140">
        <v>0</v>
      </c>
      <c r="BN944" s="140">
        <v>0</v>
      </c>
      <c r="BO944" s="140">
        <v>0</v>
      </c>
      <c r="BQ944" s="89"/>
      <c r="BU944" s="89"/>
      <c r="BX944" s="43">
        <v>16</v>
      </c>
      <c r="CC944" s="90">
        <f>M944</f>
        <v>9</v>
      </c>
      <c r="CT944" s="90">
        <f t="shared" si="123"/>
        <v>9</v>
      </c>
      <c r="CU944" s="90">
        <f t="shared" si="124"/>
        <v>9</v>
      </c>
    </row>
    <row r="945" spans="1:99" ht="12" customHeight="1">
      <c r="A945" s="43">
        <v>7191</v>
      </c>
      <c r="B945" s="89" t="s">
        <v>1515</v>
      </c>
      <c r="C945" s="89" t="s">
        <v>2596</v>
      </c>
      <c r="D945" s="89" t="s">
        <v>2597</v>
      </c>
      <c r="F945" s="43">
        <v>524767</v>
      </c>
      <c r="G945" s="43">
        <v>173302</v>
      </c>
      <c r="H945" s="89" t="s">
        <v>176</v>
      </c>
      <c r="K945" s="140">
        <v>0</v>
      </c>
      <c r="L945" s="140">
        <v>1</v>
      </c>
      <c r="M945" s="140">
        <v>1</v>
      </c>
      <c r="N945" s="140">
        <v>1</v>
      </c>
      <c r="O945" s="140">
        <v>1</v>
      </c>
      <c r="Q945" s="89" t="s">
        <v>2598</v>
      </c>
      <c r="R945" s="43" t="s">
        <v>620</v>
      </c>
      <c r="S945" s="125">
        <v>43643</v>
      </c>
      <c r="T945" s="117">
        <v>43693</v>
      </c>
      <c r="U945" s="43" t="s">
        <v>329</v>
      </c>
      <c r="V945" s="43" t="s">
        <v>317</v>
      </c>
      <c r="X945" s="43" t="s">
        <v>318</v>
      </c>
      <c r="Y945" s="43" t="s">
        <v>336</v>
      </c>
      <c r="Z945" s="43" t="s">
        <v>320</v>
      </c>
      <c r="AA945" s="43" t="s">
        <v>33</v>
      </c>
      <c r="AB945" s="144">
        <v>2.0000000949949E-3</v>
      </c>
      <c r="AF945" s="43" t="s">
        <v>75</v>
      </c>
      <c r="AG945" s="43" t="s">
        <v>322</v>
      </c>
      <c r="AJ945" s="140">
        <v>0</v>
      </c>
      <c r="AK945" s="140">
        <v>0</v>
      </c>
      <c r="AL945" s="140">
        <v>0</v>
      </c>
      <c r="AM945" s="140">
        <v>0</v>
      </c>
      <c r="AN945" s="140">
        <v>0</v>
      </c>
      <c r="AO945" s="140">
        <v>1</v>
      </c>
      <c r="AP945" s="140">
        <v>0</v>
      </c>
      <c r="AQ945" s="140">
        <v>0</v>
      </c>
      <c r="AR945" s="140">
        <v>0</v>
      </c>
      <c r="AS945" s="140">
        <v>0</v>
      </c>
      <c r="AT945" s="140">
        <v>0</v>
      </c>
      <c r="AU945" s="140">
        <v>0</v>
      </c>
      <c r="AV945" s="140">
        <v>1</v>
      </c>
      <c r="AW945" s="140">
        <v>0</v>
      </c>
      <c r="AX945" s="140">
        <v>0</v>
      </c>
      <c r="AY945" s="140">
        <v>0</v>
      </c>
      <c r="AZ945" s="140">
        <v>0</v>
      </c>
      <c r="BA945" s="140">
        <v>0</v>
      </c>
      <c r="BB945" s="140">
        <v>0</v>
      </c>
      <c r="BC945" s="140">
        <v>0</v>
      </c>
      <c r="BD945" s="140">
        <v>0</v>
      </c>
      <c r="BE945" s="140">
        <v>0</v>
      </c>
      <c r="BF945" s="140">
        <v>0</v>
      </c>
      <c r="BG945" s="140">
        <v>0</v>
      </c>
      <c r="BH945" s="140">
        <v>0</v>
      </c>
      <c r="BI945" s="140">
        <v>0</v>
      </c>
      <c r="BJ945" s="140">
        <v>0</v>
      </c>
      <c r="BK945" s="140">
        <v>0</v>
      </c>
      <c r="BL945" s="140">
        <v>0</v>
      </c>
      <c r="BM945" s="140">
        <v>0</v>
      </c>
      <c r="BN945" s="140">
        <v>0</v>
      </c>
      <c r="BO945" s="140">
        <v>0</v>
      </c>
      <c r="BQ945" s="89"/>
      <c r="BU945" s="89"/>
      <c r="BX945" s="43">
        <v>15</v>
      </c>
      <c r="BZ945" s="90">
        <f>$M945/3</f>
        <v>0.33333333333333331</v>
      </c>
      <c r="CA945" s="90">
        <f>$M945/3</f>
        <v>0.33333333333333331</v>
      </c>
      <c r="CB945" s="90">
        <f>$M945/3</f>
        <v>0.33333333333333331</v>
      </c>
      <c r="CT945" s="90">
        <f t="shared" si="123"/>
        <v>1</v>
      </c>
      <c r="CU945" s="90">
        <f t="shared" si="124"/>
        <v>1</v>
      </c>
    </row>
    <row r="946" spans="1:99" ht="12" customHeight="1">
      <c r="A946" s="43">
        <v>7194</v>
      </c>
      <c r="B946" s="89" t="s">
        <v>1515</v>
      </c>
      <c r="C946" s="89" t="s">
        <v>2599</v>
      </c>
      <c r="D946" s="89" t="s">
        <v>2600</v>
      </c>
      <c r="E946" s="89" t="s">
        <v>2601</v>
      </c>
      <c r="F946" s="43">
        <v>524291</v>
      </c>
      <c r="G946" s="43">
        <v>174776</v>
      </c>
      <c r="H946" s="89" t="s">
        <v>169</v>
      </c>
      <c r="K946" s="140">
        <v>15</v>
      </c>
      <c r="L946" s="140">
        <v>0</v>
      </c>
      <c r="M946" s="140">
        <v>-15</v>
      </c>
      <c r="N946" s="140">
        <v>8</v>
      </c>
      <c r="O946" s="140">
        <v>-7</v>
      </c>
      <c r="Q946" s="89" t="s">
        <v>2602</v>
      </c>
      <c r="R946" s="43" t="s">
        <v>316</v>
      </c>
      <c r="S946" s="125">
        <v>43635</v>
      </c>
      <c r="T946" s="117">
        <v>43696</v>
      </c>
      <c r="U946" s="43" t="s">
        <v>329</v>
      </c>
      <c r="V946" s="43" t="s">
        <v>317</v>
      </c>
      <c r="X946" s="43" t="s">
        <v>318</v>
      </c>
      <c r="Y946" s="43" t="s">
        <v>336</v>
      </c>
      <c r="Z946" s="43" t="s">
        <v>320</v>
      </c>
      <c r="AA946" s="43" t="s">
        <v>636</v>
      </c>
      <c r="AB946" s="144">
        <v>0</v>
      </c>
      <c r="AF946" s="43" t="s">
        <v>55</v>
      </c>
      <c r="AG946" s="43" t="s">
        <v>2603</v>
      </c>
      <c r="AJ946" s="140">
        <v>0</v>
      </c>
      <c r="AK946" s="140">
        <v>0</v>
      </c>
      <c r="AL946" s="140">
        <v>0</v>
      </c>
      <c r="AM946" s="140">
        <v>0</v>
      </c>
      <c r="AN946" s="140">
        <v>-15</v>
      </c>
      <c r="AO946" s="140">
        <v>0</v>
      </c>
      <c r="AP946" s="140">
        <v>0</v>
      </c>
      <c r="AQ946" s="140">
        <v>0</v>
      </c>
      <c r="AR946" s="140">
        <v>0</v>
      </c>
      <c r="AS946" s="140">
        <v>0</v>
      </c>
      <c r="AT946" s="140">
        <v>0</v>
      </c>
      <c r="AU946" s="140">
        <v>-15</v>
      </c>
      <c r="AV946" s="140">
        <v>0</v>
      </c>
      <c r="AW946" s="140">
        <v>0</v>
      </c>
      <c r="AX946" s="140">
        <v>0</v>
      </c>
      <c r="AY946" s="140">
        <v>0</v>
      </c>
      <c r="AZ946" s="140">
        <v>0</v>
      </c>
      <c r="BA946" s="140">
        <v>0</v>
      </c>
      <c r="BB946" s="140">
        <v>0</v>
      </c>
      <c r="BC946" s="140">
        <v>0</v>
      </c>
      <c r="BD946" s="140">
        <v>0</v>
      </c>
      <c r="BE946" s="140">
        <v>0</v>
      </c>
      <c r="BF946" s="140">
        <v>0</v>
      </c>
      <c r="BG946" s="140">
        <v>0</v>
      </c>
      <c r="BH946" s="140">
        <v>0</v>
      </c>
      <c r="BI946" s="140">
        <v>0</v>
      </c>
      <c r="BJ946" s="140">
        <v>0</v>
      </c>
      <c r="BK946" s="140">
        <v>0</v>
      </c>
      <c r="BL946" s="140">
        <v>0</v>
      </c>
      <c r="BM946" s="140">
        <v>0</v>
      </c>
      <c r="BN946" s="140">
        <v>0</v>
      </c>
      <c r="BO946" s="140">
        <v>0</v>
      </c>
      <c r="BQ946" s="89"/>
      <c r="BU946" s="89"/>
      <c r="BX946" s="43">
        <v>18</v>
      </c>
      <c r="CA946" s="90">
        <f t="shared" ref="CA946:CD947" si="131">$M946/4</f>
        <v>-3.75</v>
      </c>
      <c r="CB946" s="90">
        <f t="shared" si="131"/>
        <v>-3.75</v>
      </c>
      <c r="CC946" s="90">
        <f t="shared" si="131"/>
        <v>-3.75</v>
      </c>
      <c r="CD946" s="90">
        <f t="shared" si="131"/>
        <v>-3.75</v>
      </c>
      <c r="CT946" s="90">
        <f t="shared" si="123"/>
        <v>-15</v>
      </c>
      <c r="CU946" s="90">
        <f t="shared" si="124"/>
        <v>-15</v>
      </c>
    </row>
    <row r="947" spans="1:99" ht="12" customHeight="1">
      <c r="A947" s="43">
        <v>7194</v>
      </c>
      <c r="B947" s="89" t="s">
        <v>1515</v>
      </c>
      <c r="C947" s="89" t="s">
        <v>2599</v>
      </c>
      <c r="D947" s="89" t="s">
        <v>2600</v>
      </c>
      <c r="E947" s="89" t="s">
        <v>2604</v>
      </c>
      <c r="F947" s="43">
        <v>524291</v>
      </c>
      <c r="G947" s="43">
        <v>174776</v>
      </c>
      <c r="H947" s="89" t="s">
        <v>169</v>
      </c>
      <c r="K947" s="140">
        <v>0</v>
      </c>
      <c r="L947" s="140">
        <v>8</v>
      </c>
      <c r="M947" s="140">
        <v>8</v>
      </c>
      <c r="N947" s="140">
        <v>8</v>
      </c>
      <c r="O947" s="140">
        <v>-7</v>
      </c>
      <c r="Q947" s="89" t="s">
        <v>2602</v>
      </c>
      <c r="R947" s="43" t="s">
        <v>316</v>
      </c>
      <c r="S947" s="125">
        <v>43635</v>
      </c>
      <c r="T947" s="117">
        <v>43696</v>
      </c>
      <c r="U947" s="43" t="s">
        <v>329</v>
      </c>
      <c r="V947" s="43" t="s">
        <v>317</v>
      </c>
      <c r="X947" s="43" t="s">
        <v>318</v>
      </c>
      <c r="Y947" s="43" t="s">
        <v>336</v>
      </c>
      <c r="Z947" s="43" t="s">
        <v>320</v>
      </c>
      <c r="AA947" s="43" t="s">
        <v>636</v>
      </c>
      <c r="AB947" s="144">
        <v>0.10700000077485999</v>
      </c>
      <c r="AF947" s="43" t="s">
        <v>55</v>
      </c>
      <c r="AG947" s="43" t="s">
        <v>2603</v>
      </c>
      <c r="AJ947" s="140">
        <v>0</v>
      </c>
      <c r="AK947" s="140">
        <v>0</v>
      </c>
      <c r="AL947" s="140">
        <v>0</v>
      </c>
      <c r="AM947" s="140">
        <v>0</v>
      </c>
      <c r="AN947" s="140">
        <v>0</v>
      </c>
      <c r="AO947" s="140">
        <v>1</v>
      </c>
      <c r="AP947" s="140">
        <v>6</v>
      </c>
      <c r="AQ947" s="140">
        <v>1</v>
      </c>
      <c r="AR947" s="140">
        <v>0</v>
      </c>
      <c r="AS947" s="140">
        <v>0</v>
      </c>
      <c r="AT947" s="140">
        <v>0</v>
      </c>
      <c r="AU947" s="140">
        <v>0</v>
      </c>
      <c r="AV947" s="140">
        <v>1</v>
      </c>
      <c r="AW947" s="140">
        <v>6</v>
      </c>
      <c r="AX947" s="140">
        <v>1</v>
      </c>
      <c r="AY947" s="140">
        <v>0</v>
      </c>
      <c r="AZ947" s="140">
        <v>0</v>
      </c>
      <c r="BA947" s="140">
        <v>0</v>
      </c>
      <c r="BB947" s="140">
        <v>0</v>
      </c>
      <c r="BC947" s="140">
        <v>0</v>
      </c>
      <c r="BD947" s="140">
        <v>0</v>
      </c>
      <c r="BE947" s="140">
        <v>0</v>
      </c>
      <c r="BF947" s="140">
        <v>0</v>
      </c>
      <c r="BG947" s="140">
        <v>0</v>
      </c>
      <c r="BH947" s="140">
        <v>0</v>
      </c>
      <c r="BI947" s="140">
        <v>0</v>
      </c>
      <c r="BJ947" s="140">
        <v>0</v>
      </c>
      <c r="BK947" s="140">
        <v>0</v>
      </c>
      <c r="BL947" s="140">
        <v>0</v>
      </c>
      <c r="BM947" s="140">
        <v>0</v>
      </c>
      <c r="BN947" s="140">
        <v>0</v>
      </c>
      <c r="BO947" s="140">
        <v>0</v>
      </c>
      <c r="BQ947" s="89"/>
      <c r="BU947" s="89"/>
      <c r="BX947" s="43">
        <v>18</v>
      </c>
      <c r="CA947" s="90">
        <f t="shared" si="131"/>
        <v>2</v>
      </c>
      <c r="CB947" s="90">
        <f t="shared" si="131"/>
        <v>2</v>
      </c>
      <c r="CC947" s="90">
        <f t="shared" si="131"/>
        <v>2</v>
      </c>
      <c r="CD947" s="90">
        <f t="shared" si="131"/>
        <v>2</v>
      </c>
      <c r="CT947" s="90">
        <f t="shared" si="123"/>
        <v>8</v>
      </c>
      <c r="CU947" s="90">
        <f t="shared" si="124"/>
        <v>8</v>
      </c>
    </row>
    <row r="948" spans="1:99" ht="12" customHeight="1">
      <c r="A948" s="43">
        <v>7196</v>
      </c>
      <c r="B948" s="89" t="s">
        <v>1515</v>
      </c>
      <c r="C948" s="89" t="s">
        <v>2605</v>
      </c>
      <c r="D948" s="89" t="s">
        <v>2606</v>
      </c>
      <c r="F948" s="43">
        <v>524799</v>
      </c>
      <c r="G948" s="43">
        <v>173260</v>
      </c>
      <c r="H948" s="89" t="s">
        <v>176</v>
      </c>
      <c r="K948" s="140">
        <v>0</v>
      </c>
      <c r="L948" s="140">
        <v>1</v>
      </c>
      <c r="M948" s="140">
        <v>1</v>
      </c>
      <c r="N948" s="140">
        <v>1</v>
      </c>
      <c r="O948" s="140">
        <v>1</v>
      </c>
      <c r="Q948" s="89" t="s">
        <v>2607</v>
      </c>
      <c r="R948" s="43" t="s">
        <v>316</v>
      </c>
      <c r="S948" s="125">
        <v>43633</v>
      </c>
      <c r="T948" s="117">
        <v>43718</v>
      </c>
      <c r="U948" s="43" t="s">
        <v>329</v>
      </c>
      <c r="V948" s="43" t="s">
        <v>317</v>
      </c>
      <c r="X948" s="43" t="s">
        <v>318</v>
      </c>
      <c r="Y948" s="43" t="s">
        <v>336</v>
      </c>
      <c r="Z948" s="43" t="s">
        <v>320</v>
      </c>
      <c r="AA948" s="43" t="s">
        <v>33</v>
      </c>
      <c r="AB948" s="144">
        <v>7.0000002160668399E-3</v>
      </c>
      <c r="AF948" s="43" t="s">
        <v>75</v>
      </c>
      <c r="AG948" s="43" t="s">
        <v>322</v>
      </c>
      <c r="AJ948" s="140">
        <v>0</v>
      </c>
      <c r="AK948" s="140">
        <v>0</v>
      </c>
      <c r="AL948" s="140">
        <v>0</v>
      </c>
      <c r="AM948" s="140">
        <v>0</v>
      </c>
      <c r="AN948" s="140">
        <v>0</v>
      </c>
      <c r="AO948" s="140">
        <v>1</v>
      </c>
      <c r="AP948" s="140">
        <v>0</v>
      </c>
      <c r="AQ948" s="140">
        <v>0</v>
      </c>
      <c r="AR948" s="140">
        <v>0</v>
      </c>
      <c r="AS948" s="140">
        <v>0</v>
      </c>
      <c r="AT948" s="140">
        <v>0</v>
      </c>
      <c r="AU948" s="140">
        <v>0</v>
      </c>
      <c r="AV948" s="140">
        <v>0</v>
      </c>
      <c r="AW948" s="140">
        <v>0</v>
      </c>
      <c r="AX948" s="140">
        <v>0</v>
      </c>
      <c r="AY948" s="140">
        <v>0</v>
      </c>
      <c r="AZ948" s="140">
        <v>0</v>
      </c>
      <c r="BA948" s="140">
        <v>0</v>
      </c>
      <c r="BB948" s="140">
        <v>0</v>
      </c>
      <c r="BC948" s="140">
        <v>1</v>
      </c>
      <c r="BD948" s="140">
        <v>0</v>
      </c>
      <c r="BE948" s="140">
        <v>0</v>
      </c>
      <c r="BF948" s="140">
        <v>0</v>
      </c>
      <c r="BG948" s="140">
        <v>0</v>
      </c>
      <c r="BH948" s="140">
        <v>0</v>
      </c>
      <c r="BI948" s="140">
        <v>0</v>
      </c>
      <c r="BJ948" s="140">
        <v>0</v>
      </c>
      <c r="BK948" s="140">
        <v>0</v>
      </c>
      <c r="BL948" s="140">
        <v>0</v>
      </c>
      <c r="BM948" s="140">
        <v>0</v>
      </c>
      <c r="BN948" s="140">
        <v>0</v>
      </c>
      <c r="BO948" s="140">
        <v>0</v>
      </c>
      <c r="BQ948" s="89"/>
      <c r="BU948" s="89"/>
      <c r="BX948" s="43">
        <v>15</v>
      </c>
      <c r="BZ948" s="90">
        <f t="shared" ref="BZ948:CB949" si="132">$M948/3</f>
        <v>0.33333333333333331</v>
      </c>
      <c r="CA948" s="90">
        <f t="shared" si="132"/>
        <v>0.33333333333333331</v>
      </c>
      <c r="CB948" s="90">
        <f t="shared" si="132"/>
        <v>0.33333333333333331</v>
      </c>
      <c r="CT948" s="90">
        <f t="shared" si="123"/>
        <v>1</v>
      </c>
      <c r="CU948" s="90">
        <f t="shared" si="124"/>
        <v>1</v>
      </c>
    </row>
    <row r="949" spans="1:99" ht="12" customHeight="1">
      <c r="A949" s="43">
        <v>7208</v>
      </c>
      <c r="B949" s="89" t="s">
        <v>1515</v>
      </c>
      <c r="C949" s="89" t="s">
        <v>2608</v>
      </c>
      <c r="D949" s="89" t="s">
        <v>2609</v>
      </c>
      <c r="F949" s="43">
        <v>523414</v>
      </c>
      <c r="G949" s="43">
        <v>175659</v>
      </c>
      <c r="H949" s="89" t="s">
        <v>178</v>
      </c>
      <c r="K949" s="140">
        <v>2</v>
      </c>
      <c r="L949" s="140">
        <v>1</v>
      </c>
      <c r="M949" s="140">
        <v>-1</v>
      </c>
      <c r="N949" s="140">
        <v>1</v>
      </c>
      <c r="O949" s="140">
        <v>-1</v>
      </c>
      <c r="Q949" s="89" t="s">
        <v>2610</v>
      </c>
      <c r="R949" s="43" t="s">
        <v>316</v>
      </c>
      <c r="S949" s="125">
        <v>43664</v>
      </c>
      <c r="T949" s="117">
        <v>43718</v>
      </c>
      <c r="U949" s="43" t="s">
        <v>329</v>
      </c>
      <c r="V949" s="43" t="s">
        <v>317</v>
      </c>
      <c r="X949" s="43" t="s">
        <v>318</v>
      </c>
      <c r="Y949" s="43" t="s">
        <v>348</v>
      </c>
      <c r="Z949" s="43" t="s">
        <v>320</v>
      </c>
      <c r="AA949" s="43" t="s">
        <v>22</v>
      </c>
      <c r="AB949" s="144">
        <v>1.30000002682209E-2</v>
      </c>
      <c r="AF949" s="43" t="s">
        <v>75</v>
      </c>
      <c r="AG949" s="43" t="s">
        <v>322</v>
      </c>
      <c r="AJ949" s="140">
        <v>0</v>
      </c>
      <c r="AK949" s="140">
        <v>0</v>
      </c>
      <c r="AL949" s="140">
        <v>0</v>
      </c>
      <c r="AM949" s="140">
        <v>0</v>
      </c>
      <c r="AN949" s="140">
        <v>0</v>
      </c>
      <c r="AO949" s="140">
        <v>-1</v>
      </c>
      <c r="AP949" s="140">
        <v>-1</v>
      </c>
      <c r="AQ949" s="140">
        <v>0</v>
      </c>
      <c r="AR949" s="140">
        <v>1</v>
      </c>
      <c r="AS949" s="140">
        <v>0</v>
      </c>
      <c r="AT949" s="140">
        <v>0</v>
      </c>
      <c r="AU949" s="140">
        <v>0</v>
      </c>
      <c r="AV949" s="140">
        <v>-1</v>
      </c>
      <c r="AW949" s="140">
        <v>-1</v>
      </c>
      <c r="AX949" s="140">
        <v>0</v>
      </c>
      <c r="AY949" s="140">
        <v>0</v>
      </c>
      <c r="AZ949" s="140">
        <v>0</v>
      </c>
      <c r="BA949" s="140">
        <v>0</v>
      </c>
      <c r="BB949" s="140">
        <v>0</v>
      </c>
      <c r="BC949" s="140">
        <v>0</v>
      </c>
      <c r="BD949" s="140">
        <v>0</v>
      </c>
      <c r="BE949" s="140">
        <v>0</v>
      </c>
      <c r="BF949" s="140">
        <v>1</v>
      </c>
      <c r="BG949" s="140">
        <v>0</v>
      </c>
      <c r="BH949" s="140">
        <v>0</v>
      </c>
      <c r="BI949" s="140">
        <v>0</v>
      </c>
      <c r="BJ949" s="140">
        <v>0</v>
      </c>
      <c r="BK949" s="140">
        <v>0</v>
      </c>
      <c r="BL949" s="140">
        <v>0</v>
      </c>
      <c r="BM949" s="140">
        <v>0</v>
      </c>
      <c r="BN949" s="140">
        <v>0</v>
      </c>
      <c r="BO949" s="140">
        <v>0</v>
      </c>
      <c r="BQ949" s="89"/>
      <c r="BU949" s="89"/>
      <c r="BX949" s="43">
        <v>15</v>
      </c>
      <c r="BZ949" s="90">
        <f t="shared" si="132"/>
        <v>-0.33333333333333331</v>
      </c>
      <c r="CA949" s="90">
        <f t="shared" si="132"/>
        <v>-0.33333333333333331</v>
      </c>
      <c r="CB949" s="90">
        <f t="shared" si="132"/>
        <v>-0.33333333333333331</v>
      </c>
      <c r="CT949" s="90">
        <f t="shared" si="123"/>
        <v>-1</v>
      </c>
      <c r="CU949" s="90">
        <f t="shared" si="124"/>
        <v>-1</v>
      </c>
    </row>
    <row r="950" spans="1:99" ht="12" customHeight="1">
      <c r="A950" s="43">
        <v>7210</v>
      </c>
      <c r="B950" s="89" t="s">
        <v>1515</v>
      </c>
      <c r="C950" s="89" t="s">
        <v>2611</v>
      </c>
      <c r="D950" s="89" t="s">
        <v>2612</v>
      </c>
      <c r="F950" s="43">
        <v>528481</v>
      </c>
      <c r="G950" s="43">
        <v>173303</v>
      </c>
      <c r="H950" s="89" t="s">
        <v>173</v>
      </c>
      <c r="K950" s="140">
        <v>0</v>
      </c>
      <c r="L950" s="140">
        <v>4</v>
      </c>
      <c r="M950" s="140">
        <v>4</v>
      </c>
      <c r="N950" s="140">
        <v>4</v>
      </c>
      <c r="O950" s="140">
        <v>4</v>
      </c>
      <c r="Q950" s="89" t="s">
        <v>2613</v>
      </c>
      <c r="R950" s="43" t="s">
        <v>316</v>
      </c>
      <c r="S950" s="125">
        <v>43671</v>
      </c>
      <c r="T950" s="117">
        <v>43801</v>
      </c>
      <c r="U950" s="43" t="s">
        <v>329</v>
      </c>
      <c r="V950" s="43" t="s">
        <v>317</v>
      </c>
      <c r="X950" s="43" t="s">
        <v>318</v>
      </c>
      <c r="Y950" s="43" t="s">
        <v>361</v>
      </c>
      <c r="Z950" s="43" t="s">
        <v>320</v>
      </c>
      <c r="AA950" s="43" t="s">
        <v>353</v>
      </c>
      <c r="AB950" s="144">
        <v>1.09999999403954E-2</v>
      </c>
      <c r="AF950" s="43" t="s">
        <v>75</v>
      </c>
      <c r="AG950" s="43" t="s">
        <v>322</v>
      </c>
      <c r="AJ950" s="140">
        <v>0</v>
      </c>
      <c r="AK950" s="140">
        <v>0</v>
      </c>
      <c r="AL950" s="140">
        <v>0</v>
      </c>
      <c r="AM950" s="140">
        <v>0</v>
      </c>
      <c r="AN950" s="140">
        <v>0</v>
      </c>
      <c r="AO950" s="140">
        <v>3</v>
      </c>
      <c r="AP950" s="140">
        <v>1</v>
      </c>
      <c r="AQ950" s="140">
        <v>0</v>
      </c>
      <c r="AR950" s="140">
        <v>0</v>
      </c>
      <c r="AS950" s="140">
        <v>0</v>
      </c>
      <c r="AT950" s="140">
        <v>0</v>
      </c>
      <c r="AU950" s="140">
        <v>0</v>
      </c>
      <c r="AV950" s="140">
        <v>3</v>
      </c>
      <c r="AW950" s="140">
        <v>1</v>
      </c>
      <c r="AX950" s="140">
        <v>0</v>
      </c>
      <c r="AY950" s="140">
        <v>0</v>
      </c>
      <c r="AZ950" s="140">
        <v>0</v>
      </c>
      <c r="BA950" s="140">
        <v>0</v>
      </c>
      <c r="BB950" s="140">
        <v>0</v>
      </c>
      <c r="BC950" s="140">
        <v>0</v>
      </c>
      <c r="BD950" s="140">
        <v>0</v>
      </c>
      <c r="BE950" s="140">
        <v>0</v>
      </c>
      <c r="BF950" s="140">
        <v>0</v>
      </c>
      <c r="BG950" s="140">
        <v>0</v>
      </c>
      <c r="BH950" s="140">
        <v>0</v>
      </c>
      <c r="BI950" s="140">
        <v>0</v>
      </c>
      <c r="BJ950" s="140">
        <v>0</v>
      </c>
      <c r="BK950" s="140">
        <v>0</v>
      </c>
      <c r="BL950" s="140">
        <v>0</v>
      </c>
      <c r="BM950" s="140">
        <v>0</v>
      </c>
      <c r="BN950" s="140">
        <v>0</v>
      </c>
      <c r="BO950" s="140">
        <v>0</v>
      </c>
      <c r="BP950" s="43" t="s">
        <v>138</v>
      </c>
      <c r="BQ950" s="89"/>
      <c r="BU950" s="89"/>
      <c r="BX950" s="43">
        <v>6</v>
      </c>
      <c r="CA950" s="90">
        <f t="shared" ref="CA950:CD952" si="133">$M950/4</f>
        <v>1</v>
      </c>
      <c r="CB950" s="90">
        <f t="shared" si="133"/>
        <v>1</v>
      </c>
      <c r="CC950" s="90">
        <f t="shared" si="133"/>
        <v>1</v>
      </c>
      <c r="CD950" s="90">
        <f t="shared" si="133"/>
        <v>1</v>
      </c>
      <c r="CT950" s="90">
        <f t="shared" si="123"/>
        <v>4</v>
      </c>
      <c r="CU950" s="90">
        <f t="shared" si="124"/>
        <v>4</v>
      </c>
    </row>
    <row r="951" spans="1:99" ht="12" customHeight="1">
      <c r="A951" s="43">
        <v>7211</v>
      </c>
      <c r="B951" s="89" t="s">
        <v>1515</v>
      </c>
      <c r="C951" s="89" t="s">
        <v>2614</v>
      </c>
      <c r="D951" s="89" t="s">
        <v>2615</v>
      </c>
      <c r="F951" s="43">
        <v>527235</v>
      </c>
      <c r="G951" s="43">
        <v>171597</v>
      </c>
      <c r="H951" s="89" t="s">
        <v>141</v>
      </c>
      <c r="K951" s="140">
        <v>0</v>
      </c>
      <c r="L951" s="140">
        <v>1</v>
      </c>
      <c r="M951" s="140">
        <v>1</v>
      </c>
      <c r="N951" s="140">
        <v>1</v>
      </c>
      <c r="O951" s="140">
        <v>1</v>
      </c>
      <c r="Q951" s="89" t="s">
        <v>2616</v>
      </c>
      <c r="R951" s="43" t="s">
        <v>316</v>
      </c>
      <c r="S951" s="125">
        <v>43851</v>
      </c>
      <c r="T951" s="117">
        <v>43882</v>
      </c>
      <c r="U951" s="43" t="s">
        <v>329</v>
      </c>
      <c r="V951" s="43" t="s">
        <v>317</v>
      </c>
      <c r="X951" s="43" t="s">
        <v>318</v>
      </c>
      <c r="Y951" s="43" t="s">
        <v>361</v>
      </c>
      <c r="Z951" s="43" t="s">
        <v>320</v>
      </c>
      <c r="AA951" s="43" t="s">
        <v>353</v>
      </c>
      <c r="AB951" s="144">
        <v>8.9999996125698107E-3</v>
      </c>
      <c r="AF951" s="43" t="s">
        <v>75</v>
      </c>
      <c r="AG951" s="43" t="s">
        <v>322</v>
      </c>
      <c r="AJ951" s="140">
        <v>0</v>
      </c>
      <c r="AK951" s="140">
        <v>0</v>
      </c>
      <c r="AL951" s="140">
        <v>0</v>
      </c>
      <c r="AM951" s="140">
        <v>0</v>
      </c>
      <c r="AN951" s="140">
        <v>0</v>
      </c>
      <c r="AO951" s="140">
        <v>0</v>
      </c>
      <c r="AP951" s="140">
        <v>1</v>
      </c>
      <c r="AQ951" s="140">
        <v>0</v>
      </c>
      <c r="AR951" s="140">
        <v>0</v>
      </c>
      <c r="AS951" s="140">
        <v>0</v>
      </c>
      <c r="AT951" s="140">
        <v>0</v>
      </c>
      <c r="AU951" s="140">
        <v>0</v>
      </c>
      <c r="AV951" s="140">
        <v>0</v>
      </c>
      <c r="AW951" s="140">
        <v>1</v>
      </c>
      <c r="AX951" s="140">
        <v>0</v>
      </c>
      <c r="AY951" s="140">
        <v>0</v>
      </c>
      <c r="AZ951" s="140">
        <v>0</v>
      </c>
      <c r="BA951" s="140">
        <v>0</v>
      </c>
      <c r="BB951" s="140">
        <v>0</v>
      </c>
      <c r="BC951" s="140">
        <v>0</v>
      </c>
      <c r="BD951" s="140">
        <v>0</v>
      </c>
      <c r="BE951" s="140">
        <v>0</v>
      </c>
      <c r="BF951" s="140">
        <v>0</v>
      </c>
      <c r="BG951" s="140">
        <v>0</v>
      </c>
      <c r="BH951" s="140">
        <v>0</v>
      </c>
      <c r="BI951" s="140">
        <v>0</v>
      </c>
      <c r="BJ951" s="140">
        <v>0</v>
      </c>
      <c r="BK951" s="140">
        <v>0</v>
      </c>
      <c r="BL951" s="140">
        <v>0</v>
      </c>
      <c r="BM951" s="140">
        <v>0</v>
      </c>
      <c r="BN951" s="140">
        <v>0</v>
      </c>
      <c r="BO951" s="140">
        <v>0</v>
      </c>
      <c r="BQ951" s="89"/>
      <c r="BU951" s="89"/>
      <c r="BX951" s="43">
        <v>6</v>
      </c>
      <c r="CA951" s="90">
        <f t="shared" si="133"/>
        <v>0.25</v>
      </c>
      <c r="CB951" s="90">
        <f t="shared" si="133"/>
        <v>0.25</v>
      </c>
      <c r="CC951" s="90">
        <f t="shared" si="133"/>
        <v>0.25</v>
      </c>
      <c r="CD951" s="90">
        <f t="shared" si="133"/>
        <v>0.25</v>
      </c>
      <c r="CT951" s="90">
        <f t="shared" si="123"/>
        <v>1</v>
      </c>
      <c r="CU951" s="90">
        <f t="shared" si="124"/>
        <v>1</v>
      </c>
    </row>
    <row r="952" spans="1:99" ht="12" customHeight="1">
      <c r="A952" s="43">
        <v>7212</v>
      </c>
      <c r="B952" s="89" t="s">
        <v>1515</v>
      </c>
      <c r="C952" s="89" t="s">
        <v>2617</v>
      </c>
      <c r="D952" s="89" t="s">
        <v>2618</v>
      </c>
      <c r="F952" s="43">
        <v>521190</v>
      </c>
      <c r="G952" s="43">
        <v>174507</v>
      </c>
      <c r="H952" s="89" t="s">
        <v>149</v>
      </c>
      <c r="K952" s="140">
        <v>1</v>
      </c>
      <c r="L952" s="140">
        <v>1</v>
      </c>
      <c r="M952" s="140">
        <v>0</v>
      </c>
      <c r="N952" s="140">
        <v>1</v>
      </c>
      <c r="O952" s="140">
        <v>0</v>
      </c>
      <c r="Q952" s="89" t="s">
        <v>2619</v>
      </c>
      <c r="R952" s="43" t="s">
        <v>316</v>
      </c>
      <c r="S952" s="125">
        <v>43613</v>
      </c>
      <c r="T952" s="117">
        <v>43706</v>
      </c>
      <c r="U952" s="43" t="s">
        <v>329</v>
      </c>
      <c r="V952" s="43" t="s">
        <v>317</v>
      </c>
      <c r="X952" s="43" t="s">
        <v>318</v>
      </c>
      <c r="Y952" s="43" t="s">
        <v>361</v>
      </c>
      <c r="Z952" s="43" t="s">
        <v>320</v>
      </c>
      <c r="AA952" s="43" t="s">
        <v>353</v>
      </c>
      <c r="AB952" s="144">
        <v>0.12600000202655801</v>
      </c>
      <c r="AF952" s="43" t="s">
        <v>75</v>
      </c>
      <c r="AG952" s="43" t="s">
        <v>322</v>
      </c>
      <c r="AJ952" s="140">
        <v>0</v>
      </c>
      <c r="AK952" s="140">
        <v>0</v>
      </c>
      <c r="AL952" s="140">
        <v>0</v>
      </c>
      <c r="AM952" s="140">
        <v>0</v>
      </c>
      <c r="AN952" s="140">
        <v>0</v>
      </c>
      <c r="AO952" s="140">
        <v>0</v>
      </c>
      <c r="AP952" s="140">
        <v>0</v>
      </c>
      <c r="AQ952" s="140">
        <v>0</v>
      </c>
      <c r="AR952" s="140">
        <v>0</v>
      </c>
      <c r="AS952" s="140">
        <v>0</v>
      </c>
      <c r="AT952" s="140">
        <v>0</v>
      </c>
      <c r="AU952" s="140">
        <v>0</v>
      </c>
      <c r="AV952" s="140">
        <v>0</v>
      </c>
      <c r="AW952" s="140">
        <v>0</v>
      </c>
      <c r="AX952" s="140">
        <v>0</v>
      </c>
      <c r="AY952" s="140">
        <v>0</v>
      </c>
      <c r="AZ952" s="140">
        <v>0</v>
      </c>
      <c r="BA952" s="140">
        <v>0</v>
      </c>
      <c r="BB952" s="140">
        <v>0</v>
      </c>
      <c r="BC952" s="140">
        <v>0</v>
      </c>
      <c r="BD952" s="140">
        <v>0</v>
      </c>
      <c r="BE952" s="140">
        <v>0</v>
      </c>
      <c r="BF952" s="140">
        <v>0</v>
      </c>
      <c r="BG952" s="140">
        <v>0</v>
      </c>
      <c r="BH952" s="140">
        <v>0</v>
      </c>
      <c r="BI952" s="140">
        <v>0</v>
      </c>
      <c r="BJ952" s="140">
        <v>0</v>
      </c>
      <c r="BK952" s="140">
        <v>0</v>
      </c>
      <c r="BL952" s="140">
        <v>0</v>
      </c>
      <c r="BM952" s="140">
        <v>0</v>
      </c>
      <c r="BN952" s="140">
        <v>0</v>
      </c>
      <c r="BO952" s="140">
        <v>0</v>
      </c>
      <c r="BQ952" s="89"/>
      <c r="BU952" s="89"/>
      <c r="BX952" s="43">
        <v>6</v>
      </c>
      <c r="CA952" s="90">
        <f t="shared" si="133"/>
        <v>0</v>
      </c>
      <c r="CB952" s="90">
        <f t="shared" si="133"/>
        <v>0</v>
      </c>
      <c r="CC952" s="90">
        <f t="shared" si="133"/>
        <v>0</v>
      </c>
      <c r="CD952" s="90">
        <f t="shared" si="133"/>
        <v>0</v>
      </c>
      <c r="CT952" s="90">
        <f t="shared" si="123"/>
        <v>0</v>
      </c>
      <c r="CU952" s="90">
        <f t="shared" si="124"/>
        <v>0</v>
      </c>
    </row>
    <row r="953" spans="1:99" ht="12" customHeight="1">
      <c r="A953" s="43">
        <v>7213</v>
      </c>
      <c r="B953" s="89" t="s">
        <v>1515</v>
      </c>
      <c r="C953" s="89" t="s">
        <v>2620</v>
      </c>
      <c r="D953" s="89" t="s">
        <v>2621</v>
      </c>
      <c r="F953" s="43">
        <v>528646</v>
      </c>
      <c r="G953" s="43">
        <v>173527</v>
      </c>
      <c r="H953" s="89" t="s">
        <v>138</v>
      </c>
      <c r="K953" s="140">
        <v>0</v>
      </c>
      <c r="L953" s="140">
        <v>1</v>
      </c>
      <c r="M953" s="140">
        <v>1</v>
      </c>
      <c r="N953" s="140">
        <v>2</v>
      </c>
      <c r="O953" s="140">
        <v>2</v>
      </c>
      <c r="Q953" s="89" t="s">
        <v>2622</v>
      </c>
      <c r="R953" s="43" t="s">
        <v>316</v>
      </c>
      <c r="S953" s="125">
        <v>43679</v>
      </c>
      <c r="T953" s="117">
        <v>43756</v>
      </c>
      <c r="U953" s="43" t="s">
        <v>329</v>
      </c>
      <c r="V953" s="43" t="s">
        <v>317</v>
      </c>
      <c r="X953" s="43" t="s">
        <v>318</v>
      </c>
      <c r="Y953" s="43" t="s">
        <v>319</v>
      </c>
      <c r="Z953" s="43" t="s">
        <v>320</v>
      </c>
      <c r="AA953" s="43" t="s">
        <v>36</v>
      </c>
      <c r="AB953" s="144">
        <v>2.0000000949949E-3</v>
      </c>
      <c r="AF953" s="43" t="s">
        <v>75</v>
      </c>
      <c r="AG953" s="43" t="s">
        <v>322</v>
      </c>
      <c r="AJ953" s="140">
        <v>0</v>
      </c>
      <c r="AK953" s="140">
        <v>0</v>
      </c>
      <c r="AL953" s="140">
        <v>0</v>
      </c>
      <c r="AM953" s="140">
        <v>0</v>
      </c>
      <c r="AN953" s="140">
        <v>0</v>
      </c>
      <c r="AO953" s="140">
        <v>1</v>
      </c>
      <c r="AP953" s="140">
        <v>0</v>
      </c>
      <c r="AQ953" s="140">
        <v>0</v>
      </c>
      <c r="AR953" s="140">
        <v>0</v>
      </c>
      <c r="AS953" s="140">
        <v>0</v>
      </c>
      <c r="AT953" s="140">
        <v>0</v>
      </c>
      <c r="AU953" s="140">
        <v>0</v>
      </c>
      <c r="AV953" s="140">
        <v>1</v>
      </c>
      <c r="AW953" s="140">
        <v>0</v>
      </c>
      <c r="AX953" s="140">
        <v>0</v>
      </c>
      <c r="AY953" s="140">
        <v>0</v>
      </c>
      <c r="AZ953" s="140">
        <v>0</v>
      </c>
      <c r="BA953" s="140">
        <v>0</v>
      </c>
      <c r="BB953" s="140">
        <v>0</v>
      </c>
      <c r="BC953" s="140">
        <v>0</v>
      </c>
      <c r="BD953" s="140">
        <v>0</v>
      </c>
      <c r="BE953" s="140">
        <v>0</v>
      </c>
      <c r="BF953" s="140">
        <v>0</v>
      </c>
      <c r="BG953" s="140">
        <v>0</v>
      </c>
      <c r="BH953" s="140">
        <v>0</v>
      </c>
      <c r="BI953" s="140">
        <v>0</v>
      </c>
      <c r="BJ953" s="140">
        <v>0</v>
      </c>
      <c r="BK953" s="140">
        <v>0</v>
      </c>
      <c r="BL953" s="140">
        <v>0</v>
      </c>
      <c r="BM953" s="140">
        <v>0</v>
      </c>
      <c r="BN953" s="140">
        <v>0</v>
      </c>
      <c r="BO953" s="140">
        <v>0</v>
      </c>
      <c r="BP953" s="43" t="s">
        <v>138</v>
      </c>
      <c r="BQ953" s="89"/>
      <c r="BU953" s="89"/>
      <c r="BX953" s="43">
        <v>15</v>
      </c>
      <c r="BZ953" s="90">
        <f t="shared" ref="BZ953:CB976" si="134">$M953/3</f>
        <v>0.33333333333333331</v>
      </c>
      <c r="CA953" s="90">
        <f t="shared" si="134"/>
        <v>0.33333333333333331</v>
      </c>
      <c r="CB953" s="90">
        <f t="shared" si="134"/>
        <v>0.33333333333333331</v>
      </c>
      <c r="CT953" s="90">
        <f t="shared" si="123"/>
        <v>1</v>
      </c>
      <c r="CU953" s="90">
        <f t="shared" si="124"/>
        <v>1</v>
      </c>
    </row>
    <row r="954" spans="1:99" ht="12" customHeight="1">
      <c r="A954" s="43">
        <v>7213</v>
      </c>
      <c r="B954" s="89" t="s">
        <v>1515</v>
      </c>
      <c r="C954" s="89" t="s">
        <v>2620</v>
      </c>
      <c r="D954" s="89" t="s">
        <v>2621</v>
      </c>
      <c r="F954" s="43">
        <v>528646</v>
      </c>
      <c r="G954" s="43">
        <v>173527</v>
      </c>
      <c r="H954" s="89" t="s">
        <v>138</v>
      </c>
      <c r="K954" s="140">
        <v>0</v>
      </c>
      <c r="L954" s="140">
        <v>1</v>
      </c>
      <c r="M954" s="140">
        <v>1</v>
      </c>
      <c r="N954" s="140">
        <v>2</v>
      </c>
      <c r="O954" s="140">
        <v>2</v>
      </c>
      <c r="Q954" s="89" t="s">
        <v>2622</v>
      </c>
      <c r="R954" s="43" t="s">
        <v>316</v>
      </c>
      <c r="S954" s="125">
        <v>43679</v>
      </c>
      <c r="T954" s="117">
        <v>43756</v>
      </c>
      <c r="U954" s="43" t="s">
        <v>329</v>
      </c>
      <c r="V954" s="43" t="s">
        <v>317</v>
      </c>
      <c r="X954" s="43" t="s">
        <v>318</v>
      </c>
      <c r="Y954" s="43" t="s">
        <v>319</v>
      </c>
      <c r="Z954" s="43" t="s">
        <v>320</v>
      </c>
      <c r="AA954" s="43" t="s">
        <v>340</v>
      </c>
      <c r="AB954" s="144">
        <v>1.00000004749745E-3</v>
      </c>
      <c r="AF954" s="43" t="s">
        <v>75</v>
      </c>
      <c r="AG954" s="43" t="s">
        <v>322</v>
      </c>
      <c r="AJ954" s="140">
        <v>0</v>
      </c>
      <c r="AK954" s="140">
        <v>0</v>
      </c>
      <c r="AL954" s="140">
        <v>0</v>
      </c>
      <c r="AM954" s="140">
        <v>0</v>
      </c>
      <c r="AN954" s="140">
        <v>1</v>
      </c>
      <c r="AO954" s="140">
        <v>0</v>
      </c>
      <c r="AP954" s="140">
        <v>0</v>
      </c>
      <c r="AQ954" s="140">
        <v>0</v>
      </c>
      <c r="AR954" s="140">
        <v>0</v>
      </c>
      <c r="AS954" s="140">
        <v>0</v>
      </c>
      <c r="AT954" s="140">
        <v>0</v>
      </c>
      <c r="AU954" s="140">
        <v>1</v>
      </c>
      <c r="AV954" s="140">
        <v>0</v>
      </c>
      <c r="AW954" s="140">
        <v>0</v>
      </c>
      <c r="AX954" s="140">
        <v>0</v>
      </c>
      <c r="AY954" s="140">
        <v>0</v>
      </c>
      <c r="AZ954" s="140">
        <v>0</v>
      </c>
      <c r="BA954" s="140">
        <v>0</v>
      </c>
      <c r="BB954" s="140">
        <v>0</v>
      </c>
      <c r="BC954" s="140">
        <v>0</v>
      </c>
      <c r="BD954" s="140">
        <v>0</v>
      </c>
      <c r="BE954" s="140">
        <v>0</v>
      </c>
      <c r="BF954" s="140">
        <v>0</v>
      </c>
      <c r="BG954" s="140">
        <v>0</v>
      </c>
      <c r="BH954" s="140">
        <v>0</v>
      </c>
      <c r="BI954" s="140">
        <v>0</v>
      </c>
      <c r="BJ954" s="140">
        <v>0</v>
      </c>
      <c r="BK954" s="140">
        <v>0</v>
      </c>
      <c r="BL954" s="140">
        <v>0</v>
      </c>
      <c r="BM954" s="140">
        <v>0</v>
      </c>
      <c r="BN954" s="140">
        <v>0</v>
      </c>
      <c r="BO954" s="140">
        <v>0</v>
      </c>
      <c r="BP954" s="43" t="s">
        <v>138</v>
      </c>
      <c r="BQ954" s="89"/>
      <c r="BU954" s="89"/>
      <c r="BX954" s="43">
        <v>15</v>
      </c>
      <c r="BZ954" s="90">
        <f t="shared" si="134"/>
        <v>0.33333333333333331</v>
      </c>
      <c r="CA954" s="90">
        <f t="shared" si="134"/>
        <v>0.33333333333333331</v>
      </c>
      <c r="CB954" s="90">
        <f t="shared" si="134"/>
        <v>0.33333333333333331</v>
      </c>
      <c r="CT954" s="90">
        <f t="shared" si="123"/>
        <v>1</v>
      </c>
      <c r="CU954" s="90">
        <f t="shared" si="124"/>
        <v>1</v>
      </c>
    </row>
    <row r="955" spans="1:99" ht="12" customHeight="1">
      <c r="A955" s="43">
        <v>7221</v>
      </c>
      <c r="B955" s="89" t="s">
        <v>1515</v>
      </c>
      <c r="C955" s="89" t="s">
        <v>2623</v>
      </c>
      <c r="D955" s="89" t="s">
        <v>2624</v>
      </c>
      <c r="F955" s="43">
        <v>525047</v>
      </c>
      <c r="G955" s="43">
        <v>173143</v>
      </c>
      <c r="H955" s="89" t="s">
        <v>176</v>
      </c>
      <c r="K955" s="140">
        <v>0</v>
      </c>
      <c r="L955" s="140">
        <v>1</v>
      </c>
      <c r="M955" s="140">
        <v>1</v>
      </c>
      <c r="N955" s="140">
        <v>1</v>
      </c>
      <c r="O955" s="140">
        <v>1</v>
      </c>
      <c r="Q955" s="89" t="s">
        <v>2625</v>
      </c>
      <c r="R955" s="43" t="s">
        <v>620</v>
      </c>
      <c r="S955" s="125">
        <v>43679</v>
      </c>
      <c r="T955" s="117">
        <v>43733</v>
      </c>
      <c r="U955" s="43" t="s">
        <v>329</v>
      </c>
      <c r="V955" s="43" t="s">
        <v>317</v>
      </c>
      <c r="X955" s="43" t="s">
        <v>318</v>
      </c>
      <c r="Y955" s="43" t="s">
        <v>336</v>
      </c>
      <c r="Z955" s="43" t="s">
        <v>320</v>
      </c>
      <c r="AA955" s="43" t="s">
        <v>30</v>
      </c>
      <c r="AB955" s="144">
        <v>6.0000000521540598E-3</v>
      </c>
      <c r="AF955" s="43" t="s">
        <v>75</v>
      </c>
      <c r="AG955" s="43" t="s">
        <v>322</v>
      </c>
      <c r="AJ955" s="140">
        <v>0</v>
      </c>
      <c r="AK955" s="140">
        <v>0</v>
      </c>
      <c r="AL955" s="140">
        <v>0</v>
      </c>
      <c r="AM955" s="140">
        <v>0</v>
      </c>
      <c r="AN955" s="140">
        <v>0</v>
      </c>
      <c r="AO955" s="140">
        <v>0</v>
      </c>
      <c r="AP955" s="140">
        <v>0</v>
      </c>
      <c r="AQ955" s="140">
        <v>1</v>
      </c>
      <c r="AR955" s="140">
        <v>0</v>
      </c>
      <c r="AS955" s="140">
        <v>0</v>
      </c>
      <c r="AT955" s="140">
        <v>0</v>
      </c>
      <c r="AU955" s="140">
        <v>0</v>
      </c>
      <c r="AV955" s="140">
        <v>0</v>
      </c>
      <c r="AW955" s="140">
        <v>0</v>
      </c>
      <c r="AX955" s="140">
        <v>1</v>
      </c>
      <c r="AY955" s="140">
        <v>0</v>
      </c>
      <c r="AZ955" s="140">
        <v>0</v>
      </c>
      <c r="BA955" s="140">
        <v>0</v>
      </c>
      <c r="BB955" s="140">
        <v>0</v>
      </c>
      <c r="BC955" s="140">
        <v>0</v>
      </c>
      <c r="BD955" s="140">
        <v>0</v>
      </c>
      <c r="BE955" s="140">
        <v>0</v>
      </c>
      <c r="BF955" s="140">
        <v>0</v>
      </c>
      <c r="BG955" s="140">
        <v>0</v>
      </c>
      <c r="BH955" s="140">
        <v>0</v>
      </c>
      <c r="BI955" s="140">
        <v>0</v>
      </c>
      <c r="BJ955" s="140">
        <v>0</v>
      </c>
      <c r="BK955" s="140">
        <v>0</v>
      </c>
      <c r="BL955" s="140">
        <v>0</v>
      </c>
      <c r="BM955" s="140">
        <v>0</v>
      </c>
      <c r="BN955" s="140">
        <v>0</v>
      </c>
      <c r="BO955" s="140">
        <v>0</v>
      </c>
      <c r="BQ955" s="89"/>
      <c r="BU955" s="89"/>
      <c r="BX955" s="43">
        <v>15</v>
      </c>
      <c r="BZ955" s="90">
        <f t="shared" si="134"/>
        <v>0.33333333333333331</v>
      </c>
      <c r="CA955" s="90">
        <f t="shared" si="134"/>
        <v>0.33333333333333331</v>
      </c>
      <c r="CB955" s="90">
        <f t="shared" si="134"/>
        <v>0.33333333333333331</v>
      </c>
      <c r="CT955" s="90">
        <f t="shared" si="123"/>
        <v>1</v>
      </c>
      <c r="CU955" s="90">
        <f t="shared" si="124"/>
        <v>1</v>
      </c>
    </row>
    <row r="956" spans="1:99" ht="12" customHeight="1">
      <c r="A956" s="43">
        <v>7232</v>
      </c>
      <c r="B956" s="89" t="s">
        <v>1515</v>
      </c>
      <c r="C956" s="89" t="s">
        <v>2626</v>
      </c>
      <c r="D956" s="89" t="s">
        <v>2627</v>
      </c>
      <c r="F956" s="43">
        <v>528139</v>
      </c>
      <c r="G956" s="43">
        <v>173962</v>
      </c>
      <c r="H956" s="89" t="s">
        <v>173</v>
      </c>
      <c r="K956" s="140">
        <v>1</v>
      </c>
      <c r="L956" s="140">
        <v>2</v>
      </c>
      <c r="M956" s="140">
        <v>1</v>
      </c>
      <c r="N956" s="140">
        <v>2</v>
      </c>
      <c r="O956" s="140">
        <v>1</v>
      </c>
      <c r="Q956" s="89" t="s">
        <v>2628</v>
      </c>
      <c r="R956" s="43" t="s">
        <v>316</v>
      </c>
      <c r="S956" s="125">
        <v>43697</v>
      </c>
      <c r="T956" s="117">
        <v>43740</v>
      </c>
      <c r="U956" s="43" t="s">
        <v>329</v>
      </c>
      <c r="V956" s="43" t="s">
        <v>317</v>
      </c>
      <c r="X956" s="43" t="s">
        <v>318</v>
      </c>
      <c r="Y956" s="43" t="s">
        <v>348</v>
      </c>
      <c r="Z956" s="43" t="s">
        <v>320</v>
      </c>
      <c r="AA956" s="43" t="s">
        <v>321</v>
      </c>
      <c r="AB956" s="144">
        <v>8.9999996125698107E-3</v>
      </c>
      <c r="AF956" s="43" t="s">
        <v>75</v>
      </c>
      <c r="AG956" s="43" t="s">
        <v>322</v>
      </c>
      <c r="AJ956" s="140">
        <v>0</v>
      </c>
      <c r="AK956" s="140">
        <v>0</v>
      </c>
      <c r="AL956" s="140">
        <v>0</v>
      </c>
      <c r="AM956" s="140">
        <v>0</v>
      </c>
      <c r="AN956" s="140">
        <v>0</v>
      </c>
      <c r="AO956" s="140">
        <v>2</v>
      </c>
      <c r="AP956" s="140">
        <v>0</v>
      </c>
      <c r="AQ956" s="140">
        <v>-1</v>
      </c>
      <c r="AR956" s="140">
        <v>0</v>
      </c>
      <c r="AS956" s="140">
        <v>0</v>
      </c>
      <c r="AT956" s="140">
        <v>0</v>
      </c>
      <c r="AU956" s="140">
        <v>0</v>
      </c>
      <c r="AV956" s="140">
        <v>2</v>
      </c>
      <c r="AW956" s="140">
        <v>0</v>
      </c>
      <c r="AX956" s="140">
        <v>-1</v>
      </c>
      <c r="AY956" s="140">
        <v>0</v>
      </c>
      <c r="AZ956" s="140">
        <v>0</v>
      </c>
      <c r="BA956" s="140">
        <v>0</v>
      </c>
      <c r="BB956" s="140">
        <v>0</v>
      </c>
      <c r="BC956" s="140">
        <v>0</v>
      </c>
      <c r="BD956" s="140">
        <v>0</v>
      </c>
      <c r="BE956" s="140">
        <v>0</v>
      </c>
      <c r="BF956" s="140">
        <v>0</v>
      </c>
      <c r="BG956" s="140">
        <v>0</v>
      </c>
      <c r="BH956" s="140">
        <v>0</v>
      </c>
      <c r="BI956" s="140">
        <v>0</v>
      </c>
      <c r="BJ956" s="140">
        <v>0</v>
      </c>
      <c r="BK956" s="140">
        <v>0</v>
      </c>
      <c r="BL956" s="140">
        <v>0</v>
      </c>
      <c r="BM956" s="140">
        <v>0</v>
      </c>
      <c r="BN956" s="140">
        <v>0</v>
      </c>
      <c r="BO956" s="140">
        <v>0</v>
      </c>
      <c r="BQ956" s="89"/>
      <c r="BU956" s="89"/>
      <c r="BX956" s="43">
        <v>15</v>
      </c>
      <c r="BZ956" s="90">
        <f t="shared" si="134"/>
        <v>0.33333333333333331</v>
      </c>
      <c r="CA956" s="90">
        <f t="shared" si="134"/>
        <v>0.33333333333333331</v>
      </c>
      <c r="CB956" s="90">
        <f t="shared" si="134"/>
        <v>0.33333333333333331</v>
      </c>
      <c r="CT956" s="90">
        <f t="shared" si="123"/>
        <v>1</v>
      </c>
      <c r="CU956" s="90">
        <f t="shared" si="124"/>
        <v>1</v>
      </c>
    </row>
    <row r="957" spans="1:99" ht="12" customHeight="1">
      <c r="A957" s="43">
        <v>7233</v>
      </c>
      <c r="B957" s="89" t="s">
        <v>1515</v>
      </c>
      <c r="C957" s="89" t="s">
        <v>2629</v>
      </c>
      <c r="D957" s="89" t="s">
        <v>2630</v>
      </c>
      <c r="F957" s="43">
        <v>527787</v>
      </c>
      <c r="G957" s="43">
        <v>174343</v>
      </c>
      <c r="H957" s="89" t="s">
        <v>174</v>
      </c>
      <c r="K957" s="140">
        <v>3</v>
      </c>
      <c r="L957" s="140">
        <v>3</v>
      </c>
      <c r="M957" s="140">
        <v>0</v>
      </c>
      <c r="N957" s="140">
        <v>4</v>
      </c>
      <c r="O957" s="140">
        <v>1</v>
      </c>
      <c r="Q957" s="89" t="s">
        <v>2631</v>
      </c>
      <c r="R957" s="43" t="s">
        <v>316</v>
      </c>
      <c r="S957" s="125">
        <v>43696</v>
      </c>
      <c r="T957" s="117">
        <v>43735</v>
      </c>
      <c r="U957" s="43" t="s">
        <v>329</v>
      </c>
      <c r="V957" s="43" t="s">
        <v>317</v>
      </c>
      <c r="X957" s="43" t="s">
        <v>318</v>
      </c>
      <c r="Y957" s="43" t="s">
        <v>319</v>
      </c>
      <c r="Z957" s="43" t="s">
        <v>320</v>
      </c>
      <c r="AA957" s="43" t="s">
        <v>340</v>
      </c>
      <c r="AB957" s="144">
        <v>2.3000000044703501E-2</v>
      </c>
      <c r="AF957" s="43" t="s">
        <v>75</v>
      </c>
      <c r="AG957" s="43" t="s">
        <v>322</v>
      </c>
      <c r="AJ957" s="140">
        <v>0</v>
      </c>
      <c r="AK957" s="140">
        <v>0</v>
      </c>
      <c r="AL957" s="140">
        <v>0</v>
      </c>
      <c r="AM957" s="140">
        <v>0</v>
      </c>
      <c r="AN957" s="140">
        <v>0</v>
      </c>
      <c r="AO957" s="140">
        <v>-2</v>
      </c>
      <c r="AP957" s="140">
        <v>3</v>
      </c>
      <c r="AQ957" s="140">
        <v>-1</v>
      </c>
      <c r="AR957" s="140">
        <v>0</v>
      </c>
      <c r="AS957" s="140">
        <v>0</v>
      </c>
      <c r="AT957" s="140">
        <v>0</v>
      </c>
      <c r="AU957" s="140">
        <v>0</v>
      </c>
      <c r="AV957" s="140">
        <v>-2</v>
      </c>
      <c r="AW957" s="140">
        <v>3</v>
      </c>
      <c r="AX957" s="140">
        <v>-1</v>
      </c>
      <c r="AY957" s="140">
        <v>0</v>
      </c>
      <c r="AZ957" s="140">
        <v>0</v>
      </c>
      <c r="BA957" s="140">
        <v>0</v>
      </c>
      <c r="BB957" s="140">
        <v>0</v>
      </c>
      <c r="BC957" s="140">
        <v>0</v>
      </c>
      <c r="BD957" s="140">
        <v>0</v>
      </c>
      <c r="BE957" s="140">
        <v>0</v>
      </c>
      <c r="BF957" s="140">
        <v>0</v>
      </c>
      <c r="BG957" s="140">
        <v>0</v>
      </c>
      <c r="BH957" s="140">
        <v>0</v>
      </c>
      <c r="BI957" s="140">
        <v>0</v>
      </c>
      <c r="BJ957" s="140">
        <v>0</v>
      </c>
      <c r="BK957" s="140">
        <v>0</v>
      </c>
      <c r="BL957" s="140">
        <v>0</v>
      </c>
      <c r="BM957" s="140">
        <v>0</v>
      </c>
      <c r="BN957" s="140">
        <v>0</v>
      </c>
      <c r="BO957" s="140">
        <v>0</v>
      </c>
      <c r="BQ957" s="89"/>
      <c r="BU957" s="89"/>
      <c r="BX957" s="43">
        <v>15</v>
      </c>
      <c r="BZ957" s="90">
        <f t="shared" si="134"/>
        <v>0</v>
      </c>
      <c r="CA957" s="90">
        <f t="shared" si="134"/>
        <v>0</v>
      </c>
      <c r="CB957" s="90">
        <f t="shared" si="134"/>
        <v>0</v>
      </c>
      <c r="CT957" s="90">
        <f t="shared" si="123"/>
        <v>0</v>
      </c>
      <c r="CU957" s="90">
        <f t="shared" si="124"/>
        <v>0</v>
      </c>
    </row>
    <row r="958" spans="1:99" ht="12" customHeight="1">
      <c r="A958" s="43">
        <v>7233</v>
      </c>
      <c r="B958" s="89" t="s">
        <v>1515</v>
      </c>
      <c r="C958" s="89" t="s">
        <v>2629</v>
      </c>
      <c r="D958" s="89" t="s">
        <v>2630</v>
      </c>
      <c r="F958" s="43">
        <v>527787</v>
      </c>
      <c r="G958" s="43">
        <v>174343</v>
      </c>
      <c r="H958" s="89" t="s">
        <v>174</v>
      </c>
      <c r="K958" s="140">
        <v>0</v>
      </c>
      <c r="L958" s="140">
        <v>1</v>
      </c>
      <c r="M958" s="140">
        <v>1</v>
      </c>
      <c r="N958" s="140">
        <v>4</v>
      </c>
      <c r="O958" s="140">
        <v>1</v>
      </c>
      <c r="Q958" s="89" t="s">
        <v>2631</v>
      </c>
      <c r="R958" s="43" t="s">
        <v>316</v>
      </c>
      <c r="S958" s="125">
        <v>43696</v>
      </c>
      <c r="T958" s="117">
        <v>43735</v>
      </c>
      <c r="U958" s="43" t="s">
        <v>329</v>
      </c>
      <c r="V958" s="43" t="s">
        <v>317</v>
      </c>
      <c r="X958" s="43" t="s">
        <v>318</v>
      </c>
      <c r="Y958" s="43" t="s">
        <v>319</v>
      </c>
      <c r="Z958" s="43" t="s">
        <v>320</v>
      </c>
      <c r="AA958" s="43" t="s">
        <v>321</v>
      </c>
      <c r="AB958" s="144">
        <v>4.9999998882412902E-3</v>
      </c>
      <c r="AF958" s="43" t="s">
        <v>75</v>
      </c>
      <c r="AG958" s="43" t="s">
        <v>322</v>
      </c>
      <c r="AJ958" s="140">
        <v>0</v>
      </c>
      <c r="AK958" s="140">
        <v>0</v>
      </c>
      <c r="AL958" s="140">
        <v>0</v>
      </c>
      <c r="AM958" s="140">
        <v>0</v>
      </c>
      <c r="AN958" s="140">
        <v>0</v>
      </c>
      <c r="AO958" s="140">
        <v>0</v>
      </c>
      <c r="AP958" s="140">
        <v>1</v>
      </c>
      <c r="AQ958" s="140">
        <v>0</v>
      </c>
      <c r="AR958" s="140">
        <v>0</v>
      </c>
      <c r="AS958" s="140">
        <v>0</v>
      </c>
      <c r="AT958" s="140">
        <v>0</v>
      </c>
      <c r="AU958" s="140">
        <v>0</v>
      </c>
      <c r="AV958" s="140">
        <v>0</v>
      </c>
      <c r="AW958" s="140">
        <v>1</v>
      </c>
      <c r="AX958" s="140">
        <v>0</v>
      </c>
      <c r="AY958" s="140">
        <v>0</v>
      </c>
      <c r="AZ958" s="140">
        <v>0</v>
      </c>
      <c r="BA958" s="140">
        <v>0</v>
      </c>
      <c r="BB958" s="140">
        <v>0</v>
      </c>
      <c r="BC958" s="140">
        <v>0</v>
      </c>
      <c r="BD958" s="140">
        <v>0</v>
      </c>
      <c r="BE958" s="140">
        <v>0</v>
      </c>
      <c r="BF958" s="140">
        <v>0</v>
      </c>
      <c r="BG958" s="140">
        <v>0</v>
      </c>
      <c r="BH958" s="140">
        <v>0</v>
      </c>
      <c r="BI958" s="140">
        <v>0</v>
      </c>
      <c r="BJ958" s="140">
        <v>0</v>
      </c>
      <c r="BK958" s="140">
        <v>0</v>
      </c>
      <c r="BL958" s="140">
        <v>0</v>
      </c>
      <c r="BM958" s="140">
        <v>0</v>
      </c>
      <c r="BN958" s="140">
        <v>0</v>
      </c>
      <c r="BO958" s="140">
        <v>0</v>
      </c>
      <c r="BQ958" s="89"/>
      <c r="BU958" s="89"/>
      <c r="BX958" s="43">
        <v>15</v>
      </c>
      <c r="BZ958" s="90">
        <f t="shared" si="134"/>
        <v>0.33333333333333331</v>
      </c>
      <c r="CA958" s="90">
        <f t="shared" si="134"/>
        <v>0.33333333333333331</v>
      </c>
      <c r="CB958" s="90">
        <f t="shared" si="134"/>
        <v>0.33333333333333331</v>
      </c>
      <c r="CT958" s="90">
        <f t="shared" si="123"/>
        <v>1</v>
      </c>
      <c r="CU958" s="90">
        <f t="shared" si="124"/>
        <v>1</v>
      </c>
    </row>
    <row r="959" spans="1:99" ht="12" customHeight="1">
      <c r="A959" s="43">
        <v>7235</v>
      </c>
      <c r="B959" s="89" t="s">
        <v>1515</v>
      </c>
      <c r="C959" s="89" t="s">
        <v>2632</v>
      </c>
      <c r="D959" s="89" t="s">
        <v>2633</v>
      </c>
      <c r="F959" s="43">
        <v>524049</v>
      </c>
      <c r="G959" s="43">
        <v>175301</v>
      </c>
      <c r="H959" s="89" t="s">
        <v>178</v>
      </c>
      <c r="K959" s="140">
        <v>2</v>
      </c>
      <c r="L959" s="140">
        <v>0</v>
      </c>
      <c r="M959" s="140">
        <v>-2</v>
      </c>
      <c r="N959" s="140">
        <v>0</v>
      </c>
      <c r="O959" s="140">
        <v>-2</v>
      </c>
      <c r="Q959" s="89" t="s">
        <v>2634</v>
      </c>
      <c r="R959" s="43" t="s">
        <v>316</v>
      </c>
      <c r="S959" s="125">
        <v>43698</v>
      </c>
      <c r="T959" s="117">
        <v>43754</v>
      </c>
      <c r="U959" s="43" t="s">
        <v>329</v>
      </c>
      <c r="V959" s="43" t="s">
        <v>317</v>
      </c>
      <c r="X959" s="43" t="s">
        <v>318</v>
      </c>
      <c r="Y959" s="43" t="s">
        <v>319</v>
      </c>
      <c r="Z959" s="43" t="s">
        <v>320</v>
      </c>
      <c r="AA959" s="43" t="s">
        <v>39</v>
      </c>
      <c r="AB959" s="144">
        <v>1.8999999389052401E-2</v>
      </c>
      <c r="AF959" s="43" t="s">
        <v>75</v>
      </c>
      <c r="AG959" s="43" t="s">
        <v>322</v>
      </c>
      <c r="AJ959" s="140">
        <v>0</v>
      </c>
      <c r="AK959" s="140">
        <v>0</v>
      </c>
      <c r="AL959" s="140">
        <v>0</v>
      </c>
      <c r="AM959" s="140">
        <v>0</v>
      </c>
      <c r="AN959" s="140">
        <v>0</v>
      </c>
      <c r="AO959" s="140">
        <v>0</v>
      </c>
      <c r="AP959" s="140">
        <v>0</v>
      </c>
      <c r="AQ959" s="140">
        <v>0</v>
      </c>
      <c r="AR959" s="140">
        <v>-2</v>
      </c>
      <c r="AS959" s="140">
        <v>0</v>
      </c>
      <c r="AT959" s="140">
        <v>0</v>
      </c>
      <c r="AU959" s="140">
        <v>0</v>
      </c>
      <c r="AV959" s="140">
        <v>0</v>
      </c>
      <c r="AW959" s="140">
        <v>0</v>
      </c>
      <c r="AX959" s="140">
        <v>0</v>
      </c>
      <c r="AY959" s="140">
        <v>-2</v>
      </c>
      <c r="AZ959" s="140">
        <v>0</v>
      </c>
      <c r="BA959" s="140">
        <v>0</v>
      </c>
      <c r="BB959" s="140">
        <v>0</v>
      </c>
      <c r="BC959" s="140">
        <v>0</v>
      </c>
      <c r="BD959" s="140">
        <v>0</v>
      </c>
      <c r="BE959" s="140">
        <v>0</v>
      </c>
      <c r="BF959" s="140">
        <v>0</v>
      </c>
      <c r="BG959" s="140">
        <v>0</v>
      </c>
      <c r="BH959" s="140">
        <v>0</v>
      </c>
      <c r="BI959" s="140">
        <v>0</v>
      </c>
      <c r="BJ959" s="140">
        <v>0</v>
      </c>
      <c r="BK959" s="140">
        <v>0</v>
      </c>
      <c r="BL959" s="140">
        <v>0</v>
      </c>
      <c r="BM959" s="140">
        <v>0</v>
      </c>
      <c r="BN959" s="140">
        <v>0</v>
      </c>
      <c r="BO959" s="140">
        <v>0</v>
      </c>
      <c r="BP959" s="43" t="s">
        <v>140</v>
      </c>
      <c r="BQ959" s="89"/>
      <c r="BU959" s="89"/>
      <c r="BX959" s="43">
        <v>15</v>
      </c>
      <c r="BZ959" s="90">
        <f t="shared" si="134"/>
        <v>-0.66666666666666663</v>
      </c>
      <c r="CA959" s="90">
        <f t="shared" si="134"/>
        <v>-0.66666666666666663</v>
      </c>
      <c r="CB959" s="90">
        <f t="shared" si="134"/>
        <v>-0.66666666666666663</v>
      </c>
      <c r="CT959" s="90">
        <f t="shared" si="123"/>
        <v>-2</v>
      </c>
      <c r="CU959" s="90">
        <f t="shared" si="124"/>
        <v>-2</v>
      </c>
    </row>
    <row r="960" spans="1:99" ht="12" customHeight="1">
      <c r="A960" s="43">
        <v>7239</v>
      </c>
      <c r="B960" s="89" t="s">
        <v>1515</v>
      </c>
      <c r="C960" s="89" t="s">
        <v>2635</v>
      </c>
      <c r="D960" s="89" t="s">
        <v>2636</v>
      </c>
      <c r="F960" s="43">
        <v>524869</v>
      </c>
      <c r="G960" s="43">
        <v>173278</v>
      </c>
      <c r="H960" s="89" t="s">
        <v>176</v>
      </c>
      <c r="K960" s="140">
        <v>0</v>
      </c>
      <c r="L960" s="140">
        <v>1</v>
      </c>
      <c r="M960" s="140">
        <v>1</v>
      </c>
      <c r="N960" s="140">
        <v>2</v>
      </c>
      <c r="O960" s="140">
        <v>1</v>
      </c>
      <c r="Q960" s="89" t="s">
        <v>2637</v>
      </c>
      <c r="R960" s="43" t="s">
        <v>316</v>
      </c>
      <c r="S960" s="125">
        <v>43704</v>
      </c>
      <c r="T960" s="117">
        <v>43754</v>
      </c>
      <c r="U960" s="43" t="s">
        <v>329</v>
      </c>
      <c r="V960" s="43" t="s">
        <v>317</v>
      </c>
      <c r="X960" s="43" t="s">
        <v>318</v>
      </c>
      <c r="Y960" s="43" t="s">
        <v>319</v>
      </c>
      <c r="Z960" s="43" t="s">
        <v>320</v>
      </c>
      <c r="AA960" s="43" t="s">
        <v>340</v>
      </c>
      <c r="AB960" s="144">
        <v>4.0000001899898104E-3</v>
      </c>
      <c r="AF960" s="43" t="s">
        <v>75</v>
      </c>
      <c r="AG960" s="43" t="s">
        <v>322</v>
      </c>
      <c r="AJ960" s="140">
        <v>0</v>
      </c>
      <c r="AK960" s="140">
        <v>0</v>
      </c>
      <c r="AL960" s="140">
        <v>0</v>
      </c>
      <c r="AM960" s="140">
        <v>0</v>
      </c>
      <c r="AN960" s="140">
        <v>0</v>
      </c>
      <c r="AO960" s="140">
        <v>1</v>
      </c>
      <c r="AP960" s="140">
        <v>0</v>
      </c>
      <c r="AQ960" s="140">
        <v>0</v>
      </c>
      <c r="AR960" s="140">
        <v>0</v>
      </c>
      <c r="AS960" s="140">
        <v>0</v>
      </c>
      <c r="AT960" s="140">
        <v>0</v>
      </c>
      <c r="AU960" s="140">
        <v>0</v>
      </c>
      <c r="AV960" s="140">
        <v>1</v>
      </c>
      <c r="AW960" s="140">
        <v>0</v>
      </c>
      <c r="AX960" s="140">
        <v>0</v>
      </c>
      <c r="AY960" s="140">
        <v>0</v>
      </c>
      <c r="AZ960" s="140">
        <v>0</v>
      </c>
      <c r="BA960" s="140">
        <v>0</v>
      </c>
      <c r="BB960" s="140">
        <v>0</v>
      </c>
      <c r="BC960" s="140">
        <v>0</v>
      </c>
      <c r="BD960" s="140">
        <v>0</v>
      </c>
      <c r="BE960" s="140">
        <v>0</v>
      </c>
      <c r="BF960" s="140">
        <v>0</v>
      </c>
      <c r="BG960" s="140">
        <v>0</v>
      </c>
      <c r="BH960" s="140">
        <v>0</v>
      </c>
      <c r="BI960" s="140">
        <v>0</v>
      </c>
      <c r="BJ960" s="140">
        <v>0</v>
      </c>
      <c r="BK960" s="140">
        <v>0</v>
      </c>
      <c r="BL960" s="140">
        <v>0</v>
      </c>
      <c r="BM960" s="140">
        <v>0</v>
      </c>
      <c r="BN960" s="140">
        <v>0</v>
      </c>
      <c r="BO960" s="140">
        <v>0</v>
      </c>
      <c r="BQ960" s="89"/>
      <c r="BU960" s="89"/>
      <c r="BX960" s="43">
        <v>15</v>
      </c>
      <c r="BZ960" s="90">
        <f t="shared" si="134"/>
        <v>0.33333333333333331</v>
      </c>
      <c r="CA960" s="90">
        <f t="shared" si="134"/>
        <v>0.33333333333333331</v>
      </c>
      <c r="CB960" s="90">
        <f t="shared" si="134"/>
        <v>0.33333333333333331</v>
      </c>
      <c r="CT960" s="90">
        <f t="shared" si="123"/>
        <v>1</v>
      </c>
      <c r="CU960" s="90">
        <f t="shared" si="124"/>
        <v>1</v>
      </c>
    </row>
    <row r="961" spans="1:99" ht="12" customHeight="1">
      <c r="A961" s="43">
        <v>7239</v>
      </c>
      <c r="B961" s="89" t="s">
        <v>1515</v>
      </c>
      <c r="C961" s="89" t="s">
        <v>2635</v>
      </c>
      <c r="D961" s="89" t="s">
        <v>2636</v>
      </c>
      <c r="F961" s="43">
        <v>524869</v>
      </c>
      <c r="G961" s="43">
        <v>173278</v>
      </c>
      <c r="H961" s="89" t="s">
        <v>176</v>
      </c>
      <c r="K961" s="140">
        <v>1</v>
      </c>
      <c r="L961" s="140">
        <v>1</v>
      </c>
      <c r="M961" s="140">
        <v>0</v>
      </c>
      <c r="N961" s="140">
        <v>2</v>
      </c>
      <c r="O961" s="140">
        <v>1</v>
      </c>
      <c r="Q961" s="89" t="s">
        <v>2637</v>
      </c>
      <c r="R961" s="43" t="s">
        <v>316</v>
      </c>
      <c r="S961" s="125">
        <v>43704</v>
      </c>
      <c r="T961" s="117">
        <v>43754</v>
      </c>
      <c r="U961" s="43" t="s">
        <v>329</v>
      </c>
      <c r="V961" s="43" t="s">
        <v>317</v>
      </c>
      <c r="X961" s="43" t="s">
        <v>318</v>
      </c>
      <c r="Y961" s="43" t="s">
        <v>319</v>
      </c>
      <c r="Z961" s="43" t="s">
        <v>320</v>
      </c>
      <c r="AA961" s="43" t="s">
        <v>321</v>
      </c>
      <c r="AB961" s="144">
        <v>4.9999998882412902E-3</v>
      </c>
      <c r="AF961" s="43" t="s">
        <v>75</v>
      </c>
      <c r="AG961" s="43" t="s">
        <v>322</v>
      </c>
      <c r="AJ961" s="140">
        <v>0</v>
      </c>
      <c r="AK961" s="140">
        <v>0</v>
      </c>
      <c r="AL961" s="140">
        <v>0</v>
      </c>
      <c r="AM961" s="140">
        <v>0</v>
      </c>
      <c r="AN961" s="140">
        <v>0</v>
      </c>
      <c r="AO961" s="140">
        <v>1</v>
      </c>
      <c r="AP961" s="140">
        <v>-1</v>
      </c>
      <c r="AQ961" s="140">
        <v>0</v>
      </c>
      <c r="AR961" s="140">
        <v>0</v>
      </c>
      <c r="AS961" s="140">
        <v>0</v>
      </c>
      <c r="AT961" s="140">
        <v>0</v>
      </c>
      <c r="AU961" s="140">
        <v>0</v>
      </c>
      <c r="AV961" s="140">
        <v>1</v>
      </c>
      <c r="AW961" s="140">
        <v>-1</v>
      </c>
      <c r="AX961" s="140">
        <v>0</v>
      </c>
      <c r="AY961" s="140">
        <v>0</v>
      </c>
      <c r="AZ961" s="140">
        <v>0</v>
      </c>
      <c r="BA961" s="140">
        <v>0</v>
      </c>
      <c r="BB961" s="140">
        <v>0</v>
      </c>
      <c r="BC961" s="140">
        <v>0</v>
      </c>
      <c r="BD961" s="140">
        <v>0</v>
      </c>
      <c r="BE961" s="140">
        <v>0</v>
      </c>
      <c r="BF961" s="140">
        <v>0</v>
      </c>
      <c r="BG961" s="140">
        <v>0</v>
      </c>
      <c r="BH961" s="140">
        <v>0</v>
      </c>
      <c r="BI961" s="140">
        <v>0</v>
      </c>
      <c r="BJ961" s="140">
        <v>0</v>
      </c>
      <c r="BK961" s="140">
        <v>0</v>
      </c>
      <c r="BL961" s="140">
        <v>0</v>
      </c>
      <c r="BM961" s="140">
        <v>0</v>
      </c>
      <c r="BN961" s="140">
        <v>0</v>
      </c>
      <c r="BO961" s="140">
        <v>0</v>
      </c>
      <c r="BQ961" s="89"/>
      <c r="BU961" s="89"/>
      <c r="BX961" s="43">
        <v>15</v>
      </c>
      <c r="BZ961" s="90">
        <f t="shared" si="134"/>
        <v>0</v>
      </c>
      <c r="CA961" s="90">
        <f t="shared" si="134"/>
        <v>0</v>
      </c>
      <c r="CB961" s="90">
        <f t="shared" si="134"/>
        <v>0</v>
      </c>
      <c r="CT961" s="90">
        <f t="shared" si="123"/>
        <v>0</v>
      </c>
      <c r="CU961" s="90">
        <f t="shared" si="124"/>
        <v>0</v>
      </c>
    </row>
    <row r="962" spans="1:99" ht="12" customHeight="1">
      <c r="A962" s="43">
        <v>7245</v>
      </c>
      <c r="B962" s="89" t="s">
        <v>1515</v>
      </c>
      <c r="C962" s="89" t="s">
        <v>2638</v>
      </c>
      <c r="D962" s="89" t="s">
        <v>2639</v>
      </c>
      <c r="F962" s="43">
        <v>528090</v>
      </c>
      <c r="G962" s="43">
        <v>173486</v>
      </c>
      <c r="H962" s="89" t="s">
        <v>173</v>
      </c>
      <c r="K962" s="140">
        <v>0</v>
      </c>
      <c r="L962" s="140">
        <v>2</v>
      </c>
      <c r="M962" s="140">
        <v>2</v>
      </c>
      <c r="N962" s="140">
        <v>2</v>
      </c>
      <c r="O962" s="140">
        <v>2</v>
      </c>
      <c r="Q962" s="89" t="s">
        <v>2640</v>
      </c>
      <c r="R962" s="43" t="s">
        <v>620</v>
      </c>
      <c r="S962" s="125">
        <v>43720</v>
      </c>
      <c r="T962" s="117">
        <v>43773</v>
      </c>
      <c r="U962" s="43" t="s">
        <v>329</v>
      </c>
      <c r="V962" s="43" t="s">
        <v>317</v>
      </c>
      <c r="X962" s="43" t="s">
        <v>318</v>
      </c>
      <c r="Y962" s="43" t="s">
        <v>336</v>
      </c>
      <c r="Z962" s="43" t="s">
        <v>320</v>
      </c>
      <c r="AA962" s="43" t="s">
        <v>30</v>
      </c>
      <c r="AB962" s="144">
        <v>7.0000002160668399E-3</v>
      </c>
      <c r="AF962" s="43" t="s">
        <v>75</v>
      </c>
      <c r="AG962" s="43" t="s">
        <v>322</v>
      </c>
      <c r="AJ962" s="140">
        <v>0</v>
      </c>
      <c r="AK962" s="140">
        <v>0</v>
      </c>
      <c r="AL962" s="140">
        <v>0</v>
      </c>
      <c r="AM962" s="140">
        <v>0</v>
      </c>
      <c r="AN962" s="140">
        <v>2</v>
      </c>
      <c r="AO962" s="140">
        <v>0</v>
      </c>
      <c r="AP962" s="140">
        <v>0</v>
      </c>
      <c r="AQ962" s="140">
        <v>0</v>
      </c>
      <c r="AR962" s="140">
        <v>0</v>
      </c>
      <c r="AS962" s="140">
        <v>0</v>
      </c>
      <c r="AT962" s="140">
        <v>0</v>
      </c>
      <c r="AU962" s="140">
        <v>2</v>
      </c>
      <c r="AV962" s="140">
        <v>0</v>
      </c>
      <c r="AW962" s="140">
        <v>0</v>
      </c>
      <c r="AX962" s="140">
        <v>0</v>
      </c>
      <c r="AY962" s="140">
        <v>0</v>
      </c>
      <c r="AZ962" s="140">
        <v>0</v>
      </c>
      <c r="BA962" s="140">
        <v>0</v>
      </c>
      <c r="BB962" s="140">
        <v>0</v>
      </c>
      <c r="BC962" s="140">
        <v>0</v>
      </c>
      <c r="BD962" s="140">
        <v>0</v>
      </c>
      <c r="BE962" s="140">
        <v>0</v>
      </c>
      <c r="BF962" s="140">
        <v>0</v>
      </c>
      <c r="BG962" s="140">
        <v>0</v>
      </c>
      <c r="BH962" s="140">
        <v>0</v>
      </c>
      <c r="BI962" s="140">
        <v>0</v>
      </c>
      <c r="BJ962" s="140">
        <v>0</v>
      </c>
      <c r="BK962" s="140">
        <v>0</v>
      </c>
      <c r="BL962" s="140">
        <v>0</v>
      </c>
      <c r="BM962" s="140">
        <v>0</v>
      </c>
      <c r="BN962" s="140">
        <v>0</v>
      </c>
      <c r="BO962" s="140">
        <v>0</v>
      </c>
      <c r="BQ962" s="89"/>
      <c r="BU962" s="89"/>
      <c r="BX962" s="43">
        <v>15</v>
      </c>
      <c r="BZ962" s="90">
        <f t="shared" si="134"/>
        <v>0.66666666666666663</v>
      </c>
      <c r="CA962" s="90">
        <f t="shared" si="134"/>
        <v>0.66666666666666663</v>
      </c>
      <c r="CB962" s="90">
        <f t="shared" si="134"/>
        <v>0.66666666666666663</v>
      </c>
      <c r="CT962" s="90">
        <f t="shared" ref="CT962:CT1025" si="135">SUM(BZ962:CD962)</f>
        <v>2</v>
      </c>
      <c r="CU962" s="90">
        <f t="shared" ref="CU962:CU1025" si="136">SUM(BZ962:CI962)</f>
        <v>2</v>
      </c>
    </row>
    <row r="963" spans="1:99" ht="12" customHeight="1">
      <c r="A963" s="43">
        <v>7250</v>
      </c>
      <c r="B963" s="89" t="s">
        <v>1515</v>
      </c>
      <c r="C963" s="89" t="s">
        <v>2641</v>
      </c>
      <c r="D963" s="89" t="s">
        <v>2642</v>
      </c>
      <c r="F963" s="43">
        <v>527560</v>
      </c>
      <c r="G963" s="43">
        <v>171688</v>
      </c>
      <c r="H963" s="89" t="s">
        <v>141</v>
      </c>
      <c r="K963" s="140">
        <v>0</v>
      </c>
      <c r="L963" s="140">
        <v>3</v>
      </c>
      <c r="M963" s="140">
        <v>3</v>
      </c>
      <c r="N963" s="140">
        <v>4</v>
      </c>
      <c r="O963" s="140">
        <v>4</v>
      </c>
      <c r="Q963" s="89" t="s">
        <v>2643</v>
      </c>
      <c r="R963" s="43" t="s">
        <v>316</v>
      </c>
      <c r="S963" s="125">
        <v>43719</v>
      </c>
      <c r="T963" s="117">
        <v>43866</v>
      </c>
      <c r="U963" s="43" t="s">
        <v>329</v>
      </c>
      <c r="V963" s="43" t="s">
        <v>317</v>
      </c>
      <c r="X963" s="43" t="s">
        <v>318</v>
      </c>
      <c r="Y963" s="43" t="s">
        <v>319</v>
      </c>
      <c r="Z963" s="43" t="s">
        <v>320</v>
      </c>
      <c r="AA963" s="43" t="s">
        <v>30</v>
      </c>
      <c r="AB963" s="144">
        <v>4.0000001899898104E-3</v>
      </c>
      <c r="AF963" s="43" t="s">
        <v>75</v>
      </c>
      <c r="AG963" s="43" t="s">
        <v>322</v>
      </c>
      <c r="AJ963" s="140">
        <v>0</v>
      </c>
      <c r="AK963" s="140">
        <v>0</v>
      </c>
      <c r="AL963" s="140">
        <v>0</v>
      </c>
      <c r="AM963" s="140">
        <v>0</v>
      </c>
      <c r="AN963" s="140">
        <v>0</v>
      </c>
      <c r="AO963" s="140">
        <v>2</v>
      </c>
      <c r="AP963" s="140">
        <v>1</v>
      </c>
      <c r="AQ963" s="140">
        <v>0</v>
      </c>
      <c r="AR963" s="140">
        <v>0</v>
      </c>
      <c r="AS963" s="140">
        <v>0</v>
      </c>
      <c r="AT963" s="140">
        <v>0</v>
      </c>
      <c r="AU963" s="140">
        <v>0</v>
      </c>
      <c r="AV963" s="140">
        <v>2</v>
      </c>
      <c r="AW963" s="140">
        <v>1</v>
      </c>
      <c r="AX963" s="140">
        <v>0</v>
      </c>
      <c r="AY963" s="140">
        <v>0</v>
      </c>
      <c r="AZ963" s="140">
        <v>0</v>
      </c>
      <c r="BA963" s="140">
        <v>0</v>
      </c>
      <c r="BB963" s="140">
        <v>0</v>
      </c>
      <c r="BC963" s="140">
        <v>0</v>
      </c>
      <c r="BD963" s="140">
        <v>0</v>
      </c>
      <c r="BE963" s="140">
        <v>0</v>
      </c>
      <c r="BF963" s="140">
        <v>0</v>
      </c>
      <c r="BG963" s="140">
        <v>0</v>
      </c>
      <c r="BH963" s="140">
        <v>0</v>
      </c>
      <c r="BI963" s="140">
        <v>0</v>
      </c>
      <c r="BJ963" s="140">
        <v>0</v>
      </c>
      <c r="BK963" s="140">
        <v>0</v>
      </c>
      <c r="BL963" s="140">
        <v>0</v>
      </c>
      <c r="BM963" s="140">
        <v>0</v>
      </c>
      <c r="BN963" s="140">
        <v>0</v>
      </c>
      <c r="BO963" s="140">
        <v>0</v>
      </c>
      <c r="BP963" s="43" t="s">
        <v>141</v>
      </c>
      <c r="BQ963" s="89"/>
      <c r="BU963" s="89"/>
      <c r="BX963" s="43">
        <v>15</v>
      </c>
      <c r="BZ963" s="90">
        <f t="shared" si="134"/>
        <v>1</v>
      </c>
      <c r="CA963" s="90">
        <f t="shared" si="134"/>
        <v>1</v>
      </c>
      <c r="CB963" s="90">
        <f t="shared" si="134"/>
        <v>1</v>
      </c>
      <c r="CT963" s="90">
        <f t="shared" si="135"/>
        <v>3</v>
      </c>
      <c r="CU963" s="90">
        <f t="shared" si="136"/>
        <v>3</v>
      </c>
    </row>
    <row r="964" spans="1:99" ht="12" customHeight="1">
      <c r="A964" s="43">
        <v>7250</v>
      </c>
      <c r="B964" s="89" t="s">
        <v>1515</v>
      </c>
      <c r="C964" s="89" t="s">
        <v>2641</v>
      </c>
      <c r="D964" s="89" t="s">
        <v>2642</v>
      </c>
      <c r="F964" s="43">
        <v>527560</v>
      </c>
      <c r="G964" s="43">
        <v>171688</v>
      </c>
      <c r="H964" s="89" t="s">
        <v>141</v>
      </c>
      <c r="K964" s="140">
        <v>0</v>
      </c>
      <c r="L964" s="140">
        <v>1</v>
      </c>
      <c r="M964" s="140">
        <v>1</v>
      </c>
      <c r="N964" s="140">
        <v>4</v>
      </c>
      <c r="O964" s="140">
        <v>4</v>
      </c>
      <c r="Q964" s="89" t="s">
        <v>2643</v>
      </c>
      <c r="R964" s="43" t="s">
        <v>316</v>
      </c>
      <c r="S964" s="125">
        <v>43719</v>
      </c>
      <c r="T964" s="117">
        <v>43866</v>
      </c>
      <c r="U964" s="43" t="s">
        <v>329</v>
      </c>
      <c r="V964" s="43" t="s">
        <v>317</v>
      </c>
      <c r="X964" s="43" t="s">
        <v>318</v>
      </c>
      <c r="Y964" s="43" t="s">
        <v>319</v>
      </c>
      <c r="Z964" s="43" t="s">
        <v>320</v>
      </c>
      <c r="AA964" s="43" t="s">
        <v>340</v>
      </c>
      <c r="AB964" s="144">
        <v>1.00000004749745E-3</v>
      </c>
      <c r="AF964" s="43" t="s">
        <v>75</v>
      </c>
      <c r="AG964" s="43" t="s">
        <v>322</v>
      </c>
      <c r="AJ964" s="140">
        <v>0</v>
      </c>
      <c r="AK964" s="140">
        <v>0</v>
      </c>
      <c r="AL964" s="140">
        <v>0</v>
      </c>
      <c r="AM964" s="140">
        <v>0</v>
      </c>
      <c r="AN964" s="140">
        <v>1</v>
      </c>
      <c r="AO964" s="140">
        <v>0</v>
      </c>
      <c r="AP964" s="140">
        <v>0</v>
      </c>
      <c r="AQ964" s="140">
        <v>0</v>
      </c>
      <c r="AR964" s="140">
        <v>0</v>
      </c>
      <c r="AS964" s="140">
        <v>0</v>
      </c>
      <c r="AT964" s="140">
        <v>0</v>
      </c>
      <c r="AU964" s="140">
        <v>1</v>
      </c>
      <c r="AV964" s="140">
        <v>0</v>
      </c>
      <c r="AW964" s="140">
        <v>0</v>
      </c>
      <c r="AX964" s="140">
        <v>0</v>
      </c>
      <c r="AY964" s="140">
        <v>0</v>
      </c>
      <c r="AZ964" s="140">
        <v>0</v>
      </c>
      <c r="BA964" s="140">
        <v>0</v>
      </c>
      <c r="BB964" s="140">
        <v>0</v>
      </c>
      <c r="BC964" s="140">
        <v>0</v>
      </c>
      <c r="BD964" s="140">
        <v>0</v>
      </c>
      <c r="BE964" s="140">
        <v>0</v>
      </c>
      <c r="BF964" s="140">
        <v>0</v>
      </c>
      <c r="BG964" s="140">
        <v>0</v>
      </c>
      <c r="BH964" s="140">
        <v>0</v>
      </c>
      <c r="BI964" s="140">
        <v>0</v>
      </c>
      <c r="BJ964" s="140">
        <v>0</v>
      </c>
      <c r="BK964" s="140">
        <v>0</v>
      </c>
      <c r="BL964" s="140">
        <v>0</v>
      </c>
      <c r="BM964" s="140">
        <v>0</v>
      </c>
      <c r="BN964" s="140">
        <v>0</v>
      </c>
      <c r="BO964" s="140">
        <v>0</v>
      </c>
      <c r="BP964" s="43" t="s">
        <v>141</v>
      </c>
      <c r="BQ964" s="89"/>
      <c r="BU964" s="89"/>
      <c r="BX964" s="43">
        <v>15</v>
      </c>
      <c r="BZ964" s="90">
        <f t="shared" si="134"/>
        <v>0.33333333333333331</v>
      </c>
      <c r="CA964" s="90">
        <f t="shared" si="134"/>
        <v>0.33333333333333331</v>
      </c>
      <c r="CB964" s="90">
        <f t="shared" si="134"/>
        <v>0.33333333333333331</v>
      </c>
      <c r="CT964" s="90">
        <f t="shared" si="135"/>
        <v>1</v>
      </c>
      <c r="CU964" s="90">
        <f t="shared" si="136"/>
        <v>1</v>
      </c>
    </row>
    <row r="965" spans="1:99" ht="12" customHeight="1">
      <c r="A965" s="43">
        <v>7252</v>
      </c>
      <c r="B965" s="89" t="s">
        <v>1515</v>
      </c>
      <c r="C965" s="89" t="s">
        <v>2644</v>
      </c>
      <c r="D965" s="89" t="s">
        <v>2645</v>
      </c>
      <c r="F965" s="43">
        <v>525925</v>
      </c>
      <c r="G965" s="43">
        <v>174394</v>
      </c>
      <c r="H965" s="89" t="s">
        <v>170</v>
      </c>
      <c r="K965" s="140">
        <v>0</v>
      </c>
      <c r="L965" s="140">
        <v>1</v>
      </c>
      <c r="M965" s="140">
        <v>1</v>
      </c>
      <c r="N965" s="140">
        <v>1</v>
      </c>
      <c r="O965" s="140">
        <v>1</v>
      </c>
      <c r="Q965" s="89" t="s">
        <v>2646</v>
      </c>
      <c r="R965" s="43" t="s">
        <v>316</v>
      </c>
      <c r="S965" s="125">
        <v>43726</v>
      </c>
      <c r="T965" s="117">
        <v>43810</v>
      </c>
      <c r="U965" s="43" t="s">
        <v>329</v>
      </c>
      <c r="V965" s="43" t="s">
        <v>317</v>
      </c>
      <c r="X965" s="43" t="s">
        <v>318</v>
      </c>
      <c r="Y965" s="43" t="s">
        <v>379</v>
      </c>
      <c r="Z965" s="43" t="s">
        <v>320</v>
      </c>
      <c r="AA965" s="43" t="s">
        <v>340</v>
      </c>
      <c r="AB965" s="144">
        <v>3.0000000260770299E-3</v>
      </c>
      <c r="AF965" s="43" t="s">
        <v>75</v>
      </c>
      <c r="AG965" s="43" t="s">
        <v>322</v>
      </c>
      <c r="AJ965" s="140">
        <v>0</v>
      </c>
      <c r="AK965" s="140">
        <v>0</v>
      </c>
      <c r="AL965" s="140">
        <v>0</v>
      </c>
      <c r="AM965" s="140">
        <v>0</v>
      </c>
      <c r="AN965" s="140">
        <v>0</v>
      </c>
      <c r="AO965" s="140">
        <v>0</v>
      </c>
      <c r="AP965" s="140">
        <v>1</v>
      </c>
      <c r="AQ965" s="140">
        <v>0</v>
      </c>
      <c r="AR965" s="140">
        <v>0</v>
      </c>
      <c r="AS965" s="140">
        <v>0</v>
      </c>
      <c r="AT965" s="140">
        <v>0</v>
      </c>
      <c r="AU965" s="140">
        <v>0</v>
      </c>
      <c r="AV965" s="140">
        <v>0</v>
      </c>
      <c r="AW965" s="140">
        <v>1</v>
      </c>
      <c r="AX965" s="140">
        <v>0</v>
      </c>
      <c r="AY965" s="140">
        <v>0</v>
      </c>
      <c r="AZ965" s="140">
        <v>0</v>
      </c>
      <c r="BA965" s="140">
        <v>0</v>
      </c>
      <c r="BB965" s="140">
        <v>0</v>
      </c>
      <c r="BC965" s="140">
        <v>0</v>
      </c>
      <c r="BD965" s="140">
        <v>0</v>
      </c>
      <c r="BE965" s="140">
        <v>0</v>
      </c>
      <c r="BF965" s="140">
        <v>0</v>
      </c>
      <c r="BG965" s="140">
        <v>0</v>
      </c>
      <c r="BH965" s="140">
        <v>0</v>
      </c>
      <c r="BI965" s="140">
        <v>0</v>
      </c>
      <c r="BJ965" s="140">
        <v>0</v>
      </c>
      <c r="BK965" s="140">
        <v>0</v>
      </c>
      <c r="BL965" s="140">
        <v>0</v>
      </c>
      <c r="BM965" s="140">
        <v>0</v>
      </c>
      <c r="BN965" s="140">
        <v>0</v>
      </c>
      <c r="BO965" s="140">
        <v>0</v>
      </c>
      <c r="BQ965" s="89"/>
      <c r="BU965" s="89"/>
      <c r="BX965" s="43">
        <v>15</v>
      </c>
      <c r="BZ965" s="90">
        <f t="shared" si="134"/>
        <v>0.33333333333333331</v>
      </c>
      <c r="CA965" s="90">
        <f t="shared" si="134"/>
        <v>0.33333333333333331</v>
      </c>
      <c r="CB965" s="90">
        <f t="shared" si="134"/>
        <v>0.33333333333333331</v>
      </c>
      <c r="CT965" s="90">
        <f t="shared" si="135"/>
        <v>1</v>
      </c>
      <c r="CU965" s="90">
        <f t="shared" si="136"/>
        <v>1</v>
      </c>
    </row>
    <row r="966" spans="1:99" ht="12" customHeight="1">
      <c r="A966" s="43">
        <v>7256</v>
      </c>
      <c r="B966" s="89" t="s">
        <v>1515</v>
      </c>
      <c r="C966" s="89" t="s">
        <v>2647</v>
      </c>
      <c r="D966" s="89" t="s">
        <v>2648</v>
      </c>
      <c r="F966" s="43">
        <v>526975</v>
      </c>
      <c r="G966" s="43">
        <v>175105</v>
      </c>
      <c r="H966" s="89" t="s">
        <v>170</v>
      </c>
      <c r="K966" s="140">
        <v>1</v>
      </c>
      <c r="L966" s="140">
        <v>2</v>
      </c>
      <c r="M966" s="140">
        <v>1</v>
      </c>
      <c r="N966" s="140">
        <v>3</v>
      </c>
      <c r="O966" s="140">
        <v>1</v>
      </c>
      <c r="Q966" s="89" t="s">
        <v>2649</v>
      </c>
      <c r="R966" s="43" t="s">
        <v>316</v>
      </c>
      <c r="S966" s="125">
        <v>43732</v>
      </c>
      <c r="T966" s="117">
        <v>43767</v>
      </c>
      <c r="U966" s="43" t="s">
        <v>329</v>
      </c>
      <c r="V966" s="43" t="s">
        <v>317</v>
      </c>
      <c r="X966" s="43" t="s">
        <v>318</v>
      </c>
      <c r="Y966" s="43" t="s">
        <v>319</v>
      </c>
      <c r="Z966" s="43" t="s">
        <v>320</v>
      </c>
      <c r="AA966" s="43" t="s">
        <v>20</v>
      </c>
      <c r="AB966" s="144">
        <v>8.9999996125698107E-3</v>
      </c>
      <c r="AF966" s="43" t="s">
        <v>75</v>
      </c>
      <c r="AG966" s="43" t="s">
        <v>322</v>
      </c>
      <c r="AJ966" s="140">
        <v>0</v>
      </c>
      <c r="AK966" s="140">
        <v>0</v>
      </c>
      <c r="AL966" s="140">
        <v>0</v>
      </c>
      <c r="AM966" s="140">
        <v>0</v>
      </c>
      <c r="AN966" s="140">
        <v>0</v>
      </c>
      <c r="AO966" s="140">
        <v>0</v>
      </c>
      <c r="AP966" s="140">
        <v>1</v>
      </c>
      <c r="AQ966" s="140">
        <v>1</v>
      </c>
      <c r="AR966" s="140">
        <v>0</v>
      </c>
      <c r="AS966" s="140">
        <v>-1</v>
      </c>
      <c r="AT966" s="140">
        <v>0</v>
      </c>
      <c r="AU966" s="140">
        <v>0</v>
      </c>
      <c r="AV966" s="140">
        <v>0</v>
      </c>
      <c r="AW966" s="140">
        <v>1</v>
      </c>
      <c r="AX966" s="140">
        <v>1</v>
      </c>
      <c r="AY966" s="140">
        <v>0</v>
      </c>
      <c r="AZ966" s="140">
        <v>0</v>
      </c>
      <c r="BA966" s="140">
        <v>0</v>
      </c>
      <c r="BB966" s="140">
        <v>0</v>
      </c>
      <c r="BC966" s="140">
        <v>0</v>
      </c>
      <c r="BD966" s="140">
        <v>0</v>
      </c>
      <c r="BE966" s="140">
        <v>0</v>
      </c>
      <c r="BF966" s="140">
        <v>0</v>
      </c>
      <c r="BG966" s="140">
        <v>-1</v>
      </c>
      <c r="BH966" s="140">
        <v>0</v>
      </c>
      <c r="BI966" s="140">
        <v>0</v>
      </c>
      <c r="BJ966" s="140">
        <v>0</v>
      </c>
      <c r="BK966" s="140">
        <v>0</v>
      </c>
      <c r="BL966" s="140">
        <v>0</v>
      </c>
      <c r="BM966" s="140">
        <v>0</v>
      </c>
      <c r="BN966" s="140">
        <v>0</v>
      </c>
      <c r="BO966" s="140">
        <v>0</v>
      </c>
      <c r="BQ966" s="89"/>
      <c r="BU966" s="89"/>
      <c r="BX966" s="43">
        <v>15</v>
      </c>
      <c r="BZ966" s="90">
        <f t="shared" si="134"/>
        <v>0.33333333333333331</v>
      </c>
      <c r="CA966" s="90">
        <f t="shared" si="134"/>
        <v>0.33333333333333331</v>
      </c>
      <c r="CB966" s="90">
        <f t="shared" si="134"/>
        <v>0.33333333333333331</v>
      </c>
      <c r="CT966" s="90">
        <f t="shared" si="135"/>
        <v>1</v>
      </c>
      <c r="CU966" s="90">
        <f t="shared" si="136"/>
        <v>1</v>
      </c>
    </row>
    <row r="967" spans="1:99" ht="12" customHeight="1">
      <c r="A967" s="43">
        <v>7256</v>
      </c>
      <c r="B967" s="89" t="s">
        <v>1515</v>
      </c>
      <c r="C967" s="89" t="s">
        <v>2647</v>
      </c>
      <c r="D967" s="89" t="s">
        <v>2648</v>
      </c>
      <c r="F967" s="43">
        <v>526975</v>
      </c>
      <c r="G967" s="43">
        <v>175105</v>
      </c>
      <c r="H967" s="89" t="s">
        <v>170</v>
      </c>
      <c r="K967" s="140">
        <v>1</v>
      </c>
      <c r="L967" s="140">
        <v>1</v>
      </c>
      <c r="M967" s="140">
        <v>0</v>
      </c>
      <c r="N967" s="140">
        <v>3</v>
      </c>
      <c r="O967" s="140">
        <v>1</v>
      </c>
      <c r="Q967" s="89" t="s">
        <v>2649</v>
      </c>
      <c r="R967" s="43" t="s">
        <v>316</v>
      </c>
      <c r="S967" s="125">
        <v>43732</v>
      </c>
      <c r="T967" s="117">
        <v>43767</v>
      </c>
      <c r="U967" s="43" t="s">
        <v>329</v>
      </c>
      <c r="V967" s="43" t="s">
        <v>317</v>
      </c>
      <c r="X967" s="43" t="s">
        <v>318</v>
      </c>
      <c r="Y967" s="43" t="s">
        <v>319</v>
      </c>
      <c r="Z967" s="43" t="s">
        <v>320</v>
      </c>
      <c r="AA967" s="43" t="s">
        <v>340</v>
      </c>
      <c r="AB967" s="144">
        <v>2.0000000949949E-3</v>
      </c>
      <c r="AF967" s="43" t="s">
        <v>75</v>
      </c>
      <c r="AG967" s="43" t="s">
        <v>322</v>
      </c>
      <c r="AJ967" s="140">
        <v>0</v>
      </c>
      <c r="AK967" s="140">
        <v>0</v>
      </c>
      <c r="AL967" s="140">
        <v>0</v>
      </c>
      <c r="AM967" s="140">
        <v>0</v>
      </c>
      <c r="AN967" s="140">
        <v>0</v>
      </c>
      <c r="AO967" s="140">
        <v>1</v>
      </c>
      <c r="AP967" s="140">
        <v>0</v>
      </c>
      <c r="AQ967" s="140">
        <v>0</v>
      </c>
      <c r="AR967" s="140">
        <v>0</v>
      </c>
      <c r="AS967" s="140">
        <v>-1</v>
      </c>
      <c r="AT967" s="140">
        <v>0</v>
      </c>
      <c r="AU967" s="140">
        <v>0</v>
      </c>
      <c r="AV967" s="140">
        <v>1</v>
      </c>
      <c r="AW967" s="140">
        <v>0</v>
      </c>
      <c r="AX967" s="140">
        <v>0</v>
      </c>
      <c r="AY967" s="140">
        <v>0</v>
      </c>
      <c r="AZ967" s="140">
        <v>0</v>
      </c>
      <c r="BA967" s="140">
        <v>0</v>
      </c>
      <c r="BB967" s="140">
        <v>0</v>
      </c>
      <c r="BC967" s="140">
        <v>0</v>
      </c>
      <c r="BD967" s="140">
        <v>0</v>
      </c>
      <c r="BE967" s="140">
        <v>0</v>
      </c>
      <c r="BF967" s="140">
        <v>0</v>
      </c>
      <c r="BG967" s="140">
        <v>-1</v>
      </c>
      <c r="BH967" s="140">
        <v>0</v>
      </c>
      <c r="BI967" s="140">
        <v>0</v>
      </c>
      <c r="BJ967" s="140">
        <v>0</v>
      </c>
      <c r="BK967" s="140">
        <v>0</v>
      </c>
      <c r="BL967" s="140">
        <v>0</v>
      </c>
      <c r="BM967" s="140">
        <v>0</v>
      </c>
      <c r="BN967" s="140">
        <v>0</v>
      </c>
      <c r="BO967" s="140">
        <v>0</v>
      </c>
      <c r="BQ967" s="89"/>
      <c r="BU967" s="89"/>
      <c r="BX967" s="43">
        <v>15</v>
      </c>
      <c r="BZ967" s="90">
        <f t="shared" si="134"/>
        <v>0</v>
      </c>
      <c r="CA967" s="90">
        <f t="shared" si="134"/>
        <v>0</v>
      </c>
      <c r="CB967" s="90">
        <f t="shared" si="134"/>
        <v>0</v>
      </c>
      <c r="CT967" s="90">
        <f t="shared" si="135"/>
        <v>0</v>
      </c>
      <c r="CU967" s="90">
        <f t="shared" si="136"/>
        <v>0</v>
      </c>
    </row>
    <row r="968" spans="1:99" ht="12" customHeight="1">
      <c r="A968" s="43">
        <v>7258</v>
      </c>
      <c r="B968" s="89" t="s">
        <v>1515</v>
      </c>
      <c r="C968" s="89" t="s">
        <v>2650</v>
      </c>
      <c r="D968" s="89" t="s">
        <v>2651</v>
      </c>
      <c r="F968" s="43">
        <v>527490</v>
      </c>
      <c r="G968" s="43">
        <v>174270</v>
      </c>
      <c r="H968" s="89" t="s">
        <v>174</v>
      </c>
      <c r="K968" s="140">
        <v>2</v>
      </c>
      <c r="L968" s="140">
        <v>1</v>
      </c>
      <c r="M968" s="140">
        <v>-1</v>
      </c>
      <c r="N968" s="140">
        <v>1</v>
      </c>
      <c r="O968" s="140">
        <v>-1</v>
      </c>
      <c r="Q968" s="89" t="s">
        <v>2652</v>
      </c>
      <c r="R968" s="43" t="s">
        <v>316</v>
      </c>
      <c r="S968" s="125">
        <v>43734</v>
      </c>
      <c r="T968" s="117">
        <v>43787</v>
      </c>
      <c r="U968" s="43" t="s">
        <v>329</v>
      </c>
      <c r="V968" s="43" t="s">
        <v>317</v>
      </c>
      <c r="X968" s="43" t="s">
        <v>318</v>
      </c>
      <c r="Y968" s="43" t="s">
        <v>319</v>
      </c>
      <c r="Z968" s="43" t="s">
        <v>320</v>
      </c>
      <c r="AA968" s="43" t="s">
        <v>321</v>
      </c>
      <c r="AB968" s="144">
        <v>1.30000002682209E-2</v>
      </c>
      <c r="AF968" s="43" t="s">
        <v>75</v>
      </c>
      <c r="AG968" s="43" t="s">
        <v>322</v>
      </c>
      <c r="AJ968" s="140">
        <v>0</v>
      </c>
      <c r="AK968" s="140">
        <v>0</v>
      </c>
      <c r="AL968" s="140">
        <v>0</v>
      </c>
      <c r="AM968" s="140">
        <v>0</v>
      </c>
      <c r="AN968" s="140">
        <v>0</v>
      </c>
      <c r="AO968" s="140">
        <v>-2</v>
      </c>
      <c r="AP968" s="140">
        <v>0</v>
      </c>
      <c r="AQ968" s="140">
        <v>0</v>
      </c>
      <c r="AR968" s="140">
        <v>1</v>
      </c>
      <c r="AS968" s="140">
        <v>0</v>
      </c>
      <c r="AT968" s="140">
        <v>0</v>
      </c>
      <c r="AU968" s="140">
        <v>0</v>
      </c>
      <c r="AV968" s="140">
        <v>-2</v>
      </c>
      <c r="AW968" s="140">
        <v>0</v>
      </c>
      <c r="AX968" s="140">
        <v>0</v>
      </c>
      <c r="AY968" s="140">
        <v>1</v>
      </c>
      <c r="AZ968" s="140">
        <v>0</v>
      </c>
      <c r="BA968" s="140">
        <v>0</v>
      </c>
      <c r="BB968" s="140">
        <v>0</v>
      </c>
      <c r="BC968" s="140">
        <v>0</v>
      </c>
      <c r="BD968" s="140">
        <v>0</v>
      </c>
      <c r="BE968" s="140">
        <v>0</v>
      </c>
      <c r="BF968" s="140">
        <v>0</v>
      </c>
      <c r="BG968" s="140">
        <v>0</v>
      </c>
      <c r="BH968" s="140">
        <v>0</v>
      </c>
      <c r="BI968" s="140">
        <v>0</v>
      </c>
      <c r="BJ968" s="140">
        <v>0</v>
      </c>
      <c r="BK968" s="140">
        <v>0</v>
      </c>
      <c r="BL968" s="140">
        <v>0</v>
      </c>
      <c r="BM968" s="140">
        <v>0</v>
      </c>
      <c r="BN968" s="140">
        <v>0</v>
      </c>
      <c r="BO968" s="140">
        <v>0</v>
      </c>
      <c r="BQ968" s="89"/>
      <c r="BU968" s="89"/>
      <c r="BX968" s="43">
        <v>15</v>
      </c>
      <c r="BZ968" s="90">
        <f t="shared" si="134"/>
        <v>-0.33333333333333331</v>
      </c>
      <c r="CA968" s="90">
        <f t="shared" si="134"/>
        <v>-0.33333333333333331</v>
      </c>
      <c r="CB968" s="90">
        <f t="shared" si="134"/>
        <v>-0.33333333333333331</v>
      </c>
      <c r="CT968" s="90">
        <f t="shared" si="135"/>
        <v>-1</v>
      </c>
      <c r="CU968" s="90">
        <f t="shared" si="136"/>
        <v>-1</v>
      </c>
    </row>
    <row r="969" spans="1:99" ht="12" customHeight="1">
      <c r="A969" s="43">
        <v>7266</v>
      </c>
      <c r="B969" s="89" t="s">
        <v>1515</v>
      </c>
      <c r="C969" s="89" t="s">
        <v>2653</v>
      </c>
      <c r="D969" s="89" t="s">
        <v>2654</v>
      </c>
      <c r="F969" s="43">
        <v>527567</v>
      </c>
      <c r="G969" s="43">
        <v>176185</v>
      </c>
      <c r="H969" s="89" t="s">
        <v>147</v>
      </c>
      <c r="K969" s="140">
        <v>1</v>
      </c>
      <c r="L969" s="140">
        <v>2</v>
      </c>
      <c r="M969" s="140">
        <v>1</v>
      </c>
      <c r="N969" s="140">
        <v>3</v>
      </c>
      <c r="O969" s="140">
        <v>2</v>
      </c>
      <c r="Q969" s="89" t="s">
        <v>2655</v>
      </c>
      <c r="R969" s="43" t="s">
        <v>316</v>
      </c>
      <c r="S969" s="125">
        <v>43742</v>
      </c>
      <c r="T969" s="117">
        <v>43837</v>
      </c>
      <c r="U969" s="43" t="s">
        <v>329</v>
      </c>
      <c r="V969" s="43" t="s">
        <v>317</v>
      </c>
      <c r="X969" s="43" t="s">
        <v>318</v>
      </c>
      <c r="Y969" s="43" t="s">
        <v>319</v>
      </c>
      <c r="Z969" s="43" t="s">
        <v>320</v>
      </c>
      <c r="AA969" s="43" t="s">
        <v>20</v>
      </c>
      <c r="AB969" s="144">
        <v>1.4000000432133701E-2</v>
      </c>
      <c r="AF969" s="43" t="s">
        <v>75</v>
      </c>
      <c r="AG969" s="43" t="s">
        <v>322</v>
      </c>
      <c r="AJ969" s="140">
        <v>0</v>
      </c>
      <c r="AK969" s="140">
        <v>0</v>
      </c>
      <c r="AL969" s="140">
        <v>0</v>
      </c>
      <c r="AM969" s="140">
        <v>0</v>
      </c>
      <c r="AN969" s="140">
        <v>0</v>
      </c>
      <c r="AO969" s="140">
        <v>0</v>
      </c>
      <c r="AP969" s="140">
        <v>1</v>
      </c>
      <c r="AQ969" s="140">
        <v>0</v>
      </c>
      <c r="AR969" s="140">
        <v>0</v>
      </c>
      <c r="AS969" s="140">
        <v>0</v>
      </c>
      <c r="AT969" s="140">
        <v>0</v>
      </c>
      <c r="AU969" s="140">
        <v>0</v>
      </c>
      <c r="AV969" s="140">
        <v>0</v>
      </c>
      <c r="AW969" s="140">
        <v>1</v>
      </c>
      <c r="AX969" s="140">
        <v>1</v>
      </c>
      <c r="AY969" s="140">
        <v>0</v>
      </c>
      <c r="AZ969" s="140">
        <v>0</v>
      </c>
      <c r="BA969" s="140">
        <v>0</v>
      </c>
      <c r="BB969" s="140">
        <v>0</v>
      </c>
      <c r="BC969" s="140">
        <v>0</v>
      </c>
      <c r="BD969" s="140">
        <v>0</v>
      </c>
      <c r="BE969" s="140">
        <v>-1</v>
      </c>
      <c r="BF969" s="140">
        <v>0</v>
      </c>
      <c r="BG969" s="140">
        <v>0</v>
      </c>
      <c r="BH969" s="140">
        <v>0</v>
      </c>
      <c r="BI969" s="140">
        <v>0</v>
      </c>
      <c r="BJ969" s="140">
        <v>0</v>
      </c>
      <c r="BK969" s="140">
        <v>0</v>
      </c>
      <c r="BL969" s="140">
        <v>0</v>
      </c>
      <c r="BM969" s="140">
        <v>0</v>
      </c>
      <c r="BN969" s="140">
        <v>0</v>
      </c>
      <c r="BO969" s="140">
        <v>0</v>
      </c>
      <c r="BQ969" s="89"/>
      <c r="BU969" s="89"/>
      <c r="BX969" s="43">
        <v>15</v>
      </c>
      <c r="BZ969" s="90">
        <f t="shared" si="134"/>
        <v>0.33333333333333331</v>
      </c>
      <c r="CA969" s="90">
        <f t="shared" si="134"/>
        <v>0.33333333333333331</v>
      </c>
      <c r="CB969" s="90">
        <f t="shared" si="134"/>
        <v>0.33333333333333331</v>
      </c>
      <c r="CT969" s="90">
        <f t="shared" si="135"/>
        <v>1</v>
      </c>
      <c r="CU969" s="90">
        <f t="shared" si="136"/>
        <v>1</v>
      </c>
    </row>
    <row r="970" spans="1:99" ht="12" customHeight="1">
      <c r="A970" s="43">
        <v>7266</v>
      </c>
      <c r="B970" s="89" t="s">
        <v>1515</v>
      </c>
      <c r="C970" s="89" t="s">
        <v>2653</v>
      </c>
      <c r="D970" s="89" t="s">
        <v>2654</v>
      </c>
      <c r="F970" s="43">
        <v>527567</v>
      </c>
      <c r="G970" s="43">
        <v>176185</v>
      </c>
      <c r="H970" s="89" t="s">
        <v>147</v>
      </c>
      <c r="K970" s="140">
        <v>0</v>
      </c>
      <c r="L970" s="140">
        <v>1</v>
      </c>
      <c r="M970" s="140">
        <v>1</v>
      </c>
      <c r="N970" s="140">
        <v>3</v>
      </c>
      <c r="O970" s="140">
        <v>2</v>
      </c>
      <c r="Q970" s="89" t="s">
        <v>2655</v>
      </c>
      <c r="R970" s="43" t="s">
        <v>316</v>
      </c>
      <c r="S970" s="125">
        <v>43742</v>
      </c>
      <c r="T970" s="117">
        <v>43837</v>
      </c>
      <c r="U970" s="43" t="s">
        <v>329</v>
      </c>
      <c r="V970" s="43" t="s">
        <v>317</v>
      </c>
      <c r="X970" s="43" t="s">
        <v>318</v>
      </c>
      <c r="Y970" s="43" t="s">
        <v>319</v>
      </c>
      <c r="Z970" s="43" t="s">
        <v>320</v>
      </c>
      <c r="AA970" s="43" t="s">
        <v>340</v>
      </c>
      <c r="AB970" s="144">
        <v>8.0000003799796104E-3</v>
      </c>
      <c r="AF970" s="43" t="s">
        <v>75</v>
      </c>
      <c r="AG970" s="43" t="s">
        <v>322</v>
      </c>
      <c r="AJ970" s="140">
        <v>0</v>
      </c>
      <c r="AK970" s="140">
        <v>0</v>
      </c>
      <c r="AL970" s="140">
        <v>0</v>
      </c>
      <c r="AM970" s="140">
        <v>0</v>
      </c>
      <c r="AN970" s="140">
        <v>0</v>
      </c>
      <c r="AO970" s="140">
        <v>0</v>
      </c>
      <c r="AP970" s="140">
        <v>0</v>
      </c>
      <c r="AQ970" s="140">
        <v>1</v>
      </c>
      <c r="AR970" s="140">
        <v>0</v>
      </c>
      <c r="AS970" s="140">
        <v>0</v>
      </c>
      <c r="AT970" s="140">
        <v>0</v>
      </c>
      <c r="AU970" s="140">
        <v>0</v>
      </c>
      <c r="AV970" s="140">
        <v>0</v>
      </c>
      <c r="AW970" s="140">
        <v>0</v>
      </c>
      <c r="AX970" s="140">
        <v>1</v>
      </c>
      <c r="AY970" s="140">
        <v>0</v>
      </c>
      <c r="AZ970" s="140">
        <v>0</v>
      </c>
      <c r="BA970" s="140">
        <v>0</v>
      </c>
      <c r="BB970" s="140">
        <v>0</v>
      </c>
      <c r="BC970" s="140">
        <v>0</v>
      </c>
      <c r="BD970" s="140">
        <v>0</v>
      </c>
      <c r="BE970" s="140">
        <v>0</v>
      </c>
      <c r="BF970" s="140">
        <v>0</v>
      </c>
      <c r="BG970" s="140">
        <v>0</v>
      </c>
      <c r="BH970" s="140">
        <v>0</v>
      </c>
      <c r="BI970" s="140">
        <v>0</v>
      </c>
      <c r="BJ970" s="140">
        <v>0</v>
      </c>
      <c r="BK970" s="140">
        <v>0</v>
      </c>
      <c r="BL970" s="140">
        <v>0</v>
      </c>
      <c r="BM970" s="140">
        <v>0</v>
      </c>
      <c r="BN970" s="140">
        <v>0</v>
      </c>
      <c r="BO970" s="140">
        <v>0</v>
      </c>
      <c r="BQ970" s="89"/>
      <c r="BU970" s="89"/>
      <c r="BX970" s="43">
        <v>15</v>
      </c>
      <c r="BZ970" s="90">
        <f t="shared" si="134"/>
        <v>0.33333333333333331</v>
      </c>
      <c r="CA970" s="90">
        <f t="shared" si="134"/>
        <v>0.33333333333333331</v>
      </c>
      <c r="CB970" s="90">
        <f t="shared" si="134"/>
        <v>0.33333333333333331</v>
      </c>
      <c r="CT970" s="90">
        <f t="shared" si="135"/>
        <v>1</v>
      </c>
      <c r="CU970" s="90">
        <f t="shared" si="136"/>
        <v>1</v>
      </c>
    </row>
    <row r="971" spans="1:99" ht="12" customHeight="1">
      <c r="A971" s="43">
        <v>7268</v>
      </c>
      <c r="B971" s="89" t="s">
        <v>1515</v>
      </c>
      <c r="C971" s="89" t="s">
        <v>2656</v>
      </c>
      <c r="D971" s="89" t="s">
        <v>2657</v>
      </c>
      <c r="F971" s="43">
        <v>523988</v>
      </c>
      <c r="G971" s="43">
        <v>175246</v>
      </c>
      <c r="H971" s="89" t="s">
        <v>178</v>
      </c>
      <c r="K971" s="140">
        <v>1</v>
      </c>
      <c r="L971" s="140">
        <v>3</v>
      </c>
      <c r="M971" s="140">
        <v>2</v>
      </c>
      <c r="N971" s="140">
        <v>3</v>
      </c>
      <c r="O971" s="140">
        <v>2</v>
      </c>
      <c r="Q971" s="89" t="s">
        <v>2658</v>
      </c>
      <c r="R971" s="43" t="s">
        <v>316</v>
      </c>
      <c r="S971" s="125">
        <v>43755</v>
      </c>
      <c r="T971" s="117">
        <v>43804</v>
      </c>
      <c r="U971" s="43" t="s">
        <v>329</v>
      </c>
      <c r="V971" s="43" t="s">
        <v>317</v>
      </c>
      <c r="X971" s="43" t="s">
        <v>318</v>
      </c>
      <c r="Y971" s="43" t="s">
        <v>319</v>
      </c>
      <c r="Z971" s="43" t="s">
        <v>320</v>
      </c>
      <c r="AA971" s="43" t="s">
        <v>321</v>
      </c>
      <c r="AB971" s="144">
        <v>1.09999999403954E-2</v>
      </c>
      <c r="AF971" s="43" t="s">
        <v>75</v>
      </c>
      <c r="AG971" s="43" t="s">
        <v>322</v>
      </c>
      <c r="AJ971" s="140">
        <v>0</v>
      </c>
      <c r="AK971" s="140">
        <v>0</v>
      </c>
      <c r="AL971" s="140">
        <v>0</v>
      </c>
      <c r="AM971" s="140">
        <v>0</v>
      </c>
      <c r="AN971" s="140">
        <v>0</v>
      </c>
      <c r="AO971" s="140">
        <v>3</v>
      </c>
      <c r="AP971" s="140">
        <v>0</v>
      </c>
      <c r="AQ971" s="140">
        <v>0</v>
      </c>
      <c r="AR971" s="140">
        <v>-1</v>
      </c>
      <c r="AS971" s="140">
        <v>0</v>
      </c>
      <c r="AT971" s="140">
        <v>0</v>
      </c>
      <c r="AU971" s="140">
        <v>0</v>
      </c>
      <c r="AV971" s="140">
        <v>3</v>
      </c>
      <c r="AW971" s="140">
        <v>0</v>
      </c>
      <c r="AX971" s="140">
        <v>0</v>
      </c>
      <c r="AY971" s="140">
        <v>-1</v>
      </c>
      <c r="AZ971" s="140">
        <v>0</v>
      </c>
      <c r="BA971" s="140">
        <v>0</v>
      </c>
      <c r="BB971" s="140">
        <v>0</v>
      </c>
      <c r="BC971" s="140">
        <v>0</v>
      </c>
      <c r="BD971" s="140">
        <v>0</v>
      </c>
      <c r="BE971" s="140">
        <v>0</v>
      </c>
      <c r="BF971" s="140">
        <v>0</v>
      </c>
      <c r="BG971" s="140">
        <v>0</v>
      </c>
      <c r="BH971" s="140">
        <v>0</v>
      </c>
      <c r="BI971" s="140">
        <v>0</v>
      </c>
      <c r="BJ971" s="140">
        <v>0</v>
      </c>
      <c r="BK971" s="140">
        <v>0</v>
      </c>
      <c r="BL971" s="140">
        <v>0</v>
      </c>
      <c r="BM971" s="140">
        <v>0</v>
      </c>
      <c r="BN971" s="140">
        <v>0</v>
      </c>
      <c r="BO971" s="140">
        <v>0</v>
      </c>
      <c r="BP971" s="43" t="s">
        <v>140</v>
      </c>
      <c r="BQ971" s="89"/>
      <c r="BU971" s="89"/>
      <c r="BX971" s="43">
        <v>15</v>
      </c>
      <c r="BZ971" s="90">
        <f t="shared" si="134"/>
        <v>0.66666666666666663</v>
      </c>
      <c r="CA971" s="90">
        <f t="shared" si="134"/>
        <v>0.66666666666666663</v>
      </c>
      <c r="CB971" s="90">
        <f t="shared" si="134"/>
        <v>0.66666666666666663</v>
      </c>
      <c r="CT971" s="90">
        <f t="shared" si="135"/>
        <v>2</v>
      </c>
      <c r="CU971" s="90">
        <f t="shared" si="136"/>
        <v>2</v>
      </c>
    </row>
    <row r="972" spans="1:99" ht="12" customHeight="1">
      <c r="A972" s="43">
        <v>7272</v>
      </c>
      <c r="B972" s="89" t="s">
        <v>1515</v>
      </c>
      <c r="C972" s="89" t="s">
        <v>2659</v>
      </c>
      <c r="D972" s="89" t="s">
        <v>2660</v>
      </c>
      <c r="F972" s="43">
        <v>528165</v>
      </c>
      <c r="G972" s="43">
        <v>172146</v>
      </c>
      <c r="H972" s="89" t="s">
        <v>167</v>
      </c>
      <c r="K972" s="140">
        <v>0</v>
      </c>
      <c r="L972" s="140">
        <v>1</v>
      </c>
      <c r="M972" s="140">
        <v>1</v>
      </c>
      <c r="N972" s="140">
        <v>1</v>
      </c>
      <c r="O972" s="140">
        <v>1</v>
      </c>
      <c r="Q972" s="89" t="s">
        <v>2661</v>
      </c>
      <c r="R972" s="43" t="s">
        <v>316</v>
      </c>
      <c r="S972" s="125">
        <v>43761</v>
      </c>
      <c r="T972" s="117">
        <v>43802</v>
      </c>
      <c r="U972" s="43" t="s">
        <v>329</v>
      </c>
      <c r="V972" s="43" t="s">
        <v>317</v>
      </c>
      <c r="X972" s="43" t="s">
        <v>318</v>
      </c>
      <c r="Y972" s="43" t="s">
        <v>379</v>
      </c>
      <c r="Z972" s="43" t="s">
        <v>320</v>
      </c>
      <c r="AA972" s="43" t="s">
        <v>340</v>
      </c>
      <c r="AB972" s="144">
        <v>4.0000001899898104E-3</v>
      </c>
      <c r="AF972" s="43" t="s">
        <v>75</v>
      </c>
      <c r="AG972" s="43" t="s">
        <v>322</v>
      </c>
      <c r="AJ972" s="140">
        <v>0</v>
      </c>
      <c r="AK972" s="140">
        <v>0</v>
      </c>
      <c r="AL972" s="140">
        <v>0</v>
      </c>
      <c r="AM972" s="140">
        <v>0</v>
      </c>
      <c r="AN972" s="140">
        <v>0</v>
      </c>
      <c r="AO972" s="140">
        <v>1</v>
      </c>
      <c r="AP972" s="140">
        <v>0</v>
      </c>
      <c r="AQ972" s="140">
        <v>0</v>
      </c>
      <c r="AR972" s="140">
        <v>0</v>
      </c>
      <c r="AS972" s="140">
        <v>0</v>
      </c>
      <c r="AT972" s="140">
        <v>0</v>
      </c>
      <c r="AU972" s="140">
        <v>0</v>
      </c>
      <c r="AV972" s="140">
        <v>1</v>
      </c>
      <c r="AW972" s="140">
        <v>0</v>
      </c>
      <c r="AX972" s="140">
        <v>0</v>
      </c>
      <c r="AY972" s="140">
        <v>0</v>
      </c>
      <c r="AZ972" s="140">
        <v>0</v>
      </c>
      <c r="BA972" s="140">
        <v>0</v>
      </c>
      <c r="BB972" s="140">
        <v>0</v>
      </c>
      <c r="BC972" s="140">
        <v>0</v>
      </c>
      <c r="BD972" s="140">
        <v>0</v>
      </c>
      <c r="BE972" s="140">
        <v>0</v>
      </c>
      <c r="BF972" s="140">
        <v>0</v>
      </c>
      <c r="BG972" s="140">
        <v>0</v>
      </c>
      <c r="BH972" s="140">
        <v>0</v>
      </c>
      <c r="BI972" s="140">
        <v>0</v>
      </c>
      <c r="BJ972" s="140">
        <v>0</v>
      </c>
      <c r="BK972" s="140">
        <v>0</v>
      </c>
      <c r="BL972" s="140">
        <v>0</v>
      </c>
      <c r="BM972" s="140">
        <v>0</v>
      </c>
      <c r="BN972" s="140">
        <v>0</v>
      </c>
      <c r="BO972" s="140">
        <v>0</v>
      </c>
      <c r="BQ972" s="89"/>
      <c r="BU972" s="89"/>
      <c r="BX972" s="43">
        <v>15</v>
      </c>
      <c r="BZ972" s="90">
        <f t="shared" si="134"/>
        <v>0.33333333333333331</v>
      </c>
      <c r="CA972" s="90">
        <f t="shared" si="134"/>
        <v>0.33333333333333331</v>
      </c>
      <c r="CB972" s="90">
        <f t="shared" si="134"/>
        <v>0.33333333333333331</v>
      </c>
      <c r="CT972" s="90">
        <f t="shared" si="135"/>
        <v>1</v>
      </c>
      <c r="CU972" s="90">
        <f t="shared" si="136"/>
        <v>1</v>
      </c>
    </row>
    <row r="973" spans="1:99" ht="12" customHeight="1">
      <c r="A973" s="43">
        <v>7273</v>
      </c>
      <c r="B973" s="89" t="s">
        <v>1515</v>
      </c>
      <c r="C973" s="89" t="s">
        <v>2662</v>
      </c>
      <c r="D973" s="89" t="s">
        <v>2663</v>
      </c>
      <c r="F973" s="43">
        <v>525942</v>
      </c>
      <c r="G973" s="43">
        <v>173479</v>
      </c>
      <c r="H973" s="89" t="s">
        <v>168</v>
      </c>
      <c r="K973" s="140">
        <v>1</v>
      </c>
      <c r="L973" s="140">
        <v>2</v>
      </c>
      <c r="M973" s="140">
        <v>1</v>
      </c>
      <c r="N973" s="140">
        <v>2</v>
      </c>
      <c r="O973" s="140">
        <v>1</v>
      </c>
      <c r="Q973" s="89" t="s">
        <v>2664</v>
      </c>
      <c r="R973" s="43" t="s">
        <v>316</v>
      </c>
      <c r="S973" s="125">
        <v>43762</v>
      </c>
      <c r="T973" s="117">
        <v>43809</v>
      </c>
      <c r="U973" s="43" t="s">
        <v>329</v>
      </c>
      <c r="V973" s="43" t="s">
        <v>317</v>
      </c>
      <c r="X973" s="43" t="s">
        <v>318</v>
      </c>
      <c r="Y973" s="43" t="s">
        <v>348</v>
      </c>
      <c r="Z973" s="43" t="s">
        <v>320</v>
      </c>
      <c r="AA973" s="43" t="s">
        <v>321</v>
      </c>
      <c r="AB973" s="144">
        <v>7.0000002160668399E-3</v>
      </c>
      <c r="AF973" s="43" t="s">
        <v>75</v>
      </c>
      <c r="AG973" s="43" t="s">
        <v>322</v>
      </c>
      <c r="AJ973" s="140">
        <v>0</v>
      </c>
      <c r="AK973" s="140">
        <v>0</v>
      </c>
      <c r="AL973" s="140">
        <v>0</v>
      </c>
      <c r="AM973" s="140">
        <v>0</v>
      </c>
      <c r="AN973" s="140">
        <v>0</v>
      </c>
      <c r="AO973" s="140">
        <v>2</v>
      </c>
      <c r="AP973" s="140">
        <v>-1</v>
      </c>
      <c r="AQ973" s="140">
        <v>0</v>
      </c>
      <c r="AR973" s="140">
        <v>0</v>
      </c>
      <c r="AS973" s="140">
        <v>0</v>
      </c>
      <c r="AT973" s="140">
        <v>0</v>
      </c>
      <c r="AU973" s="140">
        <v>0</v>
      </c>
      <c r="AV973" s="140">
        <v>2</v>
      </c>
      <c r="AW973" s="140">
        <v>-1</v>
      </c>
      <c r="AX973" s="140">
        <v>0</v>
      </c>
      <c r="AY973" s="140">
        <v>0</v>
      </c>
      <c r="AZ973" s="140">
        <v>0</v>
      </c>
      <c r="BA973" s="140">
        <v>0</v>
      </c>
      <c r="BB973" s="140">
        <v>0</v>
      </c>
      <c r="BC973" s="140">
        <v>0</v>
      </c>
      <c r="BD973" s="140">
        <v>0</v>
      </c>
      <c r="BE973" s="140">
        <v>0</v>
      </c>
      <c r="BF973" s="140">
        <v>0</v>
      </c>
      <c r="BG973" s="140">
        <v>0</v>
      </c>
      <c r="BH973" s="140">
        <v>0</v>
      </c>
      <c r="BI973" s="140">
        <v>0</v>
      </c>
      <c r="BJ973" s="140">
        <v>0</v>
      </c>
      <c r="BK973" s="140">
        <v>0</v>
      </c>
      <c r="BL973" s="140">
        <v>0</v>
      </c>
      <c r="BM973" s="140">
        <v>0</v>
      </c>
      <c r="BN973" s="140">
        <v>0</v>
      </c>
      <c r="BO973" s="140">
        <v>0</v>
      </c>
      <c r="BQ973" s="89"/>
      <c r="BU973" s="89"/>
      <c r="BX973" s="43">
        <v>15</v>
      </c>
      <c r="BZ973" s="90">
        <f t="shared" si="134"/>
        <v>0.33333333333333331</v>
      </c>
      <c r="CA973" s="90">
        <f t="shared" si="134"/>
        <v>0.33333333333333331</v>
      </c>
      <c r="CB973" s="90">
        <f t="shared" si="134"/>
        <v>0.33333333333333331</v>
      </c>
      <c r="CT973" s="90">
        <f t="shared" si="135"/>
        <v>1</v>
      </c>
      <c r="CU973" s="90">
        <f t="shared" si="136"/>
        <v>1</v>
      </c>
    </row>
    <row r="974" spans="1:99" ht="12" customHeight="1">
      <c r="A974" s="43">
        <v>7277</v>
      </c>
      <c r="B974" s="89" t="s">
        <v>1515</v>
      </c>
      <c r="C974" s="89" t="s">
        <v>2665</v>
      </c>
      <c r="D974" s="89" t="s">
        <v>2666</v>
      </c>
      <c r="F974" s="43">
        <v>527057</v>
      </c>
      <c r="G974" s="43">
        <v>176162</v>
      </c>
      <c r="H974" s="89" t="s">
        <v>177</v>
      </c>
      <c r="K974" s="140">
        <v>0</v>
      </c>
      <c r="L974" s="140">
        <v>1</v>
      </c>
      <c r="M974" s="140">
        <v>1</v>
      </c>
      <c r="N974" s="140">
        <v>1</v>
      </c>
      <c r="O974" s="140">
        <v>1</v>
      </c>
      <c r="Q974" s="89" t="s">
        <v>2667</v>
      </c>
      <c r="R974" s="43" t="s">
        <v>316</v>
      </c>
      <c r="S974" s="125">
        <v>43761</v>
      </c>
      <c r="T974" s="117">
        <v>43792</v>
      </c>
      <c r="U974" s="43" t="s">
        <v>329</v>
      </c>
      <c r="V974" s="43" t="s">
        <v>317</v>
      </c>
      <c r="X974" s="43" t="s">
        <v>318</v>
      </c>
      <c r="Y974" s="43" t="s">
        <v>379</v>
      </c>
      <c r="Z974" s="43" t="s">
        <v>320</v>
      </c>
      <c r="AA974" s="43" t="s">
        <v>340</v>
      </c>
      <c r="AB974" s="144">
        <v>3.0000000260770299E-3</v>
      </c>
      <c r="AF974" s="43" t="s">
        <v>75</v>
      </c>
      <c r="AG974" s="43" t="s">
        <v>322</v>
      </c>
      <c r="AJ974" s="140">
        <v>0</v>
      </c>
      <c r="AK974" s="140">
        <v>0</v>
      </c>
      <c r="AL974" s="140">
        <v>0</v>
      </c>
      <c r="AM974" s="140">
        <v>0</v>
      </c>
      <c r="AN974" s="140">
        <v>0</v>
      </c>
      <c r="AO974" s="140">
        <v>0</v>
      </c>
      <c r="AP974" s="140">
        <v>1</v>
      </c>
      <c r="AQ974" s="140">
        <v>0</v>
      </c>
      <c r="AR974" s="140">
        <v>0</v>
      </c>
      <c r="AS974" s="140">
        <v>0</v>
      </c>
      <c r="AT974" s="140">
        <v>0</v>
      </c>
      <c r="AU974" s="140">
        <v>0</v>
      </c>
      <c r="AV974" s="140">
        <v>0</v>
      </c>
      <c r="AW974" s="140">
        <v>1</v>
      </c>
      <c r="AX974" s="140">
        <v>0</v>
      </c>
      <c r="AY974" s="140">
        <v>0</v>
      </c>
      <c r="AZ974" s="140">
        <v>0</v>
      </c>
      <c r="BA974" s="140">
        <v>0</v>
      </c>
      <c r="BB974" s="140">
        <v>0</v>
      </c>
      <c r="BC974" s="140">
        <v>0</v>
      </c>
      <c r="BD974" s="140">
        <v>0</v>
      </c>
      <c r="BE974" s="140">
        <v>0</v>
      </c>
      <c r="BF974" s="140">
        <v>0</v>
      </c>
      <c r="BG974" s="140">
        <v>0</v>
      </c>
      <c r="BH974" s="140">
        <v>0</v>
      </c>
      <c r="BI974" s="140">
        <v>0</v>
      </c>
      <c r="BJ974" s="140">
        <v>0</v>
      </c>
      <c r="BK974" s="140">
        <v>0</v>
      </c>
      <c r="BL974" s="140">
        <v>0</v>
      </c>
      <c r="BM974" s="140">
        <v>0</v>
      </c>
      <c r="BN974" s="140">
        <v>0</v>
      </c>
      <c r="BO974" s="140">
        <v>0</v>
      </c>
      <c r="BQ974" s="89"/>
      <c r="BU974" s="89"/>
      <c r="BX974" s="43">
        <v>15</v>
      </c>
      <c r="BZ974" s="90">
        <f t="shared" si="134"/>
        <v>0.33333333333333331</v>
      </c>
      <c r="CA974" s="90">
        <f t="shared" si="134"/>
        <v>0.33333333333333331</v>
      </c>
      <c r="CB974" s="90">
        <f t="shared" si="134"/>
        <v>0.33333333333333331</v>
      </c>
      <c r="CT974" s="90">
        <f t="shared" si="135"/>
        <v>1</v>
      </c>
      <c r="CU974" s="90">
        <f t="shared" si="136"/>
        <v>1</v>
      </c>
    </row>
    <row r="975" spans="1:99" ht="12" customHeight="1">
      <c r="A975" s="43">
        <v>7278</v>
      </c>
      <c r="B975" s="89" t="s">
        <v>1515</v>
      </c>
      <c r="C975" s="89" t="s">
        <v>2668</v>
      </c>
      <c r="D975" s="89" t="s">
        <v>2669</v>
      </c>
      <c r="F975" s="43">
        <v>527781</v>
      </c>
      <c r="G975" s="43">
        <v>175640</v>
      </c>
      <c r="H975" s="89" t="s">
        <v>175</v>
      </c>
      <c r="K975" s="140">
        <v>0</v>
      </c>
      <c r="L975" s="140">
        <v>1</v>
      </c>
      <c r="M975" s="140">
        <v>1</v>
      </c>
      <c r="N975" s="140">
        <v>1</v>
      </c>
      <c r="O975" s="140">
        <v>1</v>
      </c>
      <c r="Q975" s="89" t="s">
        <v>2670</v>
      </c>
      <c r="R975" s="43" t="s">
        <v>316</v>
      </c>
      <c r="S975" s="125">
        <v>43776</v>
      </c>
      <c r="T975" s="117">
        <v>43805</v>
      </c>
      <c r="U975" s="43" t="s">
        <v>329</v>
      </c>
      <c r="V975" s="43" t="s">
        <v>317</v>
      </c>
      <c r="X975" s="43" t="s">
        <v>318</v>
      </c>
      <c r="Y975" s="43" t="s">
        <v>379</v>
      </c>
      <c r="Z975" s="43" t="s">
        <v>320</v>
      </c>
      <c r="AA975" s="43" t="s">
        <v>340</v>
      </c>
      <c r="AB975" s="144">
        <v>8.0000003799796104E-3</v>
      </c>
      <c r="AF975" s="43" t="s">
        <v>75</v>
      </c>
      <c r="AG975" s="43" t="s">
        <v>322</v>
      </c>
      <c r="AJ975" s="140">
        <v>0</v>
      </c>
      <c r="AK975" s="140">
        <v>0</v>
      </c>
      <c r="AL975" s="140">
        <v>0</v>
      </c>
      <c r="AM975" s="140">
        <v>0</v>
      </c>
      <c r="AN975" s="140">
        <v>0</v>
      </c>
      <c r="AO975" s="140">
        <v>0</v>
      </c>
      <c r="AP975" s="140">
        <v>1</v>
      </c>
      <c r="AQ975" s="140">
        <v>0</v>
      </c>
      <c r="AR975" s="140">
        <v>0</v>
      </c>
      <c r="AS975" s="140">
        <v>0</v>
      </c>
      <c r="AT975" s="140">
        <v>0</v>
      </c>
      <c r="AU975" s="140">
        <v>0</v>
      </c>
      <c r="AV975" s="140">
        <v>0</v>
      </c>
      <c r="AW975" s="140">
        <v>1</v>
      </c>
      <c r="AX975" s="140">
        <v>0</v>
      </c>
      <c r="AY975" s="140">
        <v>0</v>
      </c>
      <c r="AZ975" s="140">
        <v>0</v>
      </c>
      <c r="BA975" s="140">
        <v>0</v>
      </c>
      <c r="BB975" s="140">
        <v>0</v>
      </c>
      <c r="BC975" s="140">
        <v>0</v>
      </c>
      <c r="BD975" s="140">
        <v>0</v>
      </c>
      <c r="BE975" s="140">
        <v>0</v>
      </c>
      <c r="BF975" s="140">
        <v>0</v>
      </c>
      <c r="BG975" s="140">
        <v>0</v>
      </c>
      <c r="BH975" s="140">
        <v>0</v>
      </c>
      <c r="BI975" s="140">
        <v>0</v>
      </c>
      <c r="BJ975" s="140">
        <v>0</v>
      </c>
      <c r="BK975" s="140">
        <v>0</v>
      </c>
      <c r="BL975" s="140">
        <v>0</v>
      </c>
      <c r="BM975" s="140">
        <v>0</v>
      </c>
      <c r="BN975" s="140">
        <v>0</v>
      </c>
      <c r="BO975" s="140">
        <v>0</v>
      </c>
      <c r="BQ975" s="89"/>
      <c r="BU975" s="89"/>
      <c r="BX975" s="43">
        <v>15</v>
      </c>
      <c r="BZ975" s="90">
        <f t="shared" si="134"/>
        <v>0.33333333333333331</v>
      </c>
      <c r="CA975" s="90">
        <f t="shared" si="134"/>
        <v>0.33333333333333331</v>
      </c>
      <c r="CB975" s="90">
        <f t="shared" si="134"/>
        <v>0.33333333333333331</v>
      </c>
      <c r="CT975" s="90">
        <f t="shared" si="135"/>
        <v>1</v>
      </c>
      <c r="CU975" s="90">
        <f t="shared" si="136"/>
        <v>1</v>
      </c>
    </row>
    <row r="976" spans="1:99" ht="12" customHeight="1">
      <c r="A976" s="43">
        <v>7283</v>
      </c>
      <c r="B976" s="89" t="s">
        <v>1515</v>
      </c>
      <c r="C976" s="89" t="s">
        <v>2671</v>
      </c>
      <c r="D976" s="89" t="s">
        <v>2672</v>
      </c>
      <c r="F976" s="43">
        <v>527381</v>
      </c>
      <c r="G976" s="43">
        <v>174501</v>
      </c>
      <c r="H976" s="89" t="s">
        <v>174</v>
      </c>
      <c r="K976" s="140">
        <v>1</v>
      </c>
      <c r="L976" s="140">
        <v>3</v>
      </c>
      <c r="M976" s="140">
        <v>2</v>
      </c>
      <c r="N976" s="140">
        <v>3</v>
      </c>
      <c r="O976" s="140">
        <v>2</v>
      </c>
      <c r="Q976" s="89" t="s">
        <v>2673</v>
      </c>
      <c r="R976" s="43" t="s">
        <v>316</v>
      </c>
      <c r="S976" s="125">
        <v>43804</v>
      </c>
      <c r="T976" s="117">
        <v>43836</v>
      </c>
      <c r="U976" s="43" t="s">
        <v>329</v>
      </c>
      <c r="V976" s="43" t="s">
        <v>317</v>
      </c>
      <c r="X976" s="43" t="s">
        <v>318</v>
      </c>
      <c r="Y976" s="43" t="s">
        <v>319</v>
      </c>
      <c r="Z976" s="43" t="s">
        <v>320</v>
      </c>
      <c r="AA976" s="43" t="s">
        <v>20</v>
      </c>
      <c r="AB976" s="144">
        <v>1.60000007599592E-2</v>
      </c>
      <c r="AF976" s="43" t="s">
        <v>75</v>
      </c>
      <c r="AG976" s="43" t="s">
        <v>322</v>
      </c>
      <c r="AJ976" s="140">
        <v>0</v>
      </c>
      <c r="AK976" s="140">
        <v>0</v>
      </c>
      <c r="AL976" s="140">
        <v>0</v>
      </c>
      <c r="AM976" s="140">
        <v>0</v>
      </c>
      <c r="AN976" s="140">
        <v>0</v>
      </c>
      <c r="AO976" s="140">
        <v>0</v>
      </c>
      <c r="AP976" s="140">
        <v>2</v>
      </c>
      <c r="AQ976" s="140">
        <v>1</v>
      </c>
      <c r="AR976" s="140">
        <v>0</v>
      </c>
      <c r="AS976" s="140">
        <v>-1</v>
      </c>
      <c r="AT976" s="140">
        <v>0</v>
      </c>
      <c r="AU976" s="140">
        <v>0</v>
      </c>
      <c r="AV976" s="140">
        <v>0</v>
      </c>
      <c r="AW976" s="140">
        <v>2</v>
      </c>
      <c r="AX976" s="140">
        <v>1</v>
      </c>
      <c r="AY976" s="140">
        <v>0</v>
      </c>
      <c r="AZ976" s="140">
        <v>0</v>
      </c>
      <c r="BA976" s="140">
        <v>0</v>
      </c>
      <c r="BB976" s="140">
        <v>0</v>
      </c>
      <c r="BC976" s="140">
        <v>0</v>
      </c>
      <c r="BD976" s="140">
        <v>0</v>
      </c>
      <c r="BE976" s="140">
        <v>0</v>
      </c>
      <c r="BF976" s="140">
        <v>0</v>
      </c>
      <c r="BG976" s="140">
        <v>-1</v>
      </c>
      <c r="BH976" s="140">
        <v>0</v>
      </c>
      <c r="BI976" s="140">
        <v>0</v>
      </c>
      <c r="BJ976" s="140">
        <v>0</v>
      </c>
      <c r="BK976" s="140">
        <v>0</v>
      </c>
      <c r="BL976" s="140">
        <v>0</v>
      </c>
      <c r="BM976" s="140">
        <v>0</v>
      </c>
      <c r="BN976" s="140">
        <v>0</v>
      </c>
      <c r="BO976" s="140">
        <v>0</v>
      </c>
      <c r="BQ976" s="89"/>
      <c r="BU976" s="89"/>
      <c r="BX976" s="43">
        <v>15</v>
      </c>
      <c r="BZ976" s="90">
        <f t="shared" si="134"/>
        <v>0.66666666666666663</v>
      </c>
      <c r="CA976" s="90">
        <f t="shared" si="134"/>
        <v>0.66666666666666663</v>
      </c>
      <c r="CB976" s="90">
        <f t="shared" si="134"/>
        <v>0.66666666666666663</v>
      </c>
      <c r="CT976" s="90">
        <f t="shared" si="135"/>
        <v>2</v>
      </c>
      <c r="CU976" s="90">
        <f t="shared" si="136"/>
        <v>2</v>
      </c>
    </row>
    <row r="977" spans="1:99" ht="12" customHeight="1">
      <c r="A977" s="43">
        <v>7289</v>
      </c>
      <c r="B977" s="89" t="s">
        <v>1515</v>
      </c>
      <c r="C977" s="89" t="s">
        <v>2674</v>
      </c>
      <c r="D977" s="89" t="s">
        <v>2675</v>
      </c>
      <c r="E977" s="89" t="s">
        <v>2676</v>
      </c>
      <c r="F977" s="43">
        <v>529107</v>
      </c>
      <c r="G977" s="43">
        <v>171539</v>
      </c>
      <c r="H977" s="89" t="s">
        <v>171</v>
      </c>
      <c r="K977" s="140">
        <v>4</v>
      </c>
      <c r="L977" s="140">
        <v>4</v>
      </c>
      <c r="M977" s="140">
        <v>0</v>
      </c>
      <c r="N977" s="140">
        <v>6</v>
      </c>
      <c r="O977" s="140">
        <v>2</v>
      </c>
      <c r="Q977" s="89" t="s">
        <v>2677</v>
      </c>
      <c r="R977" s="43" t="s">
        <v>316</v>
      </c>
      <c r="S977" s="125">
        <v>43797</v>
      </c>
      <c r="T977" s="117">
        <v>43851</v>
      </c>
      <c r="U977" s="43" t="s">
        <v>329</v>
      </c>
      <c r="V977" s="43" t="s">
        <v>317</v>
      </c>
      <c r="X977" s="43" t="s">
        <v>318</v>
      </c>
      <c r="Y977" s="43" t="s">
        <v>319</v>
      </c>
      <c r="Z977" s="43" t="s">
        <v>320</v>
      </c>
      <c r="AA977" s="43" t="s">
        <v>321</v>
      </c>
      <c r="AB977" s="144">
        <v>6.1000000685453401E-2</v>
      </c>
      <c r="AF977" s="43" t="s">
        <v>75</v>
      </c>
      <c r="AG977" s="43" t="s">
        <v>322</v>
      </c>
      <c r="AJ977" s="140">
        <v>0</v>
      </c>
      <c r="AK977" s="140">
        <v>0</v>
      </c>
      <c r="AL977" s="140">
        <v>0</v>
      </c>
      <c r="AM977" s="140">
        <v>0</v>
      </c>
      <c r="AN977" s="140">
        <v>0</v>
      </c>
      <c r="AO977" s="140">
        <v>-2</v>
      </c>
      <c r="AP977" s="140">
        <v>1</v>
      </c>
      <c r="AQ977" s="140">
        <v>1</v>
      </c>
      <c r="AR977" s="140">
        <v>0</v>
      </c>
      <c r="AS977" s="140">
        <v>0</v>
      </c>
      <c r="AT977" s="140">
        <v>0</v>
      </c>
      <c r="AU977" s="140">
        <v>0</v>
      </c>
      <c r="AV977" s="140">
        <v>-2</v>
      </c>
      <c r="AW977" s="140">
        <v>1</v>
      </c>
      <c r="AX977" s="140">
        <v>1</v>
      </c>
      <c r="AY977" s="140">
        <v>0</v>
      </c>
      <c r="AZ977" s="140">
        <v>0</v>
      </c>
      <c r="BA977" s="140">
        <v>0</v>
      </c>
      <c r="BB977" s="140">
        <v>0</v>
      </c>
      <c r="BC977" s="140">
        <v>0</v>
      </c>
      <c r="BD977" s="140">
        <v>0</v>
      </c>
      <c r="BE977" s="140">
        <v>0</v>
      </c>
      <c r="BF977" s="140">
        <v>0</v>
      </c>
      <c r="BG977" s="140">
        <v>0</v>
      </c>
      <c r="BH977" s="140">
        <v>0</v>
      </c>
      <c r="BI977" s="140">
        <v>0</v>
      </c>
      <c r="BJ977" s="140">
        <v>0</v>
      </c>
      <c r="BK977" s="140">
        <v>0</v>
      </c>
      <c r="BL977" s="140">
        <v>0</v>
      </c>
      <c r="BM977" s="140">
        <v>0</v>
      </c>
      <c r="BN977" s="140">
        <v>0</v>
      </c>
      <c r="BO977" s="140">
        <v>0</v>
      </c>
      <c r="BQ977" s="89"/>
      <c r="BU977" s="89"/>
      <c r="BX977" s="43">
        <v>18</v>
      </c>
      <c r="CA977" s="90">
        <f t="shared" ref="CA977:CD978" si="137">$M977/4</f>
        <v>0</v>
      </c>
      <c r="CB977" s="90">
        <f t="shared" si="137"/>
        <v>0</v>
      </c>
      <c r="CC977" s="90">
        <f t="shared" si="137"/>
        <v>0</v>
      </c>
      <c r="CD977" s="90">
        <f t="shared" si="137"/>
        <v>0</v>
      </c>
      <c r="CT977" s="90">
        <f t="shared" si="135"/>
        <v>0</v>
      </c>
      <c r="CU977" s="90">
        <f t="shared" si="136"/>
        <v>0</v>
      </c>
    </row>
    <row r="978" spans="1:99" ht="12" customHeight="1">
      <c r="A978" s="43">
        <v>7289</v>
      </c>
      <c r="B978" s="89" t="s">
        <v>1515</v>
      </c>
      <c r="C978" s="89" t="s">
        <v>2674</v>
      </c>
      <c r="D978" s="89" t="s">
        <v>2675</v>
      </c>
      <c r="E978" s="89" t="s">
        <v>730</v>
      </c>
      <c r="F978" s="43">
        <v>529107</v>
      </c>
      <c r="G978" s="43">
        <v>171539</v>
      </c>
      <c r="H978" s="89" t="s">
        <v>171</v>
      </c>
      <c r="K978" s="140">
        <v>0</v>
      </c>
      <c r="L978" s="140">
        <v>2</v>
      </c>
      <c r="M978" s="140">
        <v>2</v>
      </c>
      <c r="N978" s="140">
        <v>6</v>
      </c>
      <c r="O978" s="140">
        <v>2</v>
      </c>
      <c r="Q978" s="89" t="s">
        <v>2677</v>
      </c>
      <c r="R978" s="43" t="s">
        <v>316</v>
      </c>
      <c r="S978" s="125">
        <v>43797</v>
      </c>
      <c r="T978" s="117">
        <v>43851</v>
      </c>
      <c r="U978" s="43" t="s">
        <v>329</v>
      </c>
      <c r="V978" s="43" t="s">
        <v>317</v>
      </c>
      <c r="X978" s="43" t="s">
        <v>318</v>
      </c>
      <c r="Y978" s="43" t="s">
        <v>319</v>
      </c>
      <c r="Z978" s="43" t="s">
        <v>320</v>
      </c>
      <c r="AA978" s="43" t="s">
        <v>340</v>
      </c>
      <c r="AB978" s="144">
        <v>2.60000005364418E-2</v>
      </c>
      <c r="AF978" s="43" t="s">
        <v>75</v>
      </c>
      <c r="AG978" s="43" t="s">
        <v>322</v>
      </c>
      <c r="AJ978" s="140">
        <v>0</v>
      </c>
      <c r="AK978" s="140">
        <v>0</v>
      </c>
      <c r="AL978" s="140">
        <v>0</v>
      </c>
      <c r="AM978" s="140">
        <v>0</v>
      </c>
      <c r="AN978" s="140">
        <v>0</v>
      </c>
      <c r="AO978" s="140">
        <v>1</v>
      </c>
      <c r="AP978" s="140">
        <v>1</v>
      </c>
      <c r="AQ978" s="140">
        <v>0</v>
      </c>
      <c r="AR978" s="140">
        <v>0</v>
      </c>
      <c r="AS978" s="140">
        <v>0</v>
      </c>
      <c r="AT978" s="140">
        <v>0</v>
      </c>
      <c r="AU978" s="140">
        <v>0</v>
      </c>
      <c r="AV978" s="140">
        <v>1</v>
      </c>
      <c r="AW978" s="140">
        <v>1</v>
      </c>
      <c r="AX978" s="140">
        <v>0</v>
      </c>
      <c r="AY978" s="140">
        <v>0</v>
      </c>
      <c r="AZ978" s="140">
        <v>0</v>
      </c>
      <c r="BA978" s="140">
        <v>0</v>
      </c>
      <c r="BB978" s="140">
        <v>0</v>
      </c>
      <c r="BC978" s="140">
        <v>0</v>
      </c>
      <c r="BD978" s="140">
        <v>0</v>
      </c>
      <c r="BE978" s="140">
        <v>0</v>
      </c>
      <c r="BF978" s="140">
        <v>0</v>
      </c>
      <c r="BG978" s="140">
        <v>0</v>
      </c>
      <c r="BH978" s="140">
        <v>0</v>
      </c>
      <c r="BI978" s="140">
        <v>0</v>
      </c>
      <c r="BJ978" s="140">
        <v>0</v>
      </c>
      <c r="BK978" s="140">
        <v>0</v>
      </c>
      <c r="BL978" s="140">
        <v>0</v>
      </c>
      <c r="BM978" s="140">
        <v>0</v>
      </c>
      <c r="BN978" s="140">
        <v>0</v>
      </c>
      <c r="BO978" s="140">
        <v>0</v>
      </c>
      <c r="BQ978" s="89"/>
      <c r="BU978" s="89"/>
      <c r="BX978" s="43">
        <v>18</v>
      </c>
      <c r="CA978" s="90">
        <f t="shared" si="137"/>
        <v>0.5</v>
      </c>
      <c r="CB978" s="90">
        <f t="shared" si="137"/>
        <v>0.5</v>
      </c>
      <c r="CC978" s="90">
        <f t="shared" si="137"/>
        <v>0.5</v>
      </c>
      <c r="CD978" s="90">
        <f t="shared" si="137"/>
        <v>0.5</v>
      </c>
      <c r="CT978" s="90">
        <f t="shared" si="135"/>
        <v>2</v>
      </c>
      <c r="CU978" s="90">
        <f t="shared" si="136"/>
        <v>2</v>
      </c>
    </row>
    <row r="979" spans="1:99" ht="12" customHeight="1">
      <c r="A979" s="43">
        <v>7290</v>
      </c>
      <c r="B979" s="89" t="s">
        <v>1515</v>
      </c>
      <c r="C979" s="89" t="s">
        <v>2678</v>
      </c>
      <c r="D979" s="89" t="s">
        <v>2679</v>
      </c>
      <c r="E979" s="89" t="s">
        <v>2680</v>
      </c>
      <c r="F979" s="43">
        <v>526473</v>
      </c>
      <c r="G979" s="43">
        <v>174144</v>
      </c>
      <c r="H979" s="89" t="s">
        <v>179</v>
      </c>
      <c r="K979" s="140">
        <v>1</v>
      </c>
      <c r="L979" s="140">
        <v>1</v>
      </c>
      <c r="M979" s="140">
        <v>0</v>
      </c>
      <c r="N979" s="140">
        <v>2</v>
      </c>
      <c r="O979" s="140">
        <v>1</v>
      </c>
      <c r="Q979" s="89" t="s">
        <v>2681</v>
      </c>
      <c r="R979" s="43" t="s">
        <v>316</v>
      </c>
      <c r="S979" s="125">
        <v>43789</v>
      </c>
      <c r="T979" s="117">
        <v>43850</v>
      </c>
      <c r="U979" s="43" t="s">
        <v>329</v>
      </c>
      <c r="V979" s="43" t="s">
        <v>317</v>
      </c>
      <c r="X979" s="43" t="s">
        <v>318</v>
      </c>
      <c r="Y979" s="43" t="s">
        <v>348</v>
      </c>
      <c r="Z979" s="43" t="s">
        <v>320</v>
      </c>
      <c r="AA979" s="43" t="s">
        <v>1418</v>
      </c>
      <c r="AB979" s="144">
        <v>4.1000001132488299E-2</v>
      </c>
      <c r="AF979" s="43" t="s">
        <v>75</v>
      </c>
      <c r="AG979" s="43" t="s">
        <v>322</v>
      </c>
      <c r="AJ979" s="140">
        <v>0</v>
      </c>
      <c r="AK979" s="140">
        <v>0</v>
      </c>
      <c r="AL979" s="140">
        <v>0</v>
      </c>
      <c r="AM979" s="140">
        <v>0</v>
      </c>
      <c r="AN979" s="140">
        <v>0</v>
      </c>
      <c r="AO979" s="140">
        <v>0</v>
      </c>
      <c r="AP979" s="140">
        <v>0</v>
      </c>
      <c r="AQ979" s="140">
        <v>0</v>
      </c>
      <c r="AR979" s="140">
        <v>0</v>
      </c>
      <c r="AS979" s="140">
        <v>0</v>
      </c>
      <c r="AT979" s="140">
        <v>0</v>
      </c>
      <c r="AU979" s="140">
        <v>0</v>
      </c>
      <c r="AV979" s="140">
        <v>0</v>
      </c>
      <c r="AW979" s="140">
        <v>0</v>
      </c>
      <c r="AX979" s="140">
        <v>0</v>
      </c>
      <c r="AY979" s="140">
        <v>0</v>
      </c>
      <c r="AZ979" s="140">
        <v>0</v>
      </c>
      <c r="BA979" s="140">
        <v>0</v>
      </c>
      <c r="BB979" s="140">
        <v>0</v>
      </c>
      <c r="BC979" s="140">
        <v>0</v>
      </c>
      <c r="BD979" s="140">
        <v>0</v>
      </c>
      <c r="BE979" s="140">
        <v>0</v>
      </c>
      <c r="BF979" s="140">
        <v>0</v>
      </c>
      <c r="BG979" s="140">
        <v>0</v>
      </c>
      <c r="BH979" s="140">
        <v>0</v>
      </c>
      <c r="BI979" s="140">
        <v>0</v>
      </c>
      <c r="BJ979" s="140">
        <v>0</v>
      </c>
      <c r="BK979" s="140">
        <v>0</v>
      </c>
      <c r="BL979" s="140">
        <v>0</v>
      </c>
      <c r="BM979" s="140">
        <v>0</v>
      </c>
      <c r="BN979" s="140">
        <v>0</v>
      </c>
      <c r="BO979" s="140">
        <v>0</v>
      </c>
      <c r="BQ979" s="89"/>
      <c r="BU979" s="89"/>
      <c r="BX979" s="43">
        <v>15</v>
      </c>
      <c r="BZ979" s="90">
        <f t="shared" ref="BZ979:CB982" si="138">$M979/3</f>
        <v>0</v>
      </c>
      <c r="CA979" s="90">
        <f t="shared" si="138"/>
        <v>0</v>
      </c>
      <c r="CB979" s="90">
        <f t="shared" si="138"/>
        <v>0</v>
      </c>
      <c r="CT979" s="90">
        <f t="shared" si="135"/>
        <v>0</v>
      </c>
      <c r="CU979" s="90">
        <f t="shared" si="136"/>
        <v>0</v>
      </c>
    </row>
    <row r="980" spans="1:99" ht="12" customHeight="1">
      <c r="A980" s="43">
        <v>7290</v>
      </c>
      <c r="B980" s="89" t="s">
        <v>1515</v>
      </c>
      <c r="C980" s="89" t="s">
        <v>2678</v>
      </c>
      <c r="D980" s="89" t="s">
        <v>2679</v>
      </c>
      <c r="E980" s="89" t="s">
        <v>2682</v>
      </c>
      <c r="F980" s="43">
        <v>526473</v>
      </c>
      <c r="G980" s="43">
        <v>174144</v>
      </c>
      <c r="H980" s="89" t="s">
        <v>179</v>
      </c>
      <c r="K980" s="140">
        <v>0</v>
      </c>
      <c r="L980" s="140">
        <v>1</v>
      </c>
      <c r="M980" s="140">
        <v>1</v>
      </c>
      <c r="N980" s="140">
        <v>2</v>
      </c>
      <c r="O980" s="140">
        <v>1</v>
      </c>
      <c r="Q980" s="89" t="s">
        <v>2681</v>
      </c>
      <c r="R980" s="43" t="s">
        <v>316</v>
      </c>
      <c r="S980" s="125">
        <v>43789</v>
      </c>
      <c r="T980" s="117">
        <v>43850</v>
      </c>
      <c r="U980" s="43" t="s">
        <v>329</v>
      </c>
      <c r="V980" s="43" t="s">
        <v>317</v>
      </c>
      <c r="X980" s="43" t="s">
        <v>318</v>
      </c>
      <c r="Y980" s="43" t="s">
        <v>348</v>
      </c>
      <c r="Z980" s="43" t="s">
        <v>320</v>
      </c>
      <c r="AA980" s="43" t="s">
        <v>1418</v>
      </c>
      <c r="AB980" s="144">
        <v>3.9999999105930301E-2</v>
      </c>
      <c r="AF980" s="43" t="s">
        <v>75</v>
      </c>
      <c r="AG980" s="43" t="s">
        <v>322</v>
      </c>
      <c r="AJ980" s="140">
        <v>0</v>
      </c>
      <c r="AK980" s="140">
        <v>0</v>
      </c>
      <c r="AL980" s="140">
        <v>0</v>
      </c>
      <c r="AM980" s="140">
        <v>0</v>
      </c>
      <c r="AN980" s="140">
        <v>0</v>
      </c>
      <c r="AO980" s="140">
        <v>0</v>
      </c>
      <c r="AP980" s="140">
        <v>0</v>
      </c>
      <c r="AQ980" s="140">
        <v>0</v>
      </c>
      <c r="AR980" s="140">
        <v>0</v>
      </c>
      <c r="AS980" s="140">
        <v>1</v>
      </c>
      <c r="AT980" s="140">
        <v>0</v>
      </c>
      <c r="AU980" s="140">
        <v>0</v>
      </c>
      <c r="AV980" s="140">
        <v>0</v>
      </c>
      <c r="AW980" s="140">
        <v>0</v>
      </c>
      <c r="AX980" s="140">
        <v>0</v>
      </c>
      <c r="AY980" s="140">
        <v>0</v>
      </c>
      <c r="AZ980" s="140">
        <v>0</v>
      </c>
      <c r="BA980" s="140">
        <v>0</v>
      </c>
      <c r="BB980" s="140">
        <v>0</v>
      </c>
      <c r="BC980" s="140">
        <v>0</v>
      </c>
      <c r="BD980" s="140">
        <v>0</v>
      </c>
      <c r="BE980" s="140">
        <v>0</v>
      </c>
      <c r="BF980" s="140">
        <v>0</v>
      </c>
      <c r="BG980" s="140">
        <v>1</v>
      </c>
      <c r="BH980" s="140">
        <v>0</v>
      </c>
      <c r="BI980" s="140">
        <v>0</v>
      </c>
      <c r="BJ980" s="140">
        <v>0</v>
      </c>
      <c r="BK980" s="140">
        <v>0</v>
      </c>
      <c r="BL980" s="140">
        <v>0</v>
      </c>
      <c r="BM980" s="140">
        <v>0</v>
      </c>
      <c r="BN980" s="140">
        <v>0</v>
      </c>
      <c r="BO980" s="140">
        <v>0</v>
      </c>
      <c r="BQ980" s="89"/>
      <c r="BU980" s="89"/>
      <c r="BX980" s="43">
        <v>15</v>
      </c>
      <c r="BZ980" s="90">
        <f t="shared" si="138"/>
        <v>0.33333333333333331</v>
      </c>
      <c r="CA980" s="90">
        <f t="shared" si="138"/>
        <v>0.33333333333333331</v>
      </c>
      <c r="CB980" s="90">
        <f t="shared" si="138"/>
        <v>0.33333333333333331</v>
      </c>
      <c r="CT980" s="90">
        <f t="shared" si="135"/>
        <v>1</v>
      </c>
      <c r="CU980" s="90">
        <f t="shared" si="136"/>
        <v>1</v>
      </c>
    </row>
    <row r="981" spans="1:99" ht="12" customHeight="1">
      <c r="A981" s="43">
        <v>7294</v>
      </c>
      <c r="B981" s="89" t="s">
        <v>1515</v>
      </c>
      <c r="C981" s="89" t="s">
        <v>2683</v>
      </c>
      <c r="D981" s="89" t="s">
        <v>2684</v>
      </c>
      <c r="F981" s="43">
        <v>525948</v>
      </c>
      <c r="G981" s="43">
        <v>173961</v>
      </c>
      <c r="H981" s="89" t="s">
        <v>168</v>
      </c>
      <c r="K981" s="140">
        <v>0</v>
      </c>
      <c r="L981" s="140">
        <v>2</v>
      </c>
      <c r="M981" s="140">
        <v>2</v>
      </c>
      <c r="N981" s="140">
        <v>2</v>
      </c>
      <c r="O981" s="140">
        <v>2</v>
      </c>
      <c r="Q981" s="89" t="s">
        <v>2685</v>
      </c>
      <c r="R981" s="43" t="s">
        <v>316</v>
      </c>
      <c r="S981" s="125">
        <v>43763</v>
      </c>
      <c r="T981" s="117">
        <v>43882</v>
      </c>
      <c r="U981" s="43" t="s">
        <v>329</v>
      </c>
      <c r="V981" s="43" t="s">
        <v>317</v>
      </c>
      <c r="X981" s="43" t="s">
        <v>318</v>
      </c>
      <c r="Y981" s="43" t="s">
        <v>379</v>
      </c>
      <c r="Z981" s="43" t="s">
        <v>320</v>
      </c>
      <c r="AA981" s="43" t="s">
        <v>340</v>
      </c>
      <c r="AB981" s="144">
        <v>4.0000001899898104E-3</v>
      </c>
      <c r="AF981" s="43" t="s">
        <v>75</v>
      </c>
      <c r="AG981" s="43" t="s">
        <v>322</v>
      </c>
      <c r="AJ981" s="140">
        <v>0</v>
      </c>
      <c r="AK981" s="140">
        <v>0</v>
      </c>
      <c r="AL981" s="140">
        <v>0</v>
      </c>
      <c r="AM981" s="140">
        <v>0</v>
      </c>
      <c r="AN981" s="140">
        <v>0</v>
      </c>
      <c r="AO981" s="140">
        <v>0</v>
      </c>
      <c r="AP981" s="140">
        <v>2</v>
      </c>
      <c r="AQ981" s="140">
        <v>0</v>
      </c>
      <c r="AR981" s="140">
        <v>0</v>
      </c>
      <c r="AS981" s="140">
        <v>0</v>
      </c>
      <c r="AT981" s="140">
        <v>0</v>
      </c>
      <c r="AU981" s="140">
        <v>0</v>
      </c>
      <c r="AV981" s="140">
        <v>0</v>
      </c>
      <c r="AW981" s="140">
        <v>2</v>
      </c>
      <c r="AX981" s="140">
        <v>0</v>
      </c>
      <c r="AY981" s="140">
        <v>0</v>
      </c>
      <c r="AZ981" s="140">
        <v>0</v>
      </c>
      <c r="BA981" s="140">
        <v>0</v>
      </c>
      <c r="BB981" s="140">
        <v>0</v>
      </c>
      <c r="BC981" s="140">
        <v>0</v>
      </c>
      <c r="BD981" s="140">
        <v>0</v>
      </c>
      <c r="BE981" s="140">
        <v>0</v>
      </c>
      <c r="BF981" s="140">
        <v>0</v>
      </c>
      <c r="BG981" s="140">
        <v>0</v>
      </c>
      <c r="BH981" s="140">
        <v>0</v>
      </c>
      <c r="BI981" s="140">
        <v>0</v>
      </c>
      <c r="BJ981" s="140">
        <v>0</v>
      </c>
      <c r="BK981" s="140">
        <v>0</v>
      </c>
      <c r="BL981" s="140">
        <v>0</v>
      </c>
      <c r="BM981" s="140">
        <v>0</v>
      </c>
      <c r="BN981" s="140">
        <v>0</v>
      </c>
      <c r="BO981" s="140">
        <v>0</v>
      </c>
      <c r="BQ981" s="89"/>
      <c r="BU981" s="89"/>
      <c r="BX981" s="43">
        <v>15</v>
      </c>
      <c r="BZ981" s="90">
        <f t="shared" si="138"/>
        <v>0.66666666666666663</v>
      </c>
      <c r="CA981" s="90">
        <f t="shared" si="138"/>
        <v>0.66666666666666663</v>
      </c>
      <c r="CB981" s="90">
        <f t="shared" si="138"/>
        <v>0.66666666666666663</v>
      </c>
      <c r="CT981" s="90">
        <f t="shared" si="135"/>
        <v>2</v>
      </c>
      <c r="CU981" s="90">
        <f t="shared" si="136"/>
        <v>2</v>
      </c>
    </row>
    <row r="982" spans="1:99" ht="12" customHeight="1">
      <c r="A982" s="43">
        <v>7309</v>
      </c>
      <c r="B982" s="89" t="s">
        <v>1515</v>
      </c>
      <c r="C982" s="89" t="s">
        <v>2686</v>
      </c>
      <c r="D982" s="89" t="s">
        <v>2687</v>
      </c>
      <c r="F982" s="43">
        <v>529462</v>
      </c>
      <c r="G982" s="43">
        <v>177565</v>
      </c>
      <c r="H982" s="89" t="s">
        <v>148</v>
      </c>
      <c r="K982" s="140">
        <v>2</v>
      </c>
      <c r="L982" s="140">
        <v>1</v>
      </c>
      <c r="M982" s="140">
        <v>-1</v>
      </c>
      <c r="N982" s="140">
        <v>1</v>
      </c>
      <c r="O982" s="140">
        <v>-1</v>
      </c>
      <c r="Q982" s="89" t="s">
        <v>2688</v>
      </c>
      <c r="R982" s="43" t="s">
        <v>316</v>
      </c>
      <c r="S982" s="125">
        <v>43819</v>
      </c>
      <c r="T982" s="117">
        <v>43872</v>
      </c>
      <c r="U982" s="43" t="s">
        <v>329</v>
      </c>
      <c r="V982" s="43" t="s">
        <v>317</v>
      </c>
      <c r="X982" s="43" t="s">
        <v>318</v>
      </c>
      <c r="Y982" s="43" t="s">
        <v>348</v>
      </c>
      <c r="Z982" s="43" t="s">
        <v>320</v>
      </c>
      <c r="AA982" s="43" t="s">
        <v>636</v>
      </c>
      <c r="AB982" s="144">
        <v>2.0000000949949E-3</v>
      </c>
      <c r="AF982" s="43" t="s">
        <v>75</v>
      </c>
      <c r="AG982" s="43" t="s">
        <v>322</v>
      </c>
      <c r="AH982" s="43" t="s">
        <v>2144</v>
      </c>
      <c r="AJ982" s="140">
        <v>0</v>
      </c>
      <c r="AK982" s="140">
        <v>0</v>
      </c>
      <c r="AL982" s="140">
        <v>0</v>
      </c>
      <c r="AM982" s="140">
        <v>0</v>
      </c>
      <c r="AN982" s="140">
        <v>0</v>
      </c>
      <c r="AO982" s="140">
        <v>0</v>
      </c>
      <c r="AP982" s="140">
        <v>-2</v>
      </c>
      <c r="AQ982" s="140">
        <v>0</v>
      </c>
      <c r="AR982" s="140">
        <v>1</v>
      </c>
      <c r="AS982" s="140">
        <v>0</v>
      </c>
      <c r="AT982" s="140">
        <v>0</v>
      </c>
      <c r="AU982" s="140">
        <v>0</v>
      </c>
      <c r="AV982" s="140">
        <v>0</v>
      </c>
      <c r="AW982" s="140">
        <v>-2</v>
      </c>
      <c r="AX982" s="140">
        <v>0</v>
      </c>
      <c r="AY982" s="140">
        <v>1</v>
      </c>
      <c r="AZ982" s="140">
        <v>0</v>
      </c>
      <c r="BA982" s="140">
        <v>0</v>
      </c>
      <c r="BB982" s="140">
        <v>0</v>
      </c>
      <c r="BC982" s="140">
        <v>0</v>
      </c>
      <c r="BD982" s="140">
        <v>0</v>
      </c>
      <c r="BE982" s="140">
        <v>0</v>
      </c>
      <c r="BF982" s="140">
        <v>0</v>
      </c>
      <c r="BG982" s="140">
        <v>0</v>
      </c>
      <c r="BH982" s="140">
        <v>0</v>
      </c>
      <c r="BI982" s="140">
        <v>0</v>
      </c>
      <c r="BJ982" s="140">
        <v>0</v>
      </c>
      <c r="BK982" s="140">
        <v>0</v>
      </c>
      <c r="BL982" s="140">
        <v>0</v>
      </c>
      <c r="BM982" s="140">
        <v>0</v>
      </c>
      <c r="BN982" s="140">
        <v>0</v>
      </c>
      <c r="BO982" s="140">
        <v>0</v>
      </c>
      <c r="BQ982" s="43" t="s">
        <v>329</v>
      </c>
      <c r="BU982" s="89"/>
      <c r="BX982" s="43">
        <v>15</v>
      </c>
      <c r="BZ982" s="90">
        <f t="shared" si="138"/>
        <v>-0.33333333333333331</v>
      </c>
      <c r="CA982" s="90">
        <f t="shared" si="138"/>
        <v>-0.33333333333333331</v>
      </c>
      <c r="CB982" s="90">
        <f t="shared" si="138"/>
        <v>-0.33333333333333331</v>
      </c>
      <c r="CT982" s="90">
        <f t="shared" si="135"/>
        <v>-1</v>
      </c>
      <c r="CU982" s="90">
        <f t="shared" si="136"/>
        <v>-1</v>
      </c>
    </row>
    <row r="983" spans="1:99" ht="12" customHeight="1">
      <c r="A983" s="43">
        <v>7315</v>
      </c>
      <c r="B983" s="89" t="s">
        <v>1515</v>
      </c>
      <c r="C983" s="89" t="s">
        <v>2689</v>
      </c>
      <c r="D983" s="89" t="s">
        <v>2690</v>
      </c>
      <c r="F983" s="43">
        <v>523902</v>
      </c>
      <c r="G983" s="43">
        <v>174882</v>
      </c>
      <c r="H983" s="89" t="s">
        <v>169</v>
      </c>
      <c r="K983" s="140">
        <v>2</v>
      </c>
      <c r="L983" s="140">
        <v>6</v>
      </c>
      <c r="M983" s="140">
        <v>4</v>
      </c>
      <c r="N983" s="140">
        <v>6</v>
      </c>
      <c r="O983" s="140">
        <v>4</v>
      </c>
      <c r="Q983" s="89" t="s">
        <v>2691</v>
      </c>
      <c r="R983" s="43" t="s">
        <v>316</v>
      </c>
      <c r="S983" s="125">
        <v>43851</v>
      </c>
      <c r="T983" s="117">
        <v>43882</v>
      </c>
      <c r="U983" s="43" t="s">
        <v>329</v>
      </c>
      <c r="V983" s="43" t="s">
        <v>317</v>
      </c>
      <c r="X983" s="43" t="s">
        <v>318</v>
      </c>
      <c r="Y983" s="43" t="s">
        <v>319</v>
      </c>
      <c r="Z983" s="43" t="s">
        <v>320</v>
      </c>
      <c r="AA983" s="43" t="s">
        <v>321</v>
      </c>
      <c r="AB983" s="144">
        <v>3.29999998211861E-2</v>
      </c>
      <c r="AF983" s="43" t="s">
        <v>75</v>
      </c>
      <c r="AG983" s="43" t="s">
        <v>322</v>
      </c>
      <c r="AJ983" s="140">
        <v>0</v>
      </c>
      <c r="AK983" s="140">
        <v>0</v>
      </c>
      <c r="AL983" s="140">
        <v>0</v>
      </c>
      <c r="AM983" s="140">
        <v>0</v>
      </c>
      <c r="AN983" s="140">
        <v>0</v>
      </c>
      <c r="AO983" s="140">
        <v>1</v>
      </c>
      <c r="AP983" s="140">
        <v>3</v>
      </c>
      <c r="AQ983" s="140">
        <v>1</v>
      </c>
      <c r="AR983" s="140">
        <v>-1</v>
      </c>
      <c r="AS983" s="140">
        <v>0</v>
      </c>
      <c r="AT983" s="140">
        <v>0</v>
      </c>
      <c r="AU983" s="140">
        <v>0</v>
      </c>
      <c r="AV983" s="140">
        <v>1</v>
      </c>
      <c r="AW983" s="140">
        <v>3</v>
      </c>
      <c r="AX983" s="140">
        <v>1</v>
      </c>
      <c r="AY983" s="140">
        <v>-1</v>
      </c>
      <c r="AZ983" s="140">
        <v>0</v>
      </c>
      <c r="BA983" s="140">
        <v>0</v>
      </c>
      <c r="BB983" s="140">
        <v>0</v>
      </c>
      <c r="BC983" s="140">
        <v>0</v>
      </c>
      <c r="BD983" s="140">
        <v>0</v>
      </c>
      <c r="BE983" s="140">
        <v>0</v>
      </c>
      <c r="BF983" s="140">
        <v>0</v>
      </c>
      <c r="BG983" s="140">
        <v>0</v>
      </c>
      <c r="BH983" s="140">
        <v>0</v>
      </c>
      <c r="BI983" s="140">
        <v>0</v>
      </c>
      <c r="BJ983" s="140">
        <v>0</v>
      </c>
      <c r="BK983" s="140">
        <v>0</v>
      </c>
      <c r="BL983" s="140">
        <v>0</v>
      </c>
      <c r="BM983" s="140">
        <v>0</v>
      </c>
      <c r="BN983" s="140">
        <v>0</v>
      </c>
      <c r="BO983" s="140">
        <v>0</v>
      </c>
      <c r="BU983" s="89"/>
      <c r="BX983" s="43">
        <v>18</v>
      </c>
      <c r="CA983" s="90">
        <f>$M983/4</f>
        <v>1</v>
      </c>
      <c r="CB983" s="90">
        <f>$M983/4</f>
        <v>1</v>
      </c>
      <c r="CC983" s="90">
        <f>$M983/4</f>
        <v>1</v>
      </c>
      <c r="CD983" s="90">
        <f>$M983/4</f>
        <v>1</v>
      </c>
      <c r="CT983" s="90">
        <f t="shared" si="135"/>
        <v>4</v>
      </c>
      <c r="CU983" s="90">
        <f t="shared" si="136"/>
        <v>4</v>
      </c>
    </row>
    <row r="984" spans="1:99" ht="12" customHeight="1">
      <c r="A984" s="43">
        <v>7319</v>
      </c>
      <c r="B984" s="89" t="s">
        <v>1515</v>
      </c>
      <c r="C984" s="89" t="s">
        <v>2692</v>
      </c>
      <c r="D984" s="89" t="s">
        <v>2693</v>
      </c>
      <c r="F984" s="43">
        <v>525909</v>
      </c>
      <c r="G984" s="43">
        <v>174440</v>
      </c>
      <c r="H984" s="89" t="s">
        <v>170</v>
      </c>
      <c r="K984" s="140">
        <v>0</v>
      </c>
      <c r="L984" s="140">
        <v>1</v>
      </c>
      <c r="M984" s="140">
        <v>1</v>
      </c>
      <c r="N984" s="140">
        <v>1</v>
      </c>
      <c r="O984" s="140">
        <v>1</v>
      </c>
      <c r="Q984" s="89" t="s">
        <v>2694</v>
      </c>
      <c r="R984" s="43" t="s">
        <v>316</v>
      </c>
      <c r="S984" s="125">
        <v>43851</v>
      </c>
      <c r="T984" s="117">
        <v>43893</v>
      </c>
      <c r="U984" s="43" t="s">
        <v>329</v>
      </c>
      <c r="V984" s="43" t="s">
        <v>317</v>
      </c>
      <c r="X984" s="43" t="s">
        <v>318</v>
      </c>
      <c r="Y984" s="43" t="s">
        <v>379</v>
      </c>
      <c r="Z984" s="43" t="s">
        <v>320</v>
      </c>
      <c r="AA984" s="43" t="s">
        <v>340</v>
      </c>
      <c r="AB984" s="144">
        <v>4.0000001899898104E-3</v>
      </c>
      <c r="AF984" s="43" t="s">
        <v>75</v>
      </c>
      <c r="AG984" s="43" t="s">
        <v>322</v>
      </c>
      <c r="AJ984" s="140">
        <v>0</v>
      </c>
      <c r="AK984" s="140">
        <v>0</v>
      </c>
      <c r="AL984" s="140">
        <v>0</v>
      </c>
      <c r="AM984" s="140">
        <v>0</v>
      </c>
      <c r="AN984" s="140">
        <v>0</v>
      </c>
      <c r="AO984" s="140">
        <v>0</v>
      </c>
      <c r="AP984" s="140">
        <v>1</v>
      </c>
      <c r="AQ984" s="140">
        <v>0</v>
      </c>
      <c r="AR984" s="140">
        <v>0</v>
      </c>
      <c r="AS984" s="140">
        <v>0</v>
      </c>
      <c r="AT984" s="140">
        <v>0</v>
      </c>
      <c r="AU984" s="140">
        <v>0</v>
      </c>
      <c r="AV984" s="140">
        <v>0</v>
      </c>
      <c r="AW984" s="140">
        <v>1</v>
      </c>
      <c r="AX984" s="140">
        <v>0</v>
      </c>
      <c r="AY984" s="140">
        <v>0</v>
      </c>
      <c r="AZ984" s="140">
        <v>0</v>
      </c>
      <c r="BA984" s="140">
        <v>0</v>
      </c>
      <c r="BB984" s="140">
        <v>0</v>
      </c>
      <c r="BC984" s="140">
        <v>0</v>
      </c>
      <c r="BD984" s="140">
        <v>0</v>
      </c>
      <c r="BE984" s="140">
        <v>0</v>
      </c>
      <c r="BF984" s="140">
        <v>0</v>
      </c>
      <c r="BG984" s="140">
        <v>0</v>
      </c>
      <c r="BH984" s="140">
        <v>0</v>
      </c>
      <c r="BI984" s="140">
        <v>0</v>
      </c>
      <c r="BJ984" s="140">
        <v>0</v>
      </c>
      <c r="BK984" s="140">
        <v>0</v>
      </c>
      <c r="BL984" s="140">
        <v>0</v>
      </c>
      <c r="BM984" s="140">
        <v>0</v>
      </c>
      <c r="BN984" s="140">
        <v>0</v>
      </c>
      <c r="BO984" s="140">
        <v>0</v>
      </c>
      <c r="BU984" s="89"/>
      <c r="BX984" s="43">
        <v>15</v>
      </c>
      <c r="BZ984" s="90">
        <f t="shared" ref="BZ984:CB992" si="139">$M984/3</f>
        <v>0.33333333333333331</v>
      </c>
      <c r="CA984" s="90">
        <f t="shared" si="139"/>
        <v>0.33333333333333331</v>
      </c>
      <c r="CB984" s="90">
        <f t="shared" si="139"/>
        <v>0.33333333333333331</v>
      </c>
      <c r="CT984" s="90">
        <f t="shared" si="135"/>
        <v>1</v>
      </c>
      <c r="CU984" s="90">
        <f t="shared" si="136"/>
        <v>1</v>
      </c>
    </row>
    <row r="985" spans="1:99" ht="12" customHeight="1">
      <c r="A985" s="43">
        <v>7329</v>
      </c>
      <c r="B985" s="89" t="s">
        <v>1515</v>
      </c>
      <c r="C985" s="89" t="s">
        <v>2695</v>
      </c>
      <c r="D985" s="89" t="s">
        <v>2696</v>
      </c>
      <c r="F985" s="43">
        <v>528208</v>
      </c>
      <c r="G985" s="43">
        <v>173978</v>
      </c>
      <c r="H985" s="89" t="s">
        <v>173</v>
      </c>
      <c r="K985" s="140">
        <v>2</v>
      </c>
      <c r="L985" s="140">
        <v>1</v>
      </c>
      <c r="M985" s="140">
        <v>-1</v>
      </c>
      <c r="N985" s="140">
        <v>1</v>
      </c>
      <c r="O985" s="140">
        <v>-1</v>
      </c>
      <c r="Q985" s="89" t="s">
        <v>2697</v>
      </c>
      <c r="R985" s="43" t="s">
        <v>316</v>
      </c>
      <c r="S985" s="125">
        <v>43859</v>
      </c>
      <c r="T985" s="117">
        <v>43910</v>
      </c>
      <c r="U985" s="43" t="s">
        <v>329</v>
      </c>
      <c r="V985" s="43" t="s">
        <v>317</v>
      </c>
      <c r="X985" s="43" t="s">
        <v>318</v>
      </c>
      <c r="Y985" s="43" t="s">
        <v>348</v>
      </c>
      <c r="Z985" s="43" t="s">
        <v>320</v>
      </c>
      <c r="AA985" s="43" t="s">
        <v>636</v>
      </c>
      <c r="AB985" s="144">
        <v>1.8999999389052401E-2</v>
      </c>
      <c r="AF985" s="43" t="s">
        <v>75</v>
      </c>
      <c r="AG985" s="43" t="s">
        <v>322</v>
      </c>
      <c r="AJ985" s="140">
        <v>0</v>
      </c>
      <c r="AK985" s="140">
        <v>0</v>
      </c>
      <c r="AL985" s="140">
        <v>0</v>
      </c>
      <c r="AM985" s="140">
        <v>0</v>
      </c>
      <c r="AN985" s="140">
        <v>0</v>
      </c>
      <c r="AO985" s="140">
        <v>-1</v>
      </c>
      <c r="AP985" s="140">
        <v>-1</v>
      </c>
      <c r="AQ985" s="140">
        <v>1</v>
      </c>
      <c r="AR985" s="140">
        <v>0</v>
      </c>
      <c r="AS985" s="140">
        <v>0</v>
      </c>
      <c r="AT985" s="140">
        <v>0</v>
      </c>
      <c r="AU985" s="140">
        <v>0</v>
      </c>
      <c r="AV985" s="140">
        <v>-1</v>
      </c>
      <c r="AW985" s="140">
        <v>-1</v>
      </c>
      <c r="AX985" s="140">
        <v>1</v>
      </c>
      <c r="AY985" s="140">
        <v>0</v>
      </c>
      <c r="AZ985" s="140">
        <v>0</v>
      </c>
      <c r="BA985" s="140">
        <v>0</v>
      </c>
      <c r="BB985" s="140">
        <v>0</v>
      </c>
      <c r="BC985" s="140">
        <v>0</v>
      </c>
      <c r="BD985" s="140">
        <v>0</v>
      </c>
      <c r="BE985" s="140">
        <v>0</v>
      </c>
      <c r="BF985" s="140">
        <v>0</v>
      </c>
      <c r="BG985" s="140">
        <v>0</v>
      </c>
      <c r="BH985" s="140">
        <v>0</v>
      </c>
      <c r="BI985" s="140">
        <v>0</v>
      </c>
      <c r="BJ985" s="140">
        <v>0</v>
      </c>
      <c r="BK985" s="140">
        <v>0</v>
      </c>
      <c r="BL985" s="140">
        <v>0</v>
      </c>
      <c r="BM985" s="140">
        <v>0</v>
      </c>
      <c r="BN985" s="140">
        <v>0</v>
      </c>
      <c r="BO985" s="140">
        <v>0</v>
      </c>
      <c r="BU985" s="89"/>
      <c r="BX985" s="43">
        <v>15</v>
      </c>
      <c r="BZ985" s="90">
        <f t="shared" si="139"/>
        <v>-0.33333333333333331</v>
      </c>
      <c r="CA985" s="90">
        <f t="shared" si="139"/>
        <v>-0.33333333333333331</v>
      </c>
      <c r="CB985" s="90">
        <f t="shared" si="139"/>
        <v>-0.33333333333333331</v>
      </c>
      <c r="CT985" s="90">
        <f t="shared" si="135"/>
        <v>-1</v>
      </c>
      <c r="CU985" s="90">
        <f t="shared" si="136"/>
        <v>-1</v>
      </c>
    </row>
    <row r="986" spans="1:99" ht="12" customHeight="1">
      <c r="A986" s="43">
        <v>7332</v>
      </c>
      <c r="B986" s="89" t="s">
        <v>1515</v>
      </c>
      <c r="C986" s="89" t="s">
        <v>2698</v>
      </c>
      <c r="D986" s="89" t="s">
        <v>2699</v>
      </c>
      <c r="F986" s="43">
        <v>528194</v>
      </c>
      <c r="G986" s="43">
        <v>175654</v>
      </c>
      <c r="H986" s="89" t="s">
        <v>175</v>
      </c>
      <c r="K986" s="140">
        <v>1</v>
      </c>
      <c r="L986" s="140">
        <v>2</v>
      </c>
      <c r="M986" s="140">
        <v>1</v>
      </c>
      <c r="N986" s="140">
        <v>2</v>
      </c>
      <c r="O986" s="140">
        <v>1</v>
      </c>
      <c r="Q986" s="89" t="s">
        <v>2700</v>
      </c>
      <c r="R986" s="43" t="s">
        <v>316</v>
      </c>
      <c r="S986" s="125">
        <v>43864</v>
      </c>
      <c r="T986" s="117">
        <v>43901</v>
      </c>
      <c r="U986" s="43" t="s">
        <v>329</v>
      </c>
      <c r="V986" s="43" t="s">
        <v>317</v>
      </c>
      <c r="X986" s="43" t="s">
        <v>318</v>
      </c>
      <c r="Y986" s="43" t="s">
        <v>319</v>
      </c>
      <c r="Z986" s="43" t="s">
        <v>320</v>
      </c>
      <c r="AA986" s="43" t="s">
        <v>321</v>
      </c>
      <c r="AB986" s="144">
        <v>6.0000000521540598E-3</v>
      </c>
      <c r="AF986" s="43" t="s">
        <v>75</v>
      </c>
      <c r="AG986" s="43" t="s">
        <v>322</v>
      </c>
      <c r="AJ986" s="140">
        <v>0</v>
      </c>
      <c r="AK986" s="140">
        <v>0</v>
      </c>
      <c r="AL986" s="140">
        <v>0</v>
      </c>
      <c r="AM986" s="140">
        <v>0</v>
      </c>
      <c r="AN986" s="140">
        <v>0</v>
      </c>
      <c r="AO986" s="140">
        <v>1</v>
      </c>
      <c r="AP986" s="140">
        <v>1</v>
      </c>
      <c r="AQ986" s="140">
        <v>-1</v>
      </c>
      <c r="AR986" s="140">
        <v>0</v>
      </c>
      <c r="AS986" s="140">
        <v>0</v>
      </c>
      <c r="AT986" s="140">
        <v>0</v>
      </c>
      <c r="AU986" s="140">
        <v>0</v>
      </c>
      <c r="AV986" s="140">
        <v>1</v>
      </c>
      <c r="AW986" s="140">
        <v>1</v>
      </c>
      <c r="AX986" s="140">
        <v>-1</v>
      </c>
      <c r="AY986" s="140">
        <v>0</v>
      </c>
      <c r="AZ986" s="140">
        <v>0</v>
      </c>
      <c r="BA986" s="140">
        <v>0</v>
      </c>
      <c r="BB986" s="140">
        <v>0</v>
      </c>
      <c r="BC986" s="140">
        <v>0</v>
      </c>
      <c r="BD986" s="140">
        <v>0</v>
      </c>
      <c r="BE986" s="140">
        <v>0</v>
      </c>
      <c r="BF986" s="140">
        <v>0</v>
      </c>
      <c r="BG986" s="140">
        <v>0</v>
      </c>
      <c r="BH986" s="140">
        <v>0</v>
      </c>
      <c r="BI986" s="140">
        <v>0</v>
      </c>
      <c r="BJ986" s="140">
        <v>0</v>
      </c>
      <c r="BK986" s="140">
        <v>0</v>
      </c>
      <c r="BL986" s="140">
        <v>0</v>
      </c>
      <c r="BM986" s="140">
        <v>0</v>
      </c>
      <c r="BN986" s="140">
        <v>0</v>
      </c>
      <c r="BO986" s="140">
        <v>0</v>
      </c>
      <c r="BU986" s="89"/>
      <c r="BX986" s="43">
        <v>15</v>
      </c>
      <c r="BZ986" s="90">
        <f t="shared" si="139"/>
        <v>0.33333333333333331</v>
      </c>
      <c r="CA986" s="90">
        <f t="shared" si="139"/>
        <v>0.33333333333333331</v>
      </c>
      <c r="CB986" s="90">
        <f t="shared" si="139"/>
        <v>0.33333333333333331</v>
      </c>
      <c r="CT986" s="90">
        <f t="shared" si="135"/>
        <v>1</v>
      </c>
      <c r="CU986" s="90">
        <f t="shared" si="136"/>
        <v>1</v>
      </c>
    </row>
    <row r="987" spans="1:99" ht="12" customHeight="1">
      <c r="A987" s="43">
        <v>7335</v>
      </c>
      <c r="B987" s="89" t="s">
        <v>1515</v>
      </c>
      <c r="C987" s="89" t="s">
        <v>2701</v>
      </c>
      <c r="D987" s="89" t="s">
        <v>2702</v>
      </c>
      <c r="F987" s="43">
        <v>525930</v>
      </c>
      <c r="G987" s="43">
        <v>173172</v>
      </c>
      <c r="H987" s="89" t="s">
        <v>168</v>
      </c>
      <c r="K987" s="140">
        <v>0</v>
      </c>
      <c r="L987" s="140">
        <v>1</v>
      </c>
      <c r="M987" s="140">
        <v>1</v>
      </c>
      <c r="N987" s="140">
        <v>1</v>
      </c>
      <c r="O987" s="140">
        <v>1</v>
      </c>
      <c r="Q987" s="89" t="s">
        <v>2703</v>
      </c>
      <c r="R987" s="43" t="s">
        <v>443</v>
      </c>
      <c r="S987" s="125">
        <v>43872</v>
      </c>
      <c r="T987" s="117">
        <v>43917</v>
      </c>
      <c r="U987" s="43" t="s">
        <v>329</v>
      </c>
      <c r="V987" s="43" t="s">
        <v>317</v>
      </c>
      <c r="X987" s="43" t="s">
        <v>318</v>
      </c>
      <c r="Y987" s="43" t="s">
        <v>336</v>
      </c>
      <c r="Z987" s="43" t="s">
        <v>320</v>
      </c>
      <c r="AA987" s="43" t="s">
        <v>30</v>
      </c>
      <c r="AB987" s="144">
        <v>3.0000000260770299E-3</v>
      </c>
      <c r="AF987" s="43" t="s">
        <v>75</v>
      </c>
      <c r="AG987" s="43" t="s">
        <v>322</v>
      </c>
      <c r="AJ987" s="140">
        <v>0</v>
      </c>
      <c r="AK987" s="140">
        <v>0</v>
      </c>
      <c r="AL987" s="140">
        <v>0</v>
      </c>
      <c r="AM987" s="140">
        <v>0</v>
      </c>
      <c r="AN987" s="140">
        <v>0</v>
      </c>
      <c r="AO987" s="140">
        <v>1</v>
      </c>
      <c r="AP987" s="140">
        <v>0</v>
      </c>
      <c r="AQ987" s="140">
        <v>0</v>
      </c>
      <c r="AR987" s="140">
        <v>0</v>
      </c>
      <c r="AS987" s="140">
        <v>0</v>
      </c>
      <c r="AT987" s="140">
        <v>0</v>
      </c>
      <c r="AU987" s="140">
        <v>0</v>
      </c>
      <c r="AV987" s="140">
        <v>1</v>
      </c>
      <c r="AW987" s="140">
        <v>0</v>
      </c>
      <c r="AX987" s="140">
        <v>0</v>
      </c>
      <c r="AY987" s="140">
        <v>0</v>
      </c>
      <c r="AZ987" s="140">
        <v>0</v>
      </c>
      <c r="BA987" s="140">
        <v>0</v>
      </c>
      <c r="BB987" s="140">
        <v>0</v>
      </c>
      <c r="BC987" s="140">
        <v>0</v>
      </c>
      <c r="BD987" s="140">
        <v>0</v>
      </c>
      <c r="BE987" s="140">
        <v>0</v>
      </c>
      <c r="BF987" s="140">
        <v>0</v>
      </c>
      <c r="BG987" s="140">
        <v>0</v>
      </c>
      <c r="BH987" s="140">
        <v>0</v>
      </c>
      <c r="BI987" s="140">
        <v>0</v>
      </c>
      <c r="BJ987" s="140">
        <v>0</v>
      </c>
      <c r="BK987" s="140">
        <v>0</v>
      </c>
      <c r="BL987" s="140">
        <v>0</v>
      </c>
      <c r="BM987" s="140">
        <v>0</v>
      </c>
      <c r="BN987" s="140">
        <v>0</v>
      </c>
      <c r="BO987" s="140">
        <v>0</v>
      </c>
      <c r="BU987" s="89"/>
      <c r="BW987" s="43" t="s">
        <v>329</v>
      </c>
      <c r="BX987" s="43">
        <v>15</v>
      </c>
      <c r="BZ987" s="90">
        <f t="shared" si="139"/>
        <v>0.33333333333333331</v>
      </c>
      <c r="CA987" s="90">
        <f t="shared" si="139"/>
        <v>0.33333333333333331</v>
      </c>
      <c r="CB987" s="90">
        <f t="shared" si="139"/>
        <v>0.33333333333333331</v>
      </c>
      <c r="CT987" s="90">
        <f t="shared" si="135"/>
        <v>1</v>
      </c>
      <c r="CU987" s="90">
        <f t="shared" si="136"/>
        <v>1</v>
      </c>
    </row>
    <row r="988" spans="1:99" ht="12" customHeight="1">
      <c r="A988" s="43">
        <v>7341</v>
      </c>
      <c r="B988" s="89" t="s">
        <v>1515</v>
      </c>
      <c r="C988" s="89" t="s">
        <v>2704</v>
      </c>
      <c r="D988" s="89" t="s">
        <v>2705</v>
      </c>
      <c r="F988" s="43">
        <v>526448</v>
      </c>
      <c r="G988" s="43">
        <v>175829</v>
      </c>
      <c r="H988" s="89" t="s">
        <v>177</v>
      </c>
      <c r="K988" s="140">
        <v>0</v>
      </c>
      <c r="L988" s="140">
        <v>1</v>
      </c>
      <c r="M988" s="140">
        <v>1</v>
      </c>
      <c r="N988" s="140">
        <v>1</v>
      </c>
      <c r="O988" s="140">
        <v>1</v>
      </c>
      <c r="Q988" s="89" t="s">
        <v>2706</v>
      </c>
      <c r="R988" s="43" t="s">
        <v>443</v>
      </c>
      <c r="S988" s="125">
        <v>43875</v>
      </c>
      <c r="T988" s="117">
        <v>43920</v>
      </c>
      <c r="U988" s="43" t="s">
        <v>329</v>
      </c>
      <c r="V988" s="43" t="s">
        <v>317</v>
      </c>
      <c r="X988" s="43" t="s">
        <v>318</v>
      </c>
      <c r="Y988" s="43" t="s">
        <v>336</v>
      </c>
      <c r="Z988" s="43" t="s">
        <v>320</v>
      </c>
      <c r="AA988" s="43" t="s">
        <v>33</v>
      </c>
      <c r="AB988" s="144">
        <v>8.9999996125698107E-3</v>
      </c>
      <c r="AF988" s="43" t="s">
        <v>75</v>
      </c>
      <c r="AG988" s="43" t="s">
        <v>322</v>
      </c>
      <c r="AJ988" s="140">
        <v>0</v>
      </c>
      <c r="AK988" s="140">
        <v>0</v>
      </c>
      <c r="AL988" s="140">
        <v>0</v>
      </c>
      <c r="AM988" s="140">
        <v>0</v>
      </c>
      <c r="AN988" s="140">
        <v>0</v>
      </c>
      <c r="AO988" s="140">
        <v>1</v>
      </c>
      <c r="AP988" s="140">
        <v>0</v>
      </c>
      <c r="AQ988" s="140">
        <v>0</v>
      </c>
      <c r="AR988" s="140">
        <v>0</v>
      </c>
      <c r="AS988" s="140">
        <v>0</v>
      </c>
      <c r="AT988" s="140">
        <v>0</v>
      </c>
      <c r="AU988" s="140">
        <v>0</v>
      </c>
      <c r="AV988" s="140">
        <v>1</v>
      </c>
      <c r="AW988" s="140">
        <v>0</v>
      </c>
      <c r="AX988" s="140">
        <v>0</v>
      </c>
      <c r="AY988" s="140">
        <v>0</v>
      </c>
      <c r="AZ988" s="140">
        <v>0</v>
      </c>
      <c r="BA988" s="140">
        <v>0</v>
      </c>
      <c r="BB988" s="140">
        <v>0</v>
      </c>
      <c r="BC988" s="140">
        <v>0</v>
      </c>
      <c r="BD988" s="140">
        <v>0</v>
      </c>
      <c r="BE988" s="140">
        <v>0</v>
      </c>
      <c r="BF988" s="140">
        <v>0</v>
      </c>
      <c r="BG988" s="140">
        <v>0</v>
      </c>
      <c r="BH988" s="140">
        <v>0</v>
      </c>
      <c r="BI988" s="140">
        <v>0</v>
      </c>
      <c r="BJ988" s="140">
        <v>0</v>
      </c>
      <c r="BK988" s="140">
        <v>0</v>
      </c>
      <c r="BL988" s="140">
        <v>0</v>
      </c>
      <c r="BM988" s="140">
        <v>0</v>
      </c>
      <c r="BN988" s="140">
        <v>0</v>
      </c>
      <c r="BO988" s="140">
        <v>0</v>
      </c>
      <c r="BQ988" s="89"/>
      <c r="BU988" s="89"/>
      <c r="BV988" s="43" t="s">
        <v>329</v>
      </c>
      <c r="BX988" s="43">
        <v>15</v>
      </c>
      <c r="BZ988" s="90">
        <f t="shared" si="139"/>
        <v>0.33333333333333331</v>
      </c>
      <c r="CA988" s="90">
        <f t="shared" si="139"/>
        <v>0.33333333333333331</v>
      </c>
      <c r="CB988" s="90">
        <f t="shared" si="139"/>
        <v>0.33333333333333331</v>
      </c>
      <c r="CT988" s="90">
        <f t="shared" si="135"/>
        <v>1</v>
      </c>
      <c r="CU988" s="90">
        <f t="shared" si="136"/>
        <v>1</v>
      </c>
    </row>
    <row r="989" spans="1:99" ht="12" customHeight="1">
      <c r="A989" s="43">
        <v>7342</v>
      </c>
      <c r="B989" s="89" t="s">
        <v>1515</v>
      </c>
      <c r="C989" s="89" t="s">
        <v>2707</v>
      </c>
      <c r="D989" s="89" t="s">
        <v>2708</v>
      </c>
      <c r="F989" s="43">
        <v>526368</v>
      </c>
      <c r="G989" s="43">
        <v>175721</v>
      </c>
      <c r="H989" s="89" t="s">
        <v>177</v>
      </c>
      <c r="K989" s="140">
        <v>0</v>
      </c>
      <c r="L989" s="140">
        <v>3</v>
      </c>
      <c r="M989" s="140">
        <v>3</v>
      </c>
      <c r="N989" s="140">
        <v>3</v>
      </c>
      <c r="O989" s="140">
        <v>3</v>
      </c>
      <c r="Q989" s="89" t="s">
        <v>2709</v>
      </c>
      <c r="R989" s="43" t="s">
        <v>443</v>
      </c>
      <c r="S989" s="125">
        <v>43873</v>
      </c>
      <c r="T989" s="117">
        <v>43906</v>
      </c>
      <c r="U989" s="43" t="s">
        <v>329</v>
      </c>
      <c r="V989" s="43" t="s">
        <v>317</v>
      </c>
      <c r="X989" s="43" t="s">
        <v>318</v>
      </c>
      <c r="Y989" s="43" t="s">
        <v>336</v>
      </c>
      <c r="Z989" s="43" t="s">
        <v>320</v>
      </c>
      <c r="AA989" s="43" t="s">
        <v>33</v>
      </c>
      <c r="AB989" s="144">
        <v>8.0000003799796104E-3</v>
      </c>
      <c r="AF989" s="43" t="s">
        <v>75</v>
      </c>
      <c r="AG989" s="43" t="s">
        <v>322</v>
      </c>
      <c r="AJ989" s="140">
        <v>0</v>
      </c>
      <c r="AK989" s="140">
        <v>0</v>
      </c>
      <c r="AL989" s="140">
        <v>0</v>
      </c>
      <c r="AM989" s="140">
        <v>0</v>
      </c>
      <c r="AN989" s="140">
        <v>0</v>
      </c>
      <c r="AO989" s="140">
        <v>2</v>
      </c>
      <c r="AP989" s="140">
        <v>1</v>
      </c>
      <c r="AQ989" s="140">
        <v>0</v>
      </c>
      <c r="AR989" s="140">
        <v>0</v>
      </c>
      <c r="AS989" s="140">
        <v>0</v>
      </c>
      <c r="AT989" s="140">
        <v>0</v>
      </c>
      <c r="AU989" s="140">
        <v>0</v>
      </c>
      <c r="AV989" s="140">
        <v>2</v>
      </c>
      <c r="AW989" s="140">
        <v>1</v>
      </c>
      <c r="AX989" s="140">
        <v>0</v>
      </c>
      <c r="AY989" s="140">
        <v>0</v>
      </c>
      <c r="AZ989" s="140">
        <v>0</v>
      </c>
      <c r="BA989" s="140">
        <v>0</v>
      </c>
      <c r="BB989" s="140">
        <v>0</v>
      </c>
      <c r="BC989" s="140">
        <v>0</v>
      </c>
      <c r="BD989" s="140">
        <v>0</v>
      </c>
      <c r="BE989" s="140">
        <v>0</v>
      </c>
      <c r="BF989" s="140">
        <v>0</v>
      </c>
      <c r="BG989" s="140">
        <v>0</v>
      </c>
      <c r="BH989" s="140">
        <v>0</v>
      </c>
      <c r="BI989" s="140">
        <v>0</v>
      </c>
      <c r="BJ989" s="140">
        <v>0</v>
      </c>
      <c r="BK989" s="140">
        <v>0</v>
      </c>
      <c r="BL989" s="140">
        <v>0</v>
      </c>
      <c r="BM989" s="140">
        <v>0</v>
      </c>
      <c r="BN989" s="140">
        <v>0</v>
      </c>
      <c r="BO989" s="140">
        <v>0</v>
      </c>
      <c r="BQ989" s="89"/>
      <c r="BU989" s="89"/>
      <c r="BV989" s="43" t="s">
        <v>329</v>
      </c>
      <c r="BX989" s="43">
        <v>15</v>
      </c>
      <c r="BZ989" s="90">
        <f t="shared" si="139"/>
        <v>1</v>
      </c>
      <c r="CA989" s="90">
        <f t="shared" si="139"/>
        <v>1</v>
      </c>
      <c r="CB989" s="90">
        <f t="shared" si="139"/>
        <v>1</v>
      </c>
      <c r="CT989" s="90">
        <f t="shared" si="135"/>
        <v>3</v>
      </c>
      <c r="CU989" s="90">
        <f t="shared" si="136"/>
        <v>3</v>
      </c>
    </row>
    <row r="990" spans="1:99" ht="12" customHeight="1">
      <c r="A990" s="43">
        <v>7343</v>
      </c>
      <c r="B990" s="89" t="s">
        <v>1515</v>
      </c>
      <c r="C990" s="89" t="s">
        <v>2710</v>
      </c>
      <c r="D990" s="89" t="s">
        <v>2711</v>
      </c>
      <c r="F990" s="43">
        <v>526450</v>
      </c>
      <c r="G990" s="43">
        <v>175834</v>
      </c>
      <c r="H990" s="89" t="s">
        <v>177</v>
      </c>
      <c r="K990" s="140">
        <v>0</v>
      </c>
      <c r="L990" s="140">
        <v>5</v>
      </c>
      <c r="M990" s="140">
        <v>5</v>
      </c>
      <c r="N990" s="140">
        <v>5</v>
      </c>
      <c r="O990" s="140">
        <v>5</v>
      </c>
      <c r="Q990" s="89" t="s">
        <v>2712</v>
      </c>
      <c r="R990" s="43" t="s">
        <v>443</v>
      </c>
      <c r="S990" s="125">
        <v>43873</v>
      </c>
      <c r="T990" s="117">
        <v>43920</v>
      </c>
      <c r="U990" s="43" t="s">
        <v>329</v>
      </c>
      <c r="V990" s="43" t="s">
        <v>317</v>
      </c>
      <c r="X990" s="43" t="s">
        <v>318</v>
      </c>
      <c r="Y990" s="43" t="s">
        <v>336</v>
      </c>
      <c r="Z990" s="43" t="s">
        <v>320</v>
      </c>
      <c r="AA990" s="43" t="s">
        <v>33</v>
      </c>
      <c r="AB990" s="144">
        <v>1.30000002682209E-2</v>
      </c>
      <c r="AF990" s="43" t="s">
        <v>75</v>
      </c>
      <c r="AG990" s="43" t="s">
        <v>322</v>
      </c>
      <c r="AJ990" s="140">
        <v>0</v>
      </c>
      <c r="AK990" s="140">
        <v>0</v>
      </c>
      <c r="AL990" s="140">
        <v>0</v>
      </c>
      <c r="AM990" s="140">
        <v>0</v>
      </c>
      <c r="AN990" s="140">
        <v>0</v>
      </c>
      <c r="AO990" s="140">
        <v>5</v>
      </c>
      <c r="AP990" s="140">
        <v>0</v>
      </c>
      <c r="AQ990" s="140">
        <v>0</v>
      </c>
      <c r="AR990" s="140">
        <v>0</v>
      </c>
      <c r="AS990" s="140">
        <v>0</v>
      </c>
      <c r="AT990" s="140">
        <v>0</v>
      </c>
      <c r="AU990" s="140">
        <v>0</v>
      </c>
      <c r="AV990" s="140">
        <v>5</v>
      </c>
      <c r="AW990" s="140">
        <v>0</v>
      </c>
      <c r="AX990" s="140">
        <v>0</v>
      </c>
      <c r="AY990" s="140">
        <v>0</v>
      </c>
      <c r="AZ990" s="140">
        <v>0</v>
      </c>
      <c r="BA990" s="140">
        <v>0</v>
      </c>
      <c r="BB990" s="140">
        <v>0</v>
      </c>
      <c r="BC990" s="140">
        <v>0</v>
      </c>
      <c r="BD990" s="140">
        <v>0</v>
      </c>
      <c r="BE990" s="140">
        <v>0</v>
      </c>
      <c r="BF990" s="140">
        <v>0</v>
      </c>
      <c r="BG990" s="140">
        <v>0</v>
      </c>
      <c r="BH990" s="140">
        <v>0</v>
      </c>
      <c r="BI990" s="140">
        <v>0</v>
      </c>
      <c r="BJ990" s="140">
        <v>0</v>
      </c>
      <c r="BK990" s="140">
        <v>0</v>
      </c>
      <c r="BL990" s="140">
        <v>0</v>
      </c>
      <c r="BM990" s="140">
        <v>0</v>
      </c>
      <c r="BN990" s="140">
        <v>0</v>
      </c>
      <c r="BO990" s="140">
        <v>0</v>
      </c>
      <c r="BQ990" s="89"/>
      <c r="BU990" s="89"/>
      <c r="BV990" s="43" t="s">
        <v>329</v>
      </c>
      <c r="BX990" s="43">
        <v>15</v>
      </c>
      <c r="BZ990" s="90">
        <f t="shared" si="139"/>
        <v>1.6666666666666667</v>
      </c>
      <c r="CA990" s="90">
        <f t="shared" si="139"/>
        <v>1.6666666666666667</v>
      </c>
      <c r="CB990" s="90">
        <f t="shared" si="139"/>
        <v>1.6666666666666667</v>
      </c>
      <c r="CT990" s="90">
        <f t="shared" si="135"/>
        <v>5</v>
      </c>
      <c r="CU990" s="90">
        <f t="shared" si="136"/>
        <v>5</v>
      </c>
    </row>
    <row r="991" spans="1:99" ht="12" customHeight="1">
      <c r="A991" s="43">
        <v>7344</v>
      </c>
      <c r="B991" s="89" t="s">
        <v>1515</v>
      </c>
      <c r="C991" s="89" t="s">
        <v>2713</v>
      </c>
      <c r="D991" s="89" t="s">
        <v>2714</v>
      </c>
      <c r="F991" s="43">
        <v>526471</v>
      </c>
      <c r="G991" s="43">
        <v>175874</v>
      </c>
      <c r="H991" s="89" t="s">
        <v>177</v>
      </c>
      <c r="K991" s="140">
        <v>0</v>
      </c>
      <c r="L991" s="140">
        <v>3</v>
      </c>
      <c r="M991" s="140">
        <v>3</v>
      </c>
      <c r="N991" s="140">
        <v>3</v>
      </c>
      <c r="O991" s="140">
        <v>3</v>
      </c>
      <c r="Q991" s="89" t="s">
        <v>2715</v>
      </c>
      <c r="R991" s="43" t="s">
        <v>443</v>
      </c>
      <c r="S991" s="125">
        <v>43873</v>
      </c>
      <c r="T991" s="117">
        <v>43920</v>
      </c>
      <c r="U991" s="43" t="s">
        <v>329</v>
      </c>
      <c r="V991" s="43" t="s">
        <v>317</v>
      </c>
      <c r="X991" s="43" t="s">
        <v>318</v>
      </c>
      <c r="Y991" s="43" t="s">
        <v>336</v>
      </c>
      <c r="Z991" s="43" t="s">
        <v>320</v>
      </c>
      <c r="AA991" s="43" t="s">
        <v>33</v>
      </c>
      <c r="AB991" s="144">
        <v>3.0000000260770299E-3</v>
      </c>
      <c r="AF991" s="43" t="s">
        <v>75</v>
      </c>
      <c r="AG991" s="43" t="s">
        <v>322</v>
      </c>
      <c r="AJ991" s="140">
        <v>0</v>
      </c>
      <c r="AK991" s="140">
        <v>0</v>
      </c>
      <c r="AL991" s="140">
        <v>0</v>
      </c>
      <c r="AM991" s="140">
        <v>0</v>
      </c>
      <c r="AN991" s="140">
        <v>0</v>
      </c>
      <c r="AO991" s="140">
        <v>2</v>
      </c>
      <c r="AP991" s="140">
        <v>1</v>
      </c>
      <c r="AQ991" s="140">
        <v>0</v>
      </c>
      <c r="AR991" s="140">
        <v>0</v>
      </c>
      <c r="AS991" s="140">
        <v>0</v>
      </c>
      <c r="AT991" s="140">
        <v>0</v>
      </c>
      <c r="AU991" s="140">
        <v>0</v>
      </c>
      <c r="AV991" s="140">
        <v>2</v>
      </c>
      <c r="AW991" s="140">
        <v>1</v>
      </c>
      <c r="AX991" s="140">
        <v>0</v>
      </c>
      <c r="AY991" s="140">
        <v>0</v>
      </c>
      <c r="AZ991" s="140">
        <v>0</v>
      </c>
      <c r="BA991" s="140">
        <v>0</v>
      </c>
      <c r="BB991" s="140">
        <v>0</v>
      </c>
      <c r="BC991" s="140">
        <v>0</v>
      </c>
      <c r="BD991" s="140">
        <v>0</v>
      </c>
      <c r="BE991" s="140">
        <v>0</v>
      </c>
      <c r="BF991" s="140">
        <v>0</v>
      </c>
      <c r="BG991" s="140">
        <v>0</v>
      </c>
      <c r="BH991" s="140">
        <v>0</v>
      </c>
      <c r="BI991" s="140">
        <v>0</v>
      </c>
      <c r="BJ991" s="140">
        <v>0</v>
      </c>
      <c r="BK991" s="140">
        <v>0</v>
      </c>
      <c r="BL991" s="140">
        <v>0</v>
      </c>
      <c r="BM991" s="140">
        <v>0</v>
      </c>
      <c r="BN991" s="140">
        <v>0</v>
      </c>
      <c r="BO991" s="140">
        <v>0</v>
      </c>
      <c r="BQ991" s="89"/>
      <c r="BU991" s="89"/>
      <c r="BV991" s="43" t="s">
        <v>329</v>
      </c>
      <c r="BX991" s="43">
        <v>15</v>
      </c>
      <c r="BZ991" s="90">
        <f t="shared" si="139"/>
        <v>1</v>
      </c>
      <c r="CA991" s="90">
        <f t="shared" si="139"/>
        <v>1</v>
      </c>
      <c r="CB991" s="90">
        <f t="shared" si="139"/>
        <v>1</v>
      </c>
      <c r="CT991" s="90">
        <f t="shared" si="135"/>
        <v>3</v>
      </c>
      <c r="CU991" s="90">
        <f t="shared" si="136"/>
        <v>3</v>
      </c>
    </row>
    <row r="992" spans="1:99" ht="12" customHeight="1">
      <c r="A992" s="43">
        <v>7356</v>
      </c>
      <c r="B992" s="89" t="s">
        <v>1515</v>
      </c>
      <c r="C992" s="89" t="s">
        <v>2716</v>
      </c>
      <c r="D992" s="89" t="s">
        <v>2717</v>
      </c>
      <c r="F992" s="43">
        <v>529387</v>
      </c>
      <c r="G992" s="43">
        <v>177552</v>
      </c>
      <c r="H992" s="89" t="s">
        <v>148</v>
      </c>
      <c r="K992" s="140">
        <v>2</v>
      </c>
      <c r="L992" s="140">
        <v>1</v>
      </c>
      <c r="M992" s="140">
        <v>-1</v>
      </c>
      <c r="N992" s="140">
        <v>1</v>
      </c>
      <c r="O992" s="140">
        <v>-1</v>
      </c>
      <c r="Q992" s="89" t="s">
        <v>2718</v>
      </c>
      <c r="R992" s="43" t="s">
        <v>316</v>
      </c>
      <c r="S992" s="125">
        <v>42443</v>
      </c>
      <c r="T992" s="117">
        <v>42443</v>
      </c>
      <c r="V992" s="43" t="s">
        <v>317</v>
      </c>
      <c r="X992" s="43" t="s">
        <v>318</v>
      </c>
      <c r="Y992" s="43" t="s">
        <v>348</v>
      </c>
      <c r="Z992" s="43" t="s">
        <v>320</v>
      </c>
      <c r="AA992" s="43" t="s">
        <v>321</v>
      </c>
      <c r="AB992" s="144">
        <v>2.0000000949949E-3</v>
      </c>
      <c r="AF992" s="43" t="s">
        <v>75</v>
      </c>
      <c r="AG992" s="43" t="s">
        <v>322</v>
      </c>
      <c r="AH992" s="43" t="s">
        <v>2144</v>
      </c>
      <c r="AJ992" s="140">
        <v>0</v>
      </c>
      <c r="AK992" s="140">
        <v>0</v>
      </c>
      <c r="AL992" s="140">
        <v>0</v>
      </c>
      <c r="AM992" s="140">
        <v>0</v>
      </c>
      <c r="AN992" s="140">
        <v>0</v>
      </c>
      <c r="AO992" s="140">
        <v>0</v>
      </c>
      <c r="AP992" s="140">
        <v>0</v>
      </c>
      <c r="AQ992" s="140">
        <v>-2</v>
      </c>
      <c r="AR992" s="140">
        <v>0</v>
      </c>
      <c r="AS992" s="140">
        <v>1</v>
      </c>
      <c r="AT992" s="140">
        <v>0</v>
      </c>
      <c r="AU992" s="140">
        <v>0</v>
      </c>
      <c r="AV992" s="140">
        <v>0</v>
      </c>
      <c r="AW992" s="140">
        <v>0</v>
      </c>
      <c r="AX992" s="140">
        <v>-2</v>
      </c>
      <c r="AY992" s="140">
        <v>0</v>
      </c>
      <c r="AZ992" s="140">
        <v>1</v>
      </c>
      <c r="BA992" s="140">
        <v>0</v>
      </c>
      <c r="BB992" s="140">
        <v>0</v>
      </c>
      <c r="BC992" s="140">
        <v>0</v>
      </c>
      <c r="BD992" s="140">
        <v>0</v>
      </c>
      <c r="BE992" s="140">
        <v>0</v>
      </c>
      <c r="BF992" s="140">
        <v>0</v>
      </c>
      <c r="BG992" s="140">
        <v>0</v>
      </c>
      <c r="BH992" s="140">
        <v>0</v>
      </c>
      <c r="BI992" s="140">
        <v>0</v>
      </c>
      <c r="BJ992" s="140">
        <v>0</v>
      </c>
      <c r="BK992" s="140">
        <v>0</v>
      </c>
      <c r="BL992" s="140">
        <v>0</v>
      </c>
      <c r="BM992" s="140">
        <v>0</v>
      </c>
      <c r="BN992" s="140">
        <v>0</v>
      </c>
      <c r="BO992" s="140">
        <v>0</v>
      </c>
      <c r="BQ992" s="43" t="s">
        <v>329</v>
      </c>
      <c r="BU992" s="89"/>
      <c r="BX992" s="43">
        <v>15</v>
      </c>
      <c r="BZ992" s="90">
        <f t="shared" si="139"/>
        <v>-0.33333333333333331</v>
      </c>
      <c r="CA992" s="90">
        <f t="shared" si="139"/>
        <v>-0.33333333333333331</v>
      </c>
      <c r="CB992" s="90">
        <f t="shared" si="139"/>
        <v>-0.33333333333333331</v>
      </c>
      <c r="CT992" s="90">
        <f t="shared" si="135"/>
        <v>-1</v>
      </c>
      <c r="CU992" s="90">
        <f t="shared" si="136"/>
        <v>-1</v>
      </c>
    </row>
    <row r="993" spans="1:99" ht="12" customHeight="1">
      <c r="A993" s="43">
        <v>7368</v>
      </c>
      <c r="B993" s="89" t="s">
        <v>1515</v>
      </c>
      <c r="C993" s="89" t="s">
        <v>2719</v>
      </c>
      <c r="D993" s="89" t="s">
        <v>2720</v>
      </c>
      <c r="F993" s="43">
        <v>526149</v>
      </c>
      <c r="G993" s="43">
        <v>172683</v>
      </c>
      <c r="H993" s="89" t="s">
        <v>168</v>
      </c>
      <c r="K993" s="140">
        <v>0</v>
      </c>
      <c r="L993" s="140">
        <v>1</v>
      </c>
      <c r="M993" s="140">
        <v>1</v>
      </c>
      <c r="N993" s="140">
        <v>1</v>
      </c>
      <c r="O993" s="140">
        <v>1</v>
      </c>
      <c r="Q993" s="89" t="s">
        <v>2721</v>
      </c>
      <c r="R993" s="43" t="s">
        <v>316</v>
      </c>
      <c r="S993" s="125">
        <v>43362</v>
      </c>
      <c r="T993" s="117">
        <v>43418</v>
      </c>
      <c r="V993" s="43" t="s">
        <v>317</v>
      </c>
      <c r="X993" s="43" t="s">
        <v>318</v>
      </c>
      <c r="Y993" s="43" t="s">
        <v>361</v>
      </c>
      <c r="Z993" s="43" t="s">
        <v>320</v>
      </c>
      <c r="AA993" s="43" t="s">
        <v>353</v>
      </c>
      <c r="AB993" s="144">
        <v>6.0000000521540598E-3</v>
      </c>
      <c r="AF993" s="43" t="s">
        <v>75</v>
      </c>
      <c r="AG993" s="43" t="s">
        <v>322</v>
      </c>
      <c r="AJ993" s="140">
        <v>0</v>
      </c>
      <c r="AK993" s="140">
        <v>0</v>
      </c>
      <c r="AL993" s="140">
        <v>0</v>
      </c>
      <c r="AM993" s="140">
        <v>0</v>
      </c>
      <c r="AN993" s="140">
        <v>0</v>
      </c>
      <c r="AO993" s="140">
        <v>1</v>
      </c>
      <c r="AP993" s="140">
        <v>0</v>
      </c>
      <c r="AQ993" s="140">
        <v>0</v>
      </c>
      <c r="AR993" s="140">
        <v>0</v>
      </c>
      <c r="AS993" s="140">
        <v>0</v>
      </c>
      <c r="AT993" s="140">
        <v>0</v>
      </c>
      <c r="AU993" s="140">
        <v>0</v>
      </c>
      <c r="AV993" s="140">
        <v>0</v>
      </c>
      <c r="AW993" s="140">
        <v>0</v>
      </c>
      <c r="AX993" s="140">
        <v>0</v>
      </c>
      <c r="AY993" s="140">
        <v>0</v>
      </c>
      <c r="AZ993" s="140">
        <v>0</v>
      </c>
      <c r="BA993" s="140">
        <v>0</v>
      </c>
      <c r="BB993" s="140">
        <v>0</v>
      </c>
      <c r="BC993" s="140">
        <v>1</v>
      </c>
      <c r="BD993" s="140">
        <v>0</v>
      </c>
      <c r="BE993" s="140">
        <v>0</v>
      </c>
      <c r="BF993" s="140">
        <v>0</v>
      </c>
      <c r="BG993" s="140">
        <v>0</v>
      </c>
      <c r="BH993" s="140">
        <v>0</v>
      </c>
      <c r="BI993" s="140">
        <v>0</v>
      </c>
      <c r="BJ993" s="140">
        <v>0</v>
      </c>
      <c r="BK993" s="140">
        <v>0</v>
      </c>
      <c r="BL993" s="140">
        <v>0</v>
      </c>
      <c r="BM993" s="140">
        <v>0</v>
      </c>
      <c r="BN993" s="140">
        <v>0</v>
      </c>
      <c r="BO993" s="140">
        <v>0</v>
      </c>
      <c r="BU993" s="89"/>
      <c r="BX993" s="43">
        <v>6</v>
      </c>
      <c r="CA993" s="90">
        <f>$M993/4</f>
        <v>0.25</v>
      </c>
      <c r="CB993" s="90">
        <f>$M993/4</f>
        <v>0.25</v>
      </c>
      <c r="CC993" s="90">
        <f>$M993/4</f>
        <v>0.25</v>
      </c>
      <c r="CD993" s="90">
        <f>$M993/4</f>
        <v>0.25</v>
      </c>
      <c r="CT993" s="90">
        <f t="shared" si="135"/>
        <v>1</v>
      </c>
      <c r="CU993" s="90">
        <f t="shared" si="136"/>
        <v>1</v>
      </c>
    </row>
    <row r="994" spans="1:99" ht="12" customHeight="1">
      <c r="A994" s="43">
        <v>7372</v>
      </c>
      <c r="B994" s="89" t="s">
        <v>1515</v>
      </c>
      <c r="C994" s="89" t="s">
        <v>2722</v>
      </c>
      <c r="D994" s="89" t="s">
        <v>2723</v>
      </c>
      <c r="F994" s="43">
        <v>526935</v>
      </c>
      <c r="G994" s="43">
        <v>171633</v>
      </c>
      <c r="H994" s="89" t="s">
        <v>141</v>
      </c>
      <c r="K994" s="140">
        <v>0</v>
      </c>
      <c r="L994" s="140">
        <v>1</v>
      </c>
      <c r="M994" s="140">
        <v>1</v>
      </c>
      <c r="N994" s="140">
        <v>1</v>
      </c>
      <c r="O994" s="140">
        <v>1</v>
      </c>
      <c r="Q994" s="89" t="s">
        <v>2724</v>
      </c>
      <c r="R994" s="43" t="s">
        <v>2725</v>
      </c>
      <c r="S994" s="125">
        <v>43873</v>
      </c>
      <c r="V994" s="43" t="s">
        <v>317</v>
      </c>
      <c r="X994" s="43" t="s">
        <v>318</v>
      </c>
      <c r="Y994" s="43" t="s">
        <v>379</v>
      </c>
      <c r="Z994" s="43" t="s">
        <v>320</v>
      </c>
      <c r="AA994" s="43" t="s">
        <v>340</v>
      </c>
      <c r="AB994" s="144">
        <v>4.0000001899898104E-3</v>
      </c>
      <c r="AF994" s="43" t="s">
        <v>75</v>
      </c>
      <c r="AG994" s="43" t="s">
        <v>322</v>
      </c>
      <c r="AJ994" s="140">
        <v>0</v>
      </c>
      <c r="AK994" s="140">
        <v>0</v>
      </c>
      <c r="AL994" s="140">
        <v>0</v>
      </c>
      <c r="AM994" s="140">
        <v>0</v>
      </c>
      <c r="AN994" s="140">
        <v>0</v>
      </c>
      <c r="AO994" s="140">
        <v>1</v>
      </c>
      <c r="AP994" s="140">
        <v>0</v>
      </c>
      <c r="AQ994" s="140">
        <v>0</v>
      </c>
      <c r="AR994" s="140">
        <v>0</v>
      </c>
      <c r="AS994" s="140">
        <v>0</v>
      </c>
      <c r="AT994" s="140">
        <v>0</v>
      </c>
      <c r="AU994" s="140">
        <v>0</v>
      </c>
      <c r="AV994" s="140">
        <v>1</v>
      </c>
      <c r="AW994" s="140">
        <v>0</v>
      </c>
      <c r="AX994" s="140">
        <v>0</v>
      </c>
      <c r="AY994" s="140">
        <v>0</v>
      </c>
      <c r="AZ994" s="140">
        <v>0</v>
      </c>
      <c r="BA994" s="140">
        <v>0</v>
      </c>
      <c r="BB994" s="140">
        <v>0</v>
      </c>
      <c r="BC994" s="140">
        <v>0</v>
      </c>
      <c r="BD994" s="140">
        <v>0</v>
      </c>
      <c r="BE994" s="140">
        <v>0</v>
      </c>
      <c r="BF994" s="140">
        <v>0</v>
      </c>
      <c r="BG994" s="140">
        <v>0</v>
      </c>
      <c r="BH994" s="140">
        <v>0</v>
      </c>
      <c r="BI994" s="140">
        <v>0</v>
      </c>
      <c r="BJ994" s="140">
        <v>0</v>
      </c>
      <c r="BK994" s="140">
        <v>0</v>
      </c>
      <c r="BL994" s="140">
        <v>0</v>
      </c>
      <c r="BM994" s="140">
        <v>0</v>
      </c>
      <c r="BN994" s="140">
        <v>0</v>
      </c>
      <c r="BO994" s="140">
        <v>0</v>
      </c>
      <c r="BX994" s="43">
        <v>15</v>
      </c>
      <c r="BZ994" s="90">
        <f>$M994/3</f>
        <v>0.33333333333333331</v>
      </c>
      <c r="CA994" s="90">
        <f>$M994/3</f>
        <v>0.33333333333333331</v>
      </c>
      <c r="CB994" s="90">
        <f>$M994/3</f>
        <v>0.33333333333333331</v>
      </c>
      <c r="CT994" s="90">
        <f t="shared" si="135"/>
        <v>1</v>
      </c>
      <c r="CU994" s="90">
        <f t="shared" si="136"/>
        <v>1</v>
      </c>
    </row>
    <row r="995" spans="1:99" ht="12" customHeight="1">
      <c r="A995" s="43">
        <v>3745</v>
      </c>
      <c r="B995" s="89" t="s">
        <v>2726</v>
      </c>
      <c r="C995" s="89" t="s">
        <v>2727</v>
      </c>
      <c r="D995" s="89" t="s">
        <v>2728</v>
      </c>
      <c r="E995" s="89" t="s">
        <v>367</v>
      </c>
      <c r="F995" s="43">
        <v>529291</v>
      </c>
      <c r="G995" s="43">
        <v>171210</v>
      </c>
      <c r="H995" s="89" t="s">
        <v>171</v>
      </c>
      <c r="K995" s="140">
        <v>0</v>
      </c>
      <c r="L995" s="140">
        <v>6</v>
      </c>
      <c r="M995" s="140">
        <v>6</v>
      </c>
      <c r="N995" s="140">
        <v>22</v>
      </c>
      <c r="O995" s="140">
        <v>22</v>
      </c>
      <c r="P995" s="43" t="s">
        <v>329</v>
      </c>
      <c r="Q995" s="89" t="s">
        <v>2729</v>
      </c>
      <c r="R995" s="43" t="s">
        <v>2730</v>
      </c>
      <c r="S995" s="125">
        <v>43164</v>
      </c>
      <c r="V995" s="43" t="s">
        <v>317</v>
      </c>
      <c r="X995" s="43" t="s">
        <v>318</v>
      </c>
      <c r="Y995" s="43" t="s">
        <v>361</v>
      </c>
      <c r="Z995" s="43" t="s">
        <v>361</v>
      </c>
      <c r="AA995" s="43" t="s">
        <v>320</v>
      </c>
      <c r="AB995" s="144">
        <v>4.80000004172325E-2</v>
      </c>
      <c r="AF995" s="43" t="s">
        <v>75</v>
      </c>
      <c r="AG995" s="43" t="s">
        <v>322</v>
      </c>
      <c r="AJ995" s="140">
        <v>0</v>
      </c>
      <c r="AK995" s="140">
        <v>0</v>
      </c>
      <c r="AL995" s="140">
        <v>0</v>
      </c>
      <c r="AM995" s="140">
        <v>0</v>
      </c>
      <c r="AN995" s="140">
        <v>0</v>
      </c>
      <c r="AO995" s="140">
        <v>3</v>
      </c>
      <c r="AP995" s="140">
        <v>3</v>
      </c>
      <c r="AQ995" s="140">
        <v>0</v>
      </c>
      <c r="AR995" s="140">
        <v>0</v>
      </c>
      <c r="AS995" s="140">
        <v>0</v>
      </c>
      <c r="AT995" s="140">
        <v>0</v>
      </c>
      <c r="AU995" s="140">
        <v>0</v>
      </c>
      <c r="AV995" s="140">
        <v>3</v>
      </c>
      <c r="AW995" s="140">
        <v>3</v>
      </c>
      <c r="AX995" s="140">
        <v>0</v>
      </c>
      <c r="AY995" s="140">
        <v>0</v>
      </c>
      <c r="AZ995" s="140">
        <v>0</v>
      </c>
      <c r="BA995" s="140">
        <v>0</v>
      </c>
      <c r="BB995" s="140">
        <v>0</v>
      </c>
      <c r="BC995" s="140">
        <v>0</v>
      </c>
      <c r="BD995" s="140">
        <v>0</v>
      </c>
      <c r="BE995" s="140">
        <v>0</v>
      </c>
      <c r="BF995" s="140">
        <v>0</v>
      </c>
      <c r="BG995" s="140">
        <v>0</v>
      </c>
      <c r="BH995" s="140">
        <v>0</v>
      </c>
      <c r="BI995" s="140">
        <v>0</v>
      </c>
      <c r="BJ995" s="140">
        <v>0</v>
      </c>
      <c r="BK995" s="140">
        <v>0</v>
      </c>
      <c r="BL995" s="140">
        <v>0</v>
      </c>
      <c r="BM995" s="140">
        <v>0</v>
      </c>
      <c r="BN995" s="140">
        <v>0</v>
      </c>
      <c r="BO995" s="140">
        <v>0</v>
      </c>
      <c r="BX995" s="43">
        <v>8</v>
      </c>
      <c r="CE995" s="90">
        <f t="shared" ref="CE995:CG997" si="140">$M995/3</f>
        <v>2</v>
      </c>
      <c r="CF995" s="90">
        <f t="shared" si="140"/>
        <v>2</v>
      </c>
      <c r="CG995" s="90">
        <f t="shared" si="140"/>
        <v>2</v>
      </c>
      <c r="CT995" s="90">
        <f t="shared" si="135"/>
        <v>0</v>
      </c>
      <c r="CU995" s="90">
        <f t="shared" si="136"/>
        <v>6</v>
      </c>
    </row>
    <row r="996" spans="1:99" ht="12" customHeight="1">
      <c r="A996" s="43">
        <v>3745</v>
      </c>
      <c r="B996" s="89" t="s">
        <v>2726</v>
      </c>
      <c r="C996" s="89" t="s">
        <v>2727</v>
      </c>
      <c r="D996" s="89" t="s">
        <v>2728</v>
      </c>
      <c r="E996" s="89" t="s">
        <v>369</v>
      </c>
      <c r="F996" s="43">
        <v>529291</v>
      </c>
      <c r="G996" s="43">
        <v>171210</v>
      </c>
      <c r="H996" s="89" t="s">
        <v>171</v>
      </c>
      <c r="K996" s="140">
        <v>0</v>
      </c>
      <c r="L996" s="140">
        <v>6</v>
      </c>
      <c r="M996" s="140">
        <v>6</v>
      </c>
      <c r="N996" s="140">
        <v>22</v>
      </c>
      <c r="O996" s="140">
        <v>22</v>
      </c>
      <c r="P996" s="43" t="s">
        <v>329</v>
      </c>
      <c r="Q996" s="89" t="s">
        <v>2729</v>
      </c>
      <c r="R996" s="43" t="s">
        <v>2730</v>
      </c>
      <c r="S996" s="125">
        <v>43164</v>
      </c>
      <c r="V996" s="43" t="s">
        <v>317</v>
      </c>
      <c r="X996" s="43" t="s">
        <v>318</v>
      </c>
      <c r="Y996" s="43" t="s">
        <v>361</v>
      </c>
      <c r="Z996" s="43" t="s">
        <v>361</v>
      </c>
      <c r="AA996" s="43" t="s">
        <v>320</v>
      </c>
      <c r="AB996" s="144">
        <v>7.1999996900558499E-2</v>
      </c>
      <c r="AF996" s="43" t="s">
        <v>75</v>
      </c>
      <c r="AG996" s="43" t="s">
        <v>322</v>
      </c>
      <c r="AJ996" s="140">
        <v>0</v>
      </c>
      <c r="AK996" s="140">
        <v>0</v>
      </c>
      <c r="AL996" s="140">
        <v>0</v>
      </c>
      <c r="AM996" s="140">
        <v>0</v>
      </c>
      <c r="AN996" s="140">
        <v>0</v>
      </c>
      <c r="AO996" s="140">
        <v>0</v>
      </c>
      <c r="AP996" s="140">
        <v>0</v>
      </c>
      <c r="AQ996" s="140">
        <v>6</v>
      </c>
      <c r="AR996" s="140">
        <v>0</v>
      </c>
      <c r="AS996" s="140">
        <v>0</v>
      </c>
      <c r="AT996" s="140">
        <v>0</v>
      </c>
      <c r="AU996" s="140">
        <v>0</v>
      </c>
      <c r="AV996" s="140">
        <v>0</v>
      </c>
      <c r="AW996" s="140">
        <v>0</v>
      </c>
      <c r="AX996" s="140">
        <v>0</v>
      </c>
      <c r="AY996" s="140">
        <v>0</v>
      </c>
      <c r="AZ996" s="140">
        <v>0</v>
      </c>
      <c r="BA996" s="140">
        <v>0</v>
      </c>
      <c r="BB996" s="140">
        <v>0</v>
      </c>
      <c r="BC996" s="140">
        <v>0</v>
      </c>
      <c r="BD996" s="140">
        <v>0</v>
      </c>
      <c r="BE996" s="140">
        <v>6</v>
      </c>
      <c r="BF996" s="140">
        <v>0</v>
      </c>
      <c r="BG996" s="140">
        <v>0</v>
      </c>
      <c r="BH996" s="140">
        <v>0</v>
      </c>
      <c r="BI996" s="140">
        <v>0</v>
      </c>
      <c r="BJ996" s="140">
        <v>0</v>
      </c>
      <c r="BK996" s="140">
        <v>0</v>
      </c>
      <c r="BL996" s="140">
        <v>0</v>
      </c>
      <c r="BM996" s="140">
        <v>0</v>
      </c>
      <c r="BN996" s="140">
        <v>0</v>
      </c>
      <c r="BO996" s="140">
        <v>0</v>
      </c>
      <c r="BX996" s="43">
        <v>8</v>
      </c>
      <c r="CE996" s="90">
        <f t="shared" si="140"/>
        <v>2</v>
      </c>
      <c r="CF996" s="90">
        <f t="shared" si="140"/>
        <v>2</v>
      </c>
      <c r="CG996" s="90">
        <f t="shared" si="140"/>
        <v>2</v>
      </c>
      <c r="CT996" s="90">
        <f t="shared" si="135"/>
        <v>0</v>
      </c>
      <c r="CU996" s="90">
        <f t="shared" si="136"/>
        <v>6</v>
      </c>
    </row>
    <row r="997" spans="1:99" ht="12" customHeight="1">
      <c r="A997" s="43">
        <v>3745</v>
      </c>
      <c r="B997" s="89" t="s">
        <v>2726</v>
      </c>
      <c r="C997" s="89" t="s">
        <v>2727</v>
      </c>
      <c r="D997" s="89" t="s">
        <v>2728</v>
      </c>
      <c r="E997" s="89" t="s">
        <v>454</v>
      </c>
      <c r="F997" s="43">
        <v>529291</v>
      </c>
      <c r="G997" s="43">
        <v>171210</v>
      </c>
      <c r="H997" s="89" t="s">
        <v>171</v>
      </c>
      <c r="K997" s="140">
        <v>0</v>
      </c>
      <c r="L997" s="140">
        <v>10</v>
      </c>
      <c r="M997" s="140">
        <v>10</v>
      </c>
      <c r="N997" s="140">
        <v>22</v>
      </c>
      <c r="O997" s="140">
        <v>22</v>
      </c>
      <c r="P997" s="43" t="s">
        <v>329</v>
      </c>
      <c r="Q997" s="89" t="s">
        <v>2729</v>
      </c>
      <c r="R997" s="43" t="s">
        <v>2730</v>
      </c>
      <c r="S997" s="125">
        <v>43164</v>
      </c>
      <c r="V997" s="43" t="s">
        <v>317</v>
      </c>
      <c r="X997" s="43" t="s">
        <v>318</v>
      </c>
      <c r="Y997" s="43" t="s">
        <v>361</v>
      </c>
      <c r="Z997" s="43" t="s">
        <v>361</v>
      </c>
      <c r="AA997" s="43" t="s">
        <v>320</v>
      </c>
      <c r="AB997" s="144">
        <v>7.8000001609325395E-2</v>
      </c>
      <c r="AF997" s="43" t="s">
        <v>75</v>
      </c>
      <c r="AG997" s="43" t="s">
        <v>322</v>
      </c>
      <c r="AJ997" s="140">
        <v>0</v>
      </c>
      <c r="AK997" s="140">
        <v>0</v>
      </c>
      <c r="AL997" s="140">
        <v>0</v>
      </c>
      <c r="AM997" s="140">
        <v>0</v>
      </c>
      <c r="AN997" s="140">
        <v>0</v>
      </c>
      <c r="AO997" s="140">
        <v>4</v>
      </c>
      <c r="AP997" s="140">
        <v>6</v>
      </c>
      <c r="AQ997" s="140">
        <v>0</v>
      </c>
      <c r="AR997" s="140">
        <v>0</v>
      </c>
      <c r="AS997" s="140">
        <v>0</v>
      </c>
      <c r="AT997" s="140">
        <v>0</v>
      </c>
      <c r="AU997" s="140">
        <v>0</v>
      </c>
      <c r="AV997" s="140">
        <v>4</v>
      </c>
      <c r="AW997" s="140">
        <v>6</v>
      </c>
      <c r="AX997" s="140">
        <v>0</v>
      </c>
      <c r="AY997" s="140">
        <v>0</v>
      </c>
      <c r="AZ997" s="140">
        <v>0</v>
      </c>
      <c r="BA997" s="140">
        <v>0</v>
      </c>
      <c r="BB997" s="140">
        <v>0</v>
      </c>
      <c r="BC997" s="140">
        <v>0</v>
      </c>
      <c r="BD997" s="140">
        <v>0</v>
      </c>
      <c r="BE997" s="140">
        <v>0</v>
      </c>
      <c r="BF997" s="140">
        <v>0</v>
      </c>
      <c r="BG997" s="140">
        <v>0</v>
      </c>
      <c r="BH997" s="140">
        <v>0</v>
      </c>
      <c r="BI997" s="140">
        <v>0</v>
      </c>
      <c r="BJ997" s="140">
        <v>0</v>
      </c>
      <c r="BK997" s="140">
        <v>0</v>
      </c>
      <c r="BL997" s="140">
        <v>0</v>
      </c>
      <c r="BM997" s="140">
        <v>0</v>
      </c>
      <c r="BN997" s="140">
        <v>0</v>
      </c>
      <c r="BO997" s="140">
        <v>0</v>
      </c>
      <c r="BX997" s="43">
        <v>8</v>
      </c>
      <c r="CE997" s="90">
        <f t="shared" si="140"/>
        <v>3.3333333333333335</v>
      </c>
      <c r="CF997" s="90">
        <f t="shared" si="140"/>
        <v>3.3333333333333335</v>
      </c>
      <c r="CG997" s="90">
        <f t="shared" si="140"/>
        <v>3.3333333333333335</v>
      </c>
      <c r="CT997" s="90">
        <f t="shared" si="135"/>
        <v>0</v>
      </c>
      <c r="CU997" s="90">
        <f t="shared" si="136"/>
        <v>10</v>
      </c>
    </row>
    <row r="998" spans="1:99" ht="12" customHeight="1">
      <c r="A998" s="43">
        <v>6657</v>
      </c>
      <c r="B998" s="89" t="s">
        <v>2726</v>
      </c>
      <c r="C998" s="89" t="s">
        <v>2731</v>
      </c>
      <c r="D998" s="89" t="s">
        <v>2732</v>
      </c>
      <c r="E998" s="89" t="s">
        <v>2733</v>
      </c>
      <c r="F998" s="43">
        <v>525999</v>
      </c>
      <c r="G998" s="43">
        <v>173647</v>
      </c>
      <c r="H998" s="89" t="s">
        <v>168</v>
      </c>
      <c r="K998" s="140">
        <v>0</v>
      </c>
      <c r="L998" s="140">
        <v>64</v>
      </c>
      <c r="M998" s="140">
        <v>64</v>
      </c>
      <c r="N998" s="140">
        <v>193</v>
      </c>
      <c r="O998" s="140">
        <v>182</v>
      </c>
      <c r="P998" s="43" t="s">
        <v>329</v>
      </c>
      <c r="Q998" s="89" t="s">
        <v>2734</v>
      </c>
      <c r="R998" s="43" t="s">
        <v>2730</v>
      </c>
      <c r="S998" s="125">
        <v>42943</v>
      </c>
      <c r="V998" s="43" t="s">
        <v>317</v>
      </c>
      <c r="X998" s="43" t="s">
        <v>318</v>
      </c>
      <c r="Y998" s="43" t="s">
        <v>361</v>
      </c>
      <c r="Z998" s="43" t="s">
        <v>361</v>
      </c>
      <c r="AA998" s="43" t="s">
        <v>320</v>
      </c>
      <c r="AB998" s="144">
        <v>0</v>
      </c>
      <c r="AF998" s="43" t="s">
        <v>75</v>
      </c>
      <c r="AG998" s="43" t="s">
        <v>322</v>
      </c>
      <c r="AJ998" s="140">
        <v>0</v>
      </c>
      <c r="AK998" s="140">
        <v>0</v>
      </c>
      <c r="AL998" s="140">
        <v>0</v>
      </c>
      <c r="AM998" s="140">
        <v>0</v>
      </c>
      <c r="AN998" s="140">
        <v>0</v>
      </c>
      <c r="AO998" s="140">
        <v>9</v>
      </c>
      <c r="AP998" s="140">
        <v>38</v>
      </c>
      <c r="AQ998" s="140">
        <v>2</v>
      </c>
      <c r="AR998" s="140">
        <v>15</v>
      </c>
      <c r="AS998" s="140">
        <v>0</v>
      </c>
      <c r="AT998" s="140">
        <v>0</v>
      </c>
      <c r="AU998" s="140">
        <v>0</v>
      </c>
      <c r="AV998" s="140">
        <v>9</v>
      </c>
      <c r="AW998" s="140">
        <v>38</v>
      </c>
      <c r="AX998" s="140">
        <v>1</v>
      </c>
      <c r="AY998" s="140">
        <v>0</v>
      </c>
      <c r="AZ998" s="140">
        <v>0</v>
      </c>
      <c r="BA998" s="140">
        <v>0</v>
      </c>
      <c r="BB998" s="140">
        <v>0</v>
      </c>
      <c r="BC998" s="140">
        <v>0</v>
      </c>
      <c r="BD998" s="140">
        <v>0</v>
      </c>
      <c r="BE998" s="140">
        <v>1</v>
      </c>
      <c r="BF998" s="140">
        <v>15</v>
      </c>
      <c r="BG998" s="140">
        <v>0</v>
      </c>
      <c r="BH998" s="140">
        <v>0</v>
      </c>
      <c r="BI998" s="140">
        <v>0</v>
      </c>
      <c r="BJ998" s="140">
        <v>0</v>
      </c>
      <c r="BK998" s="140">
        <v>0</v>
      </c>
      <c r="BL998" s="140">
        <v>0</v>
      </c>
      <c r="BM998" s="140">
        <v>0</v>
      </c>
      <c r="BN998" s="140">
        <v>0</v>
      </c>
      <c r="BO998" s="140">
        <v>0</v>
      </c>
      <c r="BX998" s="43">
        <v>7</v>
      </c>
      <c r="CB998" s="90">
        <f>M998</f>
        <v>64</v>
      </c>
      <c r="CT998" s="90">
        <f t="shared" si="135"/>
        <v>64</v>
      </c>
      <c r="CU998" s="90">
        <f t="shared" si="136"/>
        <v>64</v>
      </c>
    </row>
    <row r="999" spans="1:99" ht="12" customHeight="1">
      <c r="A999" s="43">
        <v>6657</v>
      </c>
      <c r="B999" s="89" t="s">
        <v>2726</v>
      </c>
      <c r="C999" s="89" t="s">
        <v>2731</v>
      </c>
      <c r="D999" s="89" t="s">
        <v>2732</v>
      </c>
      <c r="E999" s="89" t="s">
        <v>2733</v>
      </c>
      <c r="F999" s="43">
        <v>525999</v>
      </c>
      <c r="G999" s="43">
        <v>173647</v>
      </c>
      <c r="H999" s="89" t="s">
        <v>168</v>
      </c>
      <c r="K999" s="140">
        <v>0</v>
      </c>
      <c r="L999" s="140">
        <v>33</v>
      </c>
      <c r="M999" s="140">
        <v>33</v>
      </c>
      <c r="N999" s="140">
        <v>193</v>
      </c>
      <c r="O999" s="140">
        <v>182</v>
      </c>
      <c r="P999" s="43" t="s">
        <v>329</v>
      </c>
      <c r="Q999" s="89" t="s">
        <v>2734</v>
      </c>
      <c r="R999" s="43" t="s">
        <v>2730</v>
      </c>
      <c r="S999" s="125">
        <v>42943</v>
      </c>
      <c r="V999" s="43" t="s">
        <v>317</v>
      </c>
      <c r="X999" s="43" t="s">
        <v>318</v>
      </c>
      <c r="Y999" s="43" t="s">
        <v>361</v>
      </c>
      <c r="Z999" s="43" t="s">
        <v>361</v>
      </c>
      <c r="AA999" s="43" t="s">
        <v>320</v>
      </c>
      <c r="AB999" s="144">
        <v>0</v>
      </c>
      <c r="AF999" s="43" t="s">
        <v>54</v>
      </c>
      <c r="AG999" s="43" t="s">
        <v>399</v>
      </c>
      <c r="AJ999" s="140">
        <v>0</v>
      </c>
      <c r="AK999" s="140">
        <v>0</v>
      </c>
      <c r="AL999" s="140">
        <v>0</v>
      </c>
      <c r="AM999" s="140">
        <v>0</v>
      </c>
      <c r="AN999" s="140">
        <v>0</v>
      </c>
      <c r="AO999" s="140">
        <v>11</v>
      </c>
      <c r="AP999" s="140">
        <v>16</v>
      </c>
      <c r="AQ999" s="140">
        <v>6</v>
      </c>
      <c r="AR999" s="140">
        <v>0</v>
      </c>
      <c r="AS999" s="140">
        <v>0</v>
      </c>
      <c r="AT999" s="140">
        <v>0</v>
      </c>
      <c r="AU999" s="140">
        <v>0</v>
      </c>
      <c r="AV999" s="140">
        <v>11</v>
      </c>
      <c r="AW999" s="140">
        <v>16</v>
      </c>
      <c r="AX999" s="140">
        <v>4</v>
      </c>
      <c r="AY999" s="140">
        <v>0</v>
      </c>
      <c r="AZ999" s="140">
        <v>0</v>
      </c>
      <c r="BA999" s="140">
        <v>0</v>
      </c>
      <c r="BB999" s="140">
        <v>0</v>
      </c>
      <c r="BC999" s="140">
        <v>0</v>
      </c>
      <c r="BD999" s="140">
        <v>0</v>
      </c>
      <c r="BE999" s="140">
        <v>2</v>
      </c>
      <c r="BF999" s="140">
        <v>0</v>
      </c>
      <c r="BG999" s="140">
        <v>0</v>
      </c>
      <c r="BH999" s="140">
        <v>0</v>
      </c>
      <c r="BI999" s="140">
        <v>0</v>
      </c>
      <c r="BJ999" s="140">
        <v>0</v>
      </c>
      <c r="BK999" s="140">
        <v>0</v>
      </c>
      <c r="BL999" s="140">
        <v>0</v>
      </c>
      <c r="BM999" s="140">
        <v>0</v>
      </c>
      <c r="BN999" s="140">
        <v>0</v>
      </c>
      <c r="BO999" s="140">
        <v>0</v>
      </c>
      <c r="BX999" s="43">
        <v>7</v>
      </c>
      <c r="CB999" s="90">
        <f>M999</f>
        <v>33</v>
      </c>
      <c r="CT999" s="90">
        <f t="shared" si="135"/>
        <v>33</v>
      </c>
      <c r="CU999" s="90">
        <f t="shared" si="136"/>
        <v>33</v>
      </c>
    </row>
    <row r="1000" spans="1:99" ht="12" customHeight="1">
      <c r="A1000" s="43">
        <v>6657</v>
      </c>
      <c r="B1000" s="89" t="s">
        <v>2726</v>
      </c>
      <c r="C1000" s="89" t="s">
        <v>2731</v>
      </c>
      <c r="D1000" s="89" t="s">
        <v>2732</v>
      </c>
      <c r="E1000" s="89" t="s">
        <v>2733</v>
      </c>
      <c r="F1000" s="43">
        <v>525999</v>
      </c>
      <c r="G1000" s="43">
        <v>173647</v>
      </c>
      <c r="H1000" s="89" t="s">
        <v>168</v>
      </c>
      <c r="K1000" s="140">
        <v>11</v>
      </c>
      <c r="L1000" s="140">
        <v>11</v>
      </c>
      <c r="M1000" s="140">
        <v>0</v>
      </c>
      <c r="N1000" s="140">
        <v>193</v>
      </c>
      <c r="O1000" s="140">
        <v>182</v>
      </c>
      <c r="P1000" s="43" t="s">
        <v>329</v>
      </c>
      <c r="Q1000" s="89" t="s">
        <v>2734</v>
      </c>
      <c r="R1000" s="43" t="s">
        <v>2730</v>
      </c>
      <c r="S1000" s="125">
        <v>42943</v>
      </c>
      <c r="V1000" s="43" t="s">
        <v>317</v>
      </c>
      <c r="X1000" s="43" t="s">
        <v>318</v>
      </c>
      <c r="Y1000" s="43" t="s">
        <v>361</v>
      </c>
      <c r="Z1000" s="43" t="s">
        <v>361</v>
      </c>
      <c r="AA1000" s="43" t="s">
        <v>320</v>
      </c>
      <c r="AB1000" s="144">
        <v>0</v>
      </c>
      <c r="AF1000" s="43" t="s">
        <v>55</v>
      </c>
      <c r="AG1000" s="43" t="s">
        <v>526</v>
      </c>
      <c r="AJ1000" s="140">
        <v>0</v>
      </c>
      <c r="AK1000" s="140">
        <v>0</v>
      </c>
      <c r="AL1000" s="140">
        <v>0</v>
      </c>
      <c r="AM1000" s="140">
        <v>0</v>
      </c>
      <c r="AN1000" s="140">
        <v>0</v>
      </c>
      <c r="AO1000" s="140">
        <v>0</v>
      </c>
      <c r="AP1000" s="140">
        <v>-3</v>
      </c>
      <c r="AQ1000" s="140">
        <v>-4</v>
      </c>
      <c r="AR1000" s="140">
        <v>7</v>
      </c>
      <c r="AS1000" s="140">
        <v>0</v>
      </c>
      <c r="AT1000" s="140">
        <v>0</v>
      </c>
      <c r="AU1000" s="140">
        <v>0</v>
      </c>
      <c r="AV1000" s="140">
        <v>0</v>
      </c>
      <c r="AW1000" s="140">
        <v>-3</v>
      </c>
      <c r="AX1000" s="140">
        <v>0</v>
      </c>
      <c r="AY1000" s="140">
        <v>0</v>
      </c>
      <c r="AZ1000" s="140">
        <v>0</v>
      </c>
      <c r="BA1000" s="140">
        <v>0</v>
      </c>
      <c r="BB1000" s="140">
        <v>0</v>
      </c>
      <c r="BC1000" s="140">
        <v>0</v>
      </c>
      <c r="BD1000" s="140">
        <v>0</v>
      </c>
      <c r="BE1000" s="140">
        <v>-4</v>
      </c>
      <c r="BF1000" s="140">
        <v>7</v>
      </c>
      <c r="BG1000" s="140">
        <v>0</v>
      </c>
      <c r="BH1000" s="140">
        <v>0</v>
      </c>
      <c r="BI1000" s="140">
        <v>0</v>
      </c>
      <c r="BJ1000" s="140">
        <v>0</v>
      </c>
      <c r="BK1000" s="140">
        <v>0</v>
      </c>
      <c r="BL1000" s="140">
        <v>0</v>
      </c>
      <c r="BM1000" s="140">
        <v>0</v>
      </c>
      <c r="BN1000" s="140">
        <v>0</v>
      </c>
      <c r="BO1000" s="140">
        <v>0</v>
      </c>
      <c r="BX1000" s="43">
        <v>7</v>
      </c>
      <c r="CB1000" s="90">
        <f>M1000</f>
        <v>0</v>
      </c>
      <c r="CT1000" s="90">
        <f t="shared" si="135"/>
        <v>0</v>
      </c>
      <c r="CU1000" s="90">
        <f t="shared" si="136"/>
        <v>0</v>
      </c>
    </row>
    <row r="1001" spans="1:99" ht="12" customHeight="1">
      <c r="A1001" s="43">
        <v>6657</v>
      </c>
      <c r="B1001" s="89" t="s">
        <v>2726</v>
      </c>
      <c r="C1001" s="89" t="s">
        <v>2731</v>
      </c>
      <c r="D1001" s="89" t="s">
        <v>2732</v>
      </c>
      <c r="E1001" s="89" t="s">
        <v>2733</v>
      </c>
      <c r="F1001" s="43">
        <v>525999</v>
      </c>
      <c r="G1001" s="43">
        <v>173647</v>
      </c>
      <c r="H1001" s="89" t="s">
        <v>168</v>
      </c>
      <c r="K1001" s="140">
        <v>0</v>
      </c>
      <c r="L1001" s="140">
        <v>2</v>
      </c>
      <c r="M1001" s="140">
        <v>2</v>
      </c>
      <c r="N1001" s="140">
        <v>193</v>
      </c>
      <c r="O1001" s="140">
        <v>182</v>
      </c>
      <c r="P1001" s="43" t="s">
        <v>329</v>
      </c>
      <c r="Q1001" s="89" t="s">
        <v>2734</v>
      </c>
      <c r="R1001" s="43" t="s">
        <v>2730</v>
      </c>
      <c r="S1001" s="125">
        <v>42943</v>
      </c>
      <c r="V1001" s="43" t="s">
        <v>317</v>
      </c>
      <c r="X1001" s="43" t="s">
        <v>318</v>
      </c>
      <c r="Y1001" s="43" t="s">
        <v>361</v>
      </c>
      <c r="Z1001" s="43" t="s">
        <v>361</v>
      </c>
      <c r="AA1001" s="43" t="s">
        <v>320</v>
      </c>
      <c r="AB1001" s="144">
        <v>0</v>
      </c>
      <c r="AF1001" s="43" t="s">
        <v>54</v>
      </c>
      <c r="AG1001" s="43" t="s">
        <v>831</v>
      </c>
      <c r="AJ1001" s="140">
        <v>0</v>
      </c>
      <c r="AK1001" s="140">
        <v>0</v>
      </c>
      <c r="AL1001" s="140">
        <v>0</v>
      </c>
      <c r="AM1001" s="140">
        <v>0</v>
      </c>
      <c r="AN1001" s="140">
        <v>0</v>
      </c>
      <c r="AO1001" s="140">
        <v>0</v>
      </c>
      <c r="AP1001" s="140">
        <v>0</v>
      </c>
      <c r="AQ1001" s="140">
        <v>2</v>
      </c>
      <c r="AR1001" s="140">
        <v>0</v>
      </c>
      <c r="AS1001" s="140">
        <v>0</v>
      </c>
      <c r="AT1001" s="140">
        <v>0</v>
      </c>
      <c r="AU1001" s="140">
        <v>0</v>
      </c>
      <c r="AV1001" s="140">
        <v>0</v>
      </c>
      <c r="AW1001" s="140">
        <v>0</v>
      </c>
      <c r="AX1001" s="140">
        <v>2</v>
      </c>
      <c r="AY1001" s="140">
        <v>0</v>
      </c>
      <c r="AZ1001" s="140">
        <v>0</v>
      </c>
      <c r="BA1001" s="140">
        <v>0</v>
      </c>
      <c r="BB1001" s="140">
        <v>0</v>
      </c>
      <c r="BC1001" s="140">
        <v>0</v>
      </c>
      <c r="BD1001" s="140">
        <v>0</v>
      </c>
      <c r="BE1001" s="140">
        <v>0</v>
      </c>
      <c r="BF1001" s="140">
        <v>0</v>
      </c>
      <c r="BG1001" s="140">
        <v>0</v>
      </c>
      <c r="BH1001" s="140">
        <v>0</v>
      </c>
      <c r="BI1001" s="140">
        <v>0</v>
      </c>
      <c r="BJ1001" s="140">
        <v>0</v>
      </c>
      <c r="BK1001" s="140">
        <v>0</v>
      </c>
      <c r="BL1001" s="140">
        <v>0</v>
      </c>
      <c r="BM1001" s="140">
        <v>0</v>
      </c>
      <c r="BN1001" s="140">
        <v>0</v>
      </c>
      <c r="BO1001" s="140">
        <v>0</v>
      </c>
      <c r="BX1001" s="43">
        <v>7</v>
      </c>
      <c r="CB1001" s="90">
        <f>M1001</f>
        <v>2</v>
      </c>
      <c r="CT1001" s="90">
        <f t="shared" si="135"/>
        <v>2</v>
      </c>
      <c r="CU1001" s="90">
        <f t="shared" si="136"/>
        <v>2</v>
      </c>
    </row>
    <row r="1002" spans="1:99" ht="12" customHeight="1">
      <c r="A1002" s="43">
        <v>6657</v>
      </c>
      <c r="B1002" s="89" t="s">
        <v>2726</v>
      </c>
      <c r="C1002" s="89" t="s">
        <v>2731</v>
      </c>
      <c r="D1002" s="89" t="s">
        <v>2732</v>
      </c>
      <c r="E1002" s="89" t="s">
        <v>972</v>
      </c>
      <c r="F1002" s="43">
        <v>525999</v>
      </c>
      <c r="G1002" s="43">
        <v>173647</v>
      </c>
      <c r="H1002" s="89" t="s">
        <v>168</v>
      </c>
      <c r="K1002" s="140">
        <v>0</v>
      </c>
      <c r="L1002" s="140">
        <v>52</v>
      </c>
      <c r="M1002" s="140">
        <v>52</v>
      </c>
      <c r="N1002" s="140">
        <v>193</v>
      </c>
      <c r="O1002" s="140">
        <v>182</v>
      </c>
      <c r="P1002" s="43" t="s">
        <v>329</v>
      </c>
      <c r="Q1002" s="89" t="s">
        <v>2734</v>
      </c>
      <c r="R1002" s="43" t="s">
        <v>2730</v>
      </c>
      <c r="S1002" s="125">
        <v>42943</v>
      </c>
      <c r="V1002" s="43" t="s">
        <v>317</v>
      </c>
      <c r="X1002" s="43" t="s">
        <v>318</v>
      </c>
      <c r="Y1002" s="43" t="s">
        <v>361</v>
      </c>
      <c r="Z1002" s="43" t="s">
        <v>361</v>
      </c>
      <c r="AA1002" s="43" t="s">
        <v>320</v>
      </c>
      <c r="AB1002" s="144">
        <v>0</v>
      </c>
      <c r="AF1002" s="43" t="s">
        <v>75</v>
      </c>
      <c r="AG1002" s="43" t="s">
        <v>322</v>
      </c>
      <c r="AJ1002" s="140">
        <v>0</v>
      </c>
      <c r="AK1002" s="140">
        <v>0</v>
      </c>
      <c r="AL1002" s="140">
        <v>0</v>
      </c>
      <c r="AM1002" s="140">
        <v>0</v>
      </c>
      <c r="AN1002" s="140">
        <v>0</v>
      </c>
      <c r="AO1002" s="140">
        <v>14</v>
      </c>
      <c r="AP1002" s="140">
        <v>36</v>
      </c>
      <c r="AQ1002" s="140">
        <v>2</v>
      </c>
      <c r="AR1002" s="140">
        <v>0</v>
      </c>
      <c r="AS1002" s="140">
        <v>0</v>
      </c>
      <c r="AT1002" s="140">
        <v>0</v>
      </c>
      <c r="AU1002" s="140">
        <v>0</v>
      </c>
      <c r="AV1002" s="140">
        <v>14</v>
      </c>
      <c r="AW1002" s="140">
        <v>36</v>
      </c>
      <c r="AX1002" s="140">
        <v>1</v>
      </c>
      <c r="AY1002" s="140">
        <v>0</v>
      </c>
      <c r="AZ1002" s="140">
        <v>0</v>
      </c>
      <c r="BA1002" s="140">
        <v>0</v>
      </c>
      <c r="BB1002" s="140">
        <v>0</v>
      </c>
      <c r="BC1002" s="140">
        <v>0</v>
      </c>
      <c r="BD1002" s="140">
        <v>0</v>
      </c>
      <c r="BE1002" s="140">
        <v>1</v>
      </c>
      <c r="BF1002" s="140">
        <v>0</v>
      </c>
      <c r="BG1002" s="140">
        <v>0</v>
      </c>
      <c r="BH1002" s="140">
        <v>0</v>
      </c>
      <c r="BI1002" s="140">
        <v>0</v>
      </c>
      <c r="BJ1002" s="140">
        <v>0</v>
      </c>
      <c r="BK1002" s="140">
        <v>0</v>
      </c>
      <c r="BL1002" s="140">
        <v>0</v>
      </c>
      <c r="BM1002" s="140">
        <v>0</v>
      </c>
      <c r="BN1002" s="140">
        <v>0</v>
      </c>
      <c r="BO1002" s="140">
        <v>0</v>
      </c>
      <c r="BX1002" s="43">
        <v>7</v>
      </c>
      <c r="CE1002" s="90">
        <f>M1002</f>
        <v>52</v>
      </c>
      <c r="CT1002" s="90">
        <f t="shared" si="135"/>
        <v>0</v>
      </c>
      <c r="CU1002" s="90">
        <f t="shared" si="136"/>
        <v>52</v>
      </c>
    </row>
    <row r="1003" spans="1:99" ht="12" customHeight="1">
      <c r="A1003" s="43">
        <v>6657</v>
      </c>
      <c r="B1003" s="89" t="s">
        <v>2726</v>
      </c>
      <c r="C1003" s="89" t="s">
        <v>2731</v>
      </c>
      <c r="D1003" s="89" t="s">
        <v>2732</v>
      </c>
      <c r="E1003" s="89" t="s">
        <v>972</v>
      </c>
      <c r="F1003" s="43">
        <v>525999</v>
      </c>
      <c r="G1003" s="43">
        <v>173647</v>
      </c>
      <c r="H1003" s="89" t="s">
        <v>168</v>
      </c>
      <c r="K1003" s="140">
        <v>0</v>
      </c>
      <c r="L1003" s="140">
        <v>23</v>
      </c>
      <c r="M1003" s="140">
        <v>23</v>
      </c>
      <c r="N1003" s="140">
        <v>193</v>
      </c>
      <c r="O1003" s="140">
        <v>182</v>
      </c>
      <c r="P1003" s="43" t="s">
        <v>329</v>
      </c>
      <c r="Q1003" s="89" t="s">
        <v>2734</v>
      </c>
      <c r="R1003" s="43" t="s">
        <v>2730</v>
      </c>
      <c r="S1003" s="125">
        <v>42943</v>
      </c>
      <c r="V1003" s="43" t="s">
        <v>317</v>
      </c>
      <c r="X1003" s="43" t="s">
        <v>318</v>
      </c>
      <c r="Y1003" s="43" t="s">
        <v>361</v>
      </c>
      <c r="Z1003" s="43" t="s">
        <v>361</v>
      </c>
      <c r="AA1003" s="43" t="s">
        <v>320</v>
      </c>
      <c r="AB1003" s="144">
        <v>0</v>
      </c>
      <c r="AF1003" s="43" t="s">
        <v>54</v>
      </c>
      <c r="AG1003" s="43" t="s">
        <v>399</v>
      </c>
      <c r="AJ1003" s="140">
        <v>0</v>
      </c>
      <c r="AK1003" s="140">
        <v>0</v>
      </c>
      <c r="AL1003" s="140">
        <v>0</v>
      </c>
      <c r="AM1003" s="140">
        <v>0</v>
      </c>
      <c r="AN1003" s="140">
        <v>0</v>
      </c>
      <c r="AO1003" s="140">
        <v>3</v>
      </c>
      <c r="AP1003" s="140">
        <v>16</v>
      </c>
      <c r="AQ1003" s="140">
        <v>4</v>
      </c>
      <c r="AR1003" s="140">
        <v>0</v>
      </c>
      <c r="AS1003" s="140">
        <v>0</v>
      </c>
      <c r="AT1003" s="140">
        <v>0</v>
      </c>
      <c r="AU1003" s="140">
        <v>0</v>
      </c>
      <c r="AV1003" s="140">
        <v>3</v>
      </c>
      <c r="AW1003" s="140">
        <v>16</v>
      </c>
      <c r="AX1003" s="140">
        <v>4</v>
      </c>
      <c r="AY1003" s="140">
        <v>0</v>
      </c>
      <c r="AZ1003" s="140">
        <v>0</v>
      </c>
      <c r="BA1003" s="140">
        <v>0</v>
      </c>
      <c r="BB1003" s="140">
        <v>0</v>
      </c>
      <c r="BC1003" s="140">
        <v>0</v>
      </c>
      <c r="BD1003" s="140">
        <v>0</v>
      </c>
      <c r="BE1003" s="140">
        <v>0</v>
      </c>
      <c r="BF1003" s="140">
        <v>0</v>
      </c>
      <c r="BG1003" s="140">
        <v>0</v>
      </c>
      <c r="BH1003" s="140">
        <v>0</v>
      </c>
      <c r="BI1003" s="140">
        <v>0</v>
      </c>
      <c r="BJ1003" s="140">
        <v>0</v>
      </c>
      <c r="BK1003" s="140">
        <v>0</v>
      </c>
      <c r="BL1003" s="140">
        <v>0</v>
      </c>
      <c r="BM1003" s="140">
        <v>0</v>
      </c>
      <c r="BN1003" s="140">
        <v>0</v>
      </c>
      <c r="BO1003" s="140">
        <v>0</v>
      </c>
      <c r="BX1003" s="43">
        <v>7</v>
      </c>
      <c r="CE1003" s="90">
        <f>M1003</f>
        <v>23</v>
      </c>
      <c r="CT1003" s="90">
        <f t="shared" si="135"/>
        <v>0</v>
      </c>
      <c r="CU1003" s="90">
        <f t="shared" si="136"/>
        <v>23</v>
      </c>
    </row>
    <row r="1004" spans="1:99" ht="12" customHeight="1">
      <c r="A1004" s="43">
        <v>6657</v>
      </c>
      <c r="B1004" s="89" t="s">
        <v>2726</v>
      </c>
      <c r="C1004" s="89" t="s">
        <v>2731</v>
      </c>
      <c r="D1004" s="89" t="s">
        <v>2732</v>
      </c>
      <c r="E1004" s="89" t="s">
        <v>972</v>
      </c>
      <c r="F1004" s="43">
        <v>525999</v>
      </c>
      <c r="G1004" s="43">
        <v>173647</v>
      </c>
      <c r="H1004" s="89" t="s">
        <v>168</v>
      </c>
      <c r="K1004" s="140">
        <v>0</v>
      </c>
      <c r="L1004" s="140">
        <v>8</v>
      </c>
      <c r="M1004" s="140">
        <v>8</v>
      </c>
      <c r="N1004" s="140">
        <v>193</v>
      </c>
      <c r="O1004" s="140">
        <v>182</v>
      </c>
      <c r="P1004" s="43" t="s">
        <v>329</v>
      </c>
      <c r="Q1004" s="89" t="s">
        <v>2734</v>
      </c>
      <c r="R1004" s="43" t="s">
        <v>2730</v>
      </c>
      <c r="S1004" s="125">
        <v>42943</v>
      </c>
      <c r="V1004" s="43" t="s">
        <v>317</v>
      </c>
      <c r="X1004" s="43" t="s">
        <v>318</v>
      </c>
      <c r="Y1004" s="43" t="s">
        <v>361</v>
      </c>
      <c r="Z1004" s="43" t="s">
        <v>361</v>
      </c>
      <c r="AA1004" s="43" t="s">
        <v>320</v>
      </c>
      <c r="AB1004" s="144">
        <v>0</v>
      </c>
      <c r="AF1004" s="43" t="s">
        <v>55</v>
      </c>
      <c r="AG1004" s="43" t="s">
        <v>526</v>
      </c>
      <c r="AJ1004" s="140">
        <v>0</v>
      </c>
      <c r="AK1004" s="140">
        <v>0</v>
      </c>
      <c r="AL1004" s="140">
        <v>0</v>
      </c>
      <c r="AM1004" s="140">
        <v>0</v>
      </c>
      <c r="AN1004" s="140">
        <v>0</v>
      </c>
      <c r="AO1004" s="140">
        <v>0</v>
      </c>
      <c r="AP1004" s="140">
        <v>4</v>
      </c>
      <c r="AQ1004" s="140">
        <v>4</v>
      </c>
      <c r="AR1004" s="140">
        <v>0</v>
      </c>
      <c r="AS1004" s="140">
        <v>0</v>
      </c>
      <c r="AT1004" s="140">
        <v>0</v>
      </c>
      <c r="AU1004" s="140">
        <v>0</v>
      </c>
      <c r="AV1004" s="140">
        <v>0</v>
      </c>
      <c r="AW1004" s="140">
        <v>4</v>
      </c>
      <c r="AX1004" s="140">
        <v>4</v>
      </c>
      <c r="AY1004" s="140">
        <v>0</v>
      </c>
      <c r="AZ1004" s="140">
        <v>0</v>
      </c>
      <c r="BA1004" s="140">
        <v>0</v>
      </c>
      <c r="BB1004" s="140">
        <v>0</v>
      </c>
      <c r="BC1004" s="140">
        <v>0</v>
      </c>
      <c r="BD1004" s="140">
        <v>0</v>
      </c>
      <c r="BE1004" s="140">
        <v>0</v>
      </c>
      <c r="BF1004" s="140">
        <v>0</v>
      </c>
      <c r="BG1004" s="140">
        <v>0</v>
      </c>
      <c r="BH1004" s="140">
        <v>0</v>
      </c>
      <c r="BI1004" s="140">
        <v>0</v>
      </c>
      <c r="BJ1004" s="140">
        <v>0</v>
      </c>
      <c r="BK1004" s="140">
        <v>0</v>
      </c>
      <c r="BL1004" s="140">
        <v>0</v>
      </c>
      <c r="BM1004" s="140">
        <v>0</v>
      </c>
      <c r="BN1004" s="140">
        <v>0</v>
      </c>
      <c r="BO1004" s="140">
        <v>0</v>
      </c>
      <c r="BX1004" s="43">
        <v>7</v>
      </c>
      <c r="CE1004" s="90">
        <f>M1004</f>
        <v>8</v>
      </c>
      <c r="CT1004" s="90">
        <f t="shared" si="135"/>
        <v>0</v>
      </c>
      <c r="CU1004" s="90">
        <f t="shared" si="136"/>
        <v>8</v>
      </c>
    </row>
    <row r="1005" spans="1:99" ht="12" customHeight="1">
      <c r="A1005" s="43">
        <v>6744</v>
      </c>
      <c r="B1005" s="89" t="s">
        <v>2726</v>
      </c>
      <c r="C1005" s="89" t="s">
        <v>2735</v>
      </c>
      <c r="D1005" s="89" t="s">
        <v>2736</v>
      </c>
      <c r="F1005" s="43">
        <v>528468</v>
      </c>
      <c r="G1005" s="43">
        <v>171491</v>
      </c>
      <c r="H1005" s="89" t="s">
        <v>172</v>
      </c>
      <c r="K1005" s="140">
        <v>0</v>
      </c>
      <c r="L1005" s="140">
        <v>1</v>
      </c>
      <c r="M1005" s="140">
        <v>1</v>
      </c>
      <c r="N1005" s="140">
        <v>1</v>
      </c>
      <c r="O1005" s="140">
        <v>1</v>
      </c>
      <c r="Q1005" s="89" t="s">
        <v>2737</v>
      </c>
      <c r="R1005" s="43" t="s">
        <v>2730</v>
      </c>
      <c r="S1005" s="125">
        <v>43446</v>
      </c>
      <c r="V1005" s="43" t="s">
        <v>317</v>
      </c>
      <c r="X1005" s="43" t="s">
        <v>318</v>
      </c>
      <c r="Y1005" s="43" t="s">
        <v>361</v>
      </c>
      <c r="Z1005" s="43" t="s">
        <v>320</v>
      </c>
      <c r="AA1005" s="43" t="s">
        <v>353</v>
      </c>
      <c r="AB1005" s="144">
        <v>2.5000000372528999E-2</v>
      </c>
      <c r="AF1005" s="43" t="s">
        <v>75</v>
      </c>
      <c r="AG1005" s="43" t="s">
        <v>322</v>
      </c>
      <c r="AJ1005" s="140">
        <v>0</v>
      </c>
      <c r="AK1005" s="140">
        <v>0</v>
      </c>
      <c r="AL1005" s="140">
        <v>0</v>
      </c>
      <c r="AM1005" s="140">
        <v>0</v>
      </c>
      <c r="AN1005" s="140">
        <v>0</v>
      </c>
      <c r="AO1005" s="140">
        <v>0</v>
      </c>
      <c r="AP1005" s="140">
        <v>1</v>
      </c>
      <c r="AQ1005" s="140">
        <v>0</v>
      </c>
      <c r="AR1005" s="140">
        <v>0</v>
      </c>
      <c r="AS1005" s="140">
        <v>0</v>
      </c>
      <c r="AT1005" s="140">
        <v>0</v>
      </c>
      <c r="AU1005" s="140">
        <v>0</v>
      </c>
      <c r="AV1005" s="140">
        <v>0</v>
      </c>
      <c r="AW1005" s="140">
        <v>0</v>
      </c>
      <c r="AX1005" s="140">
        <v>0</v>
      </c>
      <c r="AY1005" s="140">
        <v>0</v>
      </c>
      <c r="AZ1005" s="140">
        <v>0</v>
      </c>
      <c r="BA1005" s="140">
        <v>0</v>
      </c>
      <c r="BB1005" s="140">
        <v>0</v>
      </c>
      <c r="BC1005" s="140">
        <v>0</v>
      </c>
      <c r="BD1005" s="140">
        <v>1</v>
      </c>
      <c r="BE1005" s="140">
        <v>0</v>
      </c>
      <c r="BF1005" s="140">
        <v>0</v>
      </c>
      <c r="BG1005" s="140">
        <v>0</v>
      </c>
      <c r="BH1005" s="140">
        <v>0</v>
      </c>
      <c r="BI1005" s="140">
        <v>0</v>
      </c>
      <c r="BJ1005" s="140">
        <v>0</v>
      </c>
      <c r="BK1005" s="140">
        <v>0</v>
      </c>
      <c r="BL1005" s="140">
        <v>0</v>
      </c>
      <c r="BM1005" s="140">
        <v>0</v>
      </c>
      <c r="BN1005" s="140">
        <v>0</v>
      </c>
      <c r="BO1005" s="140">
        <v>0</v>
      </c>
      <c r="BX1005" s="43">
        <v>6</v>
      </c>
      <c r="CA1005" s="90">
        <f>$M1005/4</f>
        <v>0.25</v>
      </c>
      <c r="CB1005" s="90">
        <f>$M1005/4</f>
        <v>0.25</v>
      </c>
      <c r="CC1005" s="90">
        <f>$M1005/4</f>
        <v>0.25</v>
      </c>
      <c r="CD1005" s="90">
        <f>$M1005/4</f>
        <v>0.25</v>
      </c>
      <c r="CT1005" s="90">
        <f t="shared" si="135"/>
        <v>1</v>
      </c>
      <c r="CU1005" s="90">
        <f t="shared" si="136"/>
        <v>1</v>
      </c>
    </row>
    <row r="1006" spans="1:99" ht="12" customHeight="1">
      <c r="A1006" s="43">
        <v>7069</v>
      </c>
      <c r="B1006" s="89" t="s">
        <v>2726</v>
      </c>
      <c r="C1006" s="89" t="s">
        <v>2738</v>
      </c>
      <c r="D1006" s="89" t="s">
        <v>2739</v>
      </c>
      <c r="F1006" s="43">
        <v>525885</v>
      </c>
      <c r="G1006" s="43">
        <v>175045</v>
      </c>
      <c r="H1006" s="89" t="s">
        <v>170</v>
      </c>
      <c r="K1006" s="140">
        <v>1</v>
      </c>
      <c r="L1006" s="140">
        <v>74</v>
      </c>
      <c r="M1006" s="140">
        <v>73</v>
      </c>
      <c r="N1006" s="140">
        <v>106</v>
      </c>
      <c r="O1006" s="140">
        <v>105</v>
      </c>
      <c r="P1006" s="43" t="s">
        <v>329</v>
      </c>
      <c r="Q1006" s="89" t="s">
        <v>2740</v>
      </c>
      <c r="R1006" s="43" t="s">
        <v>2730</v>
      </c>
      <c r="S1006" s="125">
        <v>43439</v>
      </c>
      <c r="V1006" s="43" t="s">
        <v>317</v>
      </c>
      <c r="X1006" s="43" t="s">
        <v>318</v>
      </c>
      <c r="Y1006" s="43" t="s">
        <v>361</v>
      </c>
      <c r="Z1006" s="43" t="s">
        <v>361</v>
      </c>
      <c r="AA1006" s="43" t="s">
        <v>320</v>
      </c>
      <c r="AB1006" s="144">
        <v>0.196999996900558</v>
      </c>
      <c r="AF1006" s="43" t="s">
        <v>75</v>
      </c>
      <c r="AG1006" s="43" t="s">
        <v>322</v>
      </c>
      <c r="AJ1006" s="140">
        <v>0</v>
      </c>
      <c r="AK1006" s="140">
        <v>67</v>
      </c>
      <c r="AL1006" s="140">
        <v>0</v>
      </c>
      <c r="AM1006" s="140">
        <v>7</v>
      </c>
      <c r="AN1006" s="140">
        <v>0</v>
      </c>
      <c r="AO1006" s="140">
        <v>44</v>
      </c>
      <c r="AP1006" s="140">
        <v>26</v>
      </c>
      <c r="AQ1006" s="140">
        <v>3</v>
      </c>
      <c r="AR1006" s="140">
        <v>0</v>
      </c>
      <c r="AS1006" s="140">
        <v>0</v>
      </c>
      <c r="AT1006" s="140">
        <v>0</v>
      </c>
      <c r="AU1006" s="140">
        <v>0</v>
      </c>
      <c r="AV1006" s="140">
        <v>44</v>
      </c>
      <c r="AW1006" s="140">
        <v>26</v>
      </c>
      <c r="AX1006" s="140">
        <v>3</v>
      </c>
      <c r="AY1006" s="140">
        <v>0</v>
      </c>
      <c r="AZ1006" s="140">
        <v>0</v>
      </c>
      <c r="BA1006" s="140">
        <v>0</v>
      </c>
      <c r="BB1006" s="140">
        <v>0</v>
      </c>
      <c r="BC1006" s="140">
        <v>0</v>
      </c>
      <c r="BD1006" s="140">
        <v>0</v>
      </c>
      <c r="BE1006" s="140">
        <v>0</v>
      </c>
      <c r="BF1006" s="140">
        <v>0</v>
      </c>
      <c r="BG1006" s="140">
        <v>0</v>
      </c>
      <c r="BH1006" s="140">
        <v>0</v>
      </c>
      <c r="BI1006" s="140">
        <v>0</v>
      </c>
      <c r="BJ1006" s="140">
        <v>0</v>
      </c>
      <c r="BK1006" s="140">
        <v>0</v>
      </c>
      <c r="BL1006" s="140">
        <v>0</v>
      </c>
      <c r="BM1006" s="140">
        <v>0</v>
      </c>
      <c r="BN1006" s="140">
        <v>0</v>
      </c>
      <c r="BO1006" s="140">
        <v>0</v>
      </c>
      <c r="BR1006" s="43" t="s">
        <v>329</v>
      </c>
      <c r="BU1006" s="89"/>
      <c r="BX1006" s="43">
        <v>7</v>
      </c>
      <c r="CT1006" s="90">
        <f t="shared" si="135"/>
        <v>0</v>
      </c>
      <c r="CU1006" s="90">
        <f t="shared" si="136"/>
        <v>0</v>
      </c>
    </row>
    <row r="1007" spans="1:99" ht="12" customHeight="1">
      <c r="A1007" s="43">
        <v>7069</v>
      </c>
      <c r="B1007" s="89" t="s">
        <v>2726</v>
      </c>
      <c r="C1007" s="89" t="s">
        <v>2738</v>
      </c>
      <c r="D1007" s="89" t="s">
        <v>2739</v>
      </c>
      <c r="F1007" s="43">
        <v>525885</v>
      </c>
      <c r="G1007" s="43">
        <v>175045</v>
      </c>
      <c r="H1007" s="89" t="s">
        <v>170</v>
      </c>
      <c r="K1007" s="140">
        <v>0</v>
      </c>
      <c r="L1007" s="140">
        <v>17</v>
      </c>
      <c r="M1007" s="140">
        <v>17</v>
      </c>
      <c r="N1007" s="140">
        <v>106</v>
      </c>
      <c r="O1007" s="140">
        <v>105</v>
      </c>
      <c r="P1007" s="43" t="s">
        <v>329</v>
      </c>
      <c r="Q1007" s="89" t="s">
        <v>2740</v>
      </c>
      <c r="R1007" s="43" t="s">
        <v>2730</v>
      </c>
      <c r="S1007" s="125">
        <v>43439</v>
      </c>
      <c r="V1007" s="43" t="s">
        <v>317</v>
      </c>
      <c r="X1007" s="43" t="s">
        <v>318</v>
      </c>
      <c r="Y1007" s="43" t="s">
        <v>361</v>
      </c>
      <c r="Z1007" s="43" t="s">
        <v>361</v>
      </c>
      <c r="AA1007" s="43" t="s">
        <v>320</v>
      </c>
      <c r="AB1007" s="144">
        <v>4.5000001788139302E-2</v>
      </c>
      <c r="AF1007" s="43" t="s">
        <v>55</v>
      </c>
      <c r="AG1007" s="43" t="s">
        <v>526</v>
      </c>
      <c r="AJ1007" s="140">
        <v>0</v>
      </c>
      <c r="AK1007" s="140">
        <v>15</v>
      </c>
      <c r="AL1007" s="140">
        <v>0</v>
      </c>
      <c r="AM1007" s="140">
        <v>2</v>
      </c>
      <c r="AN1007" s="140">
        <v>0</v>
      </c>
      <c r="AO1007" s="140">
        <v>4</v>
      </c>
      <c r="AP1007" s="140">
        <v>9</v>
      </c>
      <c r="AQ1007" s="140">
        <v>4</v>
      </c>
      <c r="AR1007" s="140">
        <v>0</v>
      </c>
      <c r="AS1007" s="140">
        <v>0</v>
      </c>
      <c r="AT1007" s="140">
        <v>0</v>
      </c>
      <c r="AU1007" s="140">
        <v>0</v>
      </c>
      <c r="AV1007" s="140">
        <v>4</v>
      </c>
      <c r="AW1007" s="140">
        <v>9</v>
      </c>
      <c r="AX1007" s="140">
        <v>4</v>
      </c>
      <c r="AY1007" s="140">
        <v>0</v>
      </c>
      <c r="AZ1007" s="140">
        <v>0</v>
      </c>
      <c r="BA1007" s="140">
        <v>0</v>
      </c>
      <c r="BB1007" s="140">
        <v>0</v>
      </c>
      <c r="BC1007" s="140">
        <v>0</v>
      </c>
      <c r="BD1007" s="140">
        <v>0</v>
      </c>
      <c r="BE1007" s="140">
        <v>0</v>
      </c>
      <c r="BF1007" s="140">
        <v>0</v>
      </c>
      <c r="BG1007" s="140">
        <v>0</v>
      </c>
      <c r="BH1007" s="140">
        <v>0</v>
      </c>
      <c r="BI1007" s="140">
        <v>0</v>
      </c>
      <c r="BJ1007" s="140">
        <v>0</v>
      </c>
      <c r="BK1007" s="140">
        <v>0</v>
      </c>
      <c r="BL1007" s="140">
        <v>0</v>
      </c>
      <c r="BM1007" s="140">
        <v>0</v>
      </c>
      <c r="BN1007" s="140">
        <v>0</v>
      </c>
      <c r="BO1007" s="140">
        <v>0</v>
      </c>
      <c r="BR1007" s="43" t="s">
        <v>329</v>
      </c>
      <c r="BU1007" s="89"/>
      <c r="BX1007" s="43">
        <v>7</v>
      </c>
      <c r="CT1007" s="90">
        <f t="shared" si="135"/>
        <v>0</v>
      </c>
      <c r="CU1007" s="90">
        <f t="shared" si="136"/>
        <v>0</v>
      </c>
    </row>
    <row r="1008" spans="1:99" ht="12" customHeight="1">
      <c r="A1008" s="43">
        <v>7069</v>
      </c>
      <c r="B1008" s="89" t="s">
        <v>2726</v>
      </c>
      <c r="C1008" s="89" t="s">
        <v>2738</v>
      </c>
      <c r="D1008" s="89" t="s">
        <v>2739</v>
      </c>
      <c r="F1008" s="43">
        <v>525885</v>
      </c>
      <c r="G1008" s="43">
        <v>175045</v>
      </c>
      <c r="H1008" s="89" t="s">
        <v>170</v>
      </c>
      <c r="K1008" s="140">
        <v>0</v>
      </c>
      <c r="L1008" s="140">
        <v>15</v>
      </c>
      <c r="M1008" s="140">
        <v>15</v>
      </c>
      <c r="N1008" s="140">
        <v>106</v>
      </c>
      <c r="O1008" s="140">
        <v>105</v>
      </c>
      <c r="P1008" s="43" t="s">
        <v>329</v>
      </c>
      <c r="Q1008" s="89" t="s">
        <v>2740</v>
      </c>
      <c r="R1008" s="43" t="s">
        <v>2730</v>
      </c>
      <c r="S1008" s="125">
        <v>43439</v>
      </c>
      <c r="V1008" s="43" t="s">
        <v>317</v>
      </c>
      <c r="X1008" s="43" t="s">
        <v>318</v>
      </c>
      <c r="Y1008" s="43" t="s">
        <v>361</v>
      </c>
      <c r="Z1008" s="43" t="s">
        <v>361</v>
      </c>
      <c r="AA1008" s="43" t="s">
        <v>320</v>
      </c>
      <c r="AB1008" s="144">
        <v>3.9999999105930301E-2</v>
      </c>
      <c r="AF1008" s="43" t="s">
        <v>54</v>
      </c>
      <c r="AG1008" s="43" t="s">
        <v>399</v>
      </c>
      <c r="AJ1008" s="140">
        <v>0</v>
      </c>
      <c r="AK1008" s="140">
        <v>13</v>
      </c>
      <c r="AL1008" s="140">
        <v>0</v>
      </c>
      <c r="AM1008" s="140">
        <v>2</v>
      </c>
      <c r="AN1008" s="140">
        <v>0</v>
      </c>
      <c r="AO1008" s="140">
        <v>7</v>
      </c>
      <c r="AP1008" s="140">
        <v>4</v>
      </c>
      <c r="AQ1008" s="140">
        <v>4</v>
      </c>
      <c r="AR1008" s="140">
        <v>0</v>
      </c>
      <c r="AS1008" s="140">
        <v>0</v>
      </c>
      <c r="AT1008" s="140">
        <v>0</v>
      </c>
      <c r="AU1008" s="140">
        <v>0</v>
      </c>
      <c r="AV1008" s="140">
        <v>7</v>
      </c>
      <c r="AW1008" s="140">
        <v>4</v>
      </c>
      <c r="AX1008" s="140">
        <v>4</v>
      </c>
      <c r="AY1008" s="140">
        <v>0</v>
      </c>
      <c r="AZ1008" s="140">
        <v>0</v>
      </c>
      <c r="BA1008" s="140">
        <v>0</v>
      </c>
      <c r="BB1008" s="140">
        <v>0</v>
      </c>
      <c r="BC1008" s="140">
        <v>0</v>
      </c>
      <c r="BD1008" s="140">
        <v>0</v>
      </c>
      <c r="BE1008" s="140">
        <v>0</v>
      </c>
      <c r="BF1008" s="140">
        <v>0</v>
      </c>
      <c r="BG1008" s="140">
        <v>0</v>
      </c>
      <c r="BH1008" s="140">
        <v>0</v>
      </c>
      <c r="BI1008" s="140">
        <v>0</v>
      </c>
      <c r="BJ1008" s="140">
        <v>0</v>
      </c>
      <c r="BK1008" s="140">
        <v>0</v>
      </c>
      <c r="BL1008" s="140">
        <v>0</v>
      </c>
      <c r="BM1008" s="140">
        <v>0</v>
      </c>
      <c r="BN1008" s="140">
        <v>0</v>
      </c>
      <c r="BO1008" s="140">
        <v>0</v>
      </c>
      <c r="BR1008" s="43" t="s">
        <v>329</v>
      </c>
      <c r="BU1008" s="89"/>
      <c r="BX1008" s="43">
        <v>7</v>
      </c>
      <c r="CT1008" s="90">
        <f t="shared" si="135"/>
        <v>0</v>
      </c>
      <c r="CU1008" s="90">
        <f t="shared" si="136"/>
        <v>0</v>
      </c>
    </row>
    <row r="1009" spans="1:99" ht="12" customHeight="1">
      <c r="A1009" s="43">
        <v>7101</v>
      </c>
      <c r="B1009" s="89" t="s">
        <v>2726</v>
      </c>
      <c r="C1009" s="89" t="s">
        <v>2741</v>
      </c>
      <c r="D1009" s="89" t="s">
        <v>2742</v>
      </c>
      <c r="E1009" s="89" t="s">
        <v>2743</v>
      </c>
      <c r="F1009" s="43">
        <v>526922</v>
      </c>
      <c r="G1009" s="43">
        <v>175807</v>
      </c>
      <c r="H1009" s="89" t="s">
        <v>147</v>
      </c>
      <c r="K1009" s="140">
        <v>0</v>
      </c>
      <c r="L1009" s="140">
        <v>150</v>
      </c>
      <c r="M1009" s="140">
        <v>150</v>
      </c>
      <c r="N1009" s="140">
        <v>2550</v>
      </c>
      <c r="O1009" s="140">
        <v>1791</v>
      </c>
      <c r="P1009" s="43" t="s">
        <v>329</v>
      </c>
      <c r="Q1009" s="89" t="s">
        <v>2744</v>
      </c>
      <c r="R1009" s="43" t="s">
        <v>2730</v>
      </c>
      <c r="S1009" s="125">
        <v>43483</v>
      </c>
      <c r="V1009" s="43" t="s">
        <v>317</v>
      </c>
      <c r="X1009" s="43" t="s">
        <v>318</v>
      </c>
      <c r="Y1009" s="43" t="s">
        <v>361</v>
      </c>
      <c r="Z1009" s="43" t="s">
        <v>361</v>
      </c>
      <c r="AA1009" s="43" t="s">
        <v>320</v>
      </c>
      <c r="AB1009" s="144">
        <v>0.230000004172325</v>
      </c>
      <c r="AF1009" s="43" t="s">
        <v>75</v>
      </c>
      <c r="AG1009" s="43" t="s">
        <v>322</v>
      </c>
      <c r="AJ1009" s="140">
        <v>0</v>
      </c>
      <c r="AK1009" s="140">
        <v>0</v>
      </c>
      <c r="AL1009" s="140">
        <v>0</v>
      </c>
      <c r="AM1009" s="140">
        <v>0</v>
      </c>
      <c r="AN1009" s="140">
        <v>0</v>
      </c>
      <c r="AO1009" s="140">
        <v>60</v>
      </c>
      <c r="AP1009" s="140">
        <v>61</v>
      </c>
      <c r="AQ1009" s="140">
        <v>29</v>
      </c>
      <c r="AR1009" s="140">
        <v>0</v>
      </c>
      <c r="AS1009" s="140">
        <v>0</v>
      </c>
      <c r="AT1009" s="140">
        <v>0</v>
      </c>
      <c r="AU1009" s="140">
        <v>0</v>
      </c>
      <c r="AV1009" s="140">
        <v>60</v>
      </c>
      <c r="AW1009" s="140">
        <v>61</v>
      </c>
      <c r="AX1009" s="140">
        <v>29</v>
      </c>
      <c r="AY1009" s="140">
        <v>0</v>
      </c>
      <c r="AZ1009" s="140">
        <v>0</v>
      </c>
      <c r="BA1009" s="140">
        <v>0</v>
      </c>
      <c r="BB1009" s="140">
        <v>0</v>
      </c>
      <c r="BC1009" s="140">
        <v>0</v>
      </c>
      <c r="BD1009" s="140">
        <v>0</v>
      </c>
      <c r="BE1009" s="140">
        <v>0</v>
      </c>
      <c r="BF1009" s="140">
        <v>0</v>
      </c>
      <c r="BG1009" s="140">
        <v>0</v>
      </c>
      <c r="BH1009" s="140">
        <v>0</v>
      </c>
      <c r="BI1009" s="140">
        <v>0</v>
      </c>
      <c r="BJ1009" s="140">
        <v>0</v>
      </c>
      <c r="BK1009" s="140">
        <v>0</v>
      </c>
      <c r="BL1009" s="140">
        <v>0</v>
      </c>
      <c r="BM1009" s="140">
        <v>0</v>
      </c>
      <c r="BN1009" s="140">
        <v>0</v>
      </c>
      <c r="BO1009" s="140">
        <v>0</v>
      </c>
      <c r="BQ1009" s="89"/>
      <c r="BS1009" s="43" t="s">
        <v>329</v>
      </c>
      <c r="BU1009" s="89"/>
      <c r="BX1009" s="43">
        <v>7</v>
      </c>
      <c r="CD1009" s="90">
        <f>M1009</f>
        <v>150</v>
      </c>
      <c r="CT1009" s="90">
        <f t="shared" si="135"/>
        <v>150</v>
      </c>
      <c r="CU1009" s="90">
        <f t="shared" si="136"/>
        <v>150</v>
      </c>
    </row>
    <row r="1010" spans="1:99" ht="12" customHeight="1">
      <c r="A1010" s="43">
        <v>7101</v>
      </c>
      <c r="B1010" s="89" t="s">
        <v>2726</v>
      </c>
      <c r="C1010" s="89" t="s">
        <v>2741</v>
      </c>
      <c r="D1010" s="89" t="s">
        <v>2742</v>
      </c>
      <c r="E1010" s="89" t="s">
        <v>2745</v>
      </c>
      <c r="F1010" s="43">
        <v>526922</v>
      </c>
      <c r="G1010" s="43">
        <v>175807</v>
      </c>
      <c r="H1010" s="89" t="s">
        <v>147</v>
      </c>
      <c r="K1010" s="140">
        <v>0</v>
      </c>
      <c r="L1010" s="140">
        <v>89</v>
      </c>
      <c r="M1010" s="140">
        <v>89</v>
      </c>
      <c r="N1010" s="140">
        <v>2550</v>
      </c>
      <c r="O1010" s="140">
        <v>1791</v>
      </c>
      <c r="P1010" s="43" t="s">
        <v>329</v>
      </c>
      <c r="Q1010" s="89" t="s">
        <v>2744</v>
      </c>
      <c r="R1010" s="43" t="s">
        <v>2730</v>
      </c>
      <c r="S1010" s="125">
        <v>43483</v>
      </c>
      <c r="V1010" s="43" t="s">
        <v>317</v>
      </c>
      <c r="X1010" s="43" t="s">
        <v>318</v>
      </c>
      <c r="Y1010" s="43" t="s">
        <v>361</v>
      </c>
      <c r="Z1010" s="43" t="s">
        <v>361</v>
      </c>
      <c r="AA1010" s="43" t="s">
        <v>320</v>
      </c>
      <c r="AB1010" s="144">
        <v>0.13699999451637301</v>
      </c>
      <c r="AF1010" s="43" t="s">
        <v>75</v>
      </c>
      <c r="AG1010" s="43" t="s">
        <v>322</v>
      </c>
      <c r="AJ1010" s="140">
        <v>0</v>
      </c>
      <c r="AK1010" s="140">
        <v>0</v>
      </c>
      <c r="AL1010" s="140">
        <v>0</v>
      </c>
      <c r="AM1010" s="140">
        <v>0</v>
      </c>
      <c r="AN1010" s="140">
        <v>7</v>
      </c>
      <c r="AO1010" s="140">
        <v>30</v>
      </c>
      <c r="AP1010" s="140">
        <v>34</v>
      </c>
      <c r="AQ1010" s="140">
        <v>18</v>
      </c>
      <c r="AR1010" s="140">
        <v>0</v>
      </c>
      <c r="AS1010" s="140">
        <v>0</v>
      </c>
      <c r="AT1010" s="140">
        <v>0</v>
      </c>
      <c r="AU1010" s="140">
        <v>7</v>
      </c>
      <c r="AV1010" s="140">
        <v>30</v>
      </c>
      <c r="AW1010" s="140">
        <v>34</v>
      </c>
      <c r="AX1010" s="140">
        <v>18</v>
      </c>
      <c r="AY1010" s="140">
        <v>0</v>
      </c>
      <c r="AZ1010" s="140">
        <v>0</v>
      </c>
      <c r="BA1010" s="140">
        <v>0</v>
      </c>
      <c r="BB1010" s="140">
        <v>0</v>
      </c>
      <c r="BC1010" s="140">
        <v>0</v>
      </c>
      <c r="BD1010" s="140">
        <v>0</v>
      </c>
      <c r="BE1010" s="140">
        <v>0</v>
      </c>
      <c r="BF1010" s="140">
        <v>0</v>
      </c>
      <c r="BG1010" s="140">
        <v>0</v>
      </c>
      <c r="BH1010" s="140">
        <v>0</v>
      </c>
      <c r="BI1010" s="140">
        <v>0</v>
      </c>
      <c r="BJ1010" s="140">
        <v>0</v>
      </c>
      <c r="BK1010" s="140">
        <v>0</v>
      </c>
      <c r="BL1010" s="140">
        <v>0</v>
      </c>
      <c r="BM1010" s="140">
        <v>0</v>
      </c>
      <c r="BN1010" s="140">
        <v>0</v>
      </c>
      <c r="BO1010" s="140">
        <v>0</v>
      </c>
      <c r="BQ1010" s="89"/>
      <c r="BS1010" s="43" t="s">
        <v>329</v>
      </c>
      <c r="BU1010" s="89"/>
      <c r="BX1010" s="43">
        <v>7</v>
      </c>
      <c r="CD1010" s="90">
        <f>M1010</f>
        <v>89</v>
      </c>
      <c r="CT1010" s="90">
        <f t="shared" si="135"/>
        <v>89</v>
      </c>
      <c r="CU1010" s="90">
        <f t="shared" si="136"/>
        <v>89</v>
      </c>
    </row>
    <row r="1011" spans="1:99" ht="12" customHeight="1">
      <c r="A1011" s="43">
        <v>7101</v>
      </c>
      <c r="B1011" s="89" t="s">
        <v>2726</v>
      </c>
      <c r="C1011" s="89" t="s">
        <v>2741</v>
      </c>
      <c r="D1011" s="89" t="s">
        <v>2742</v>
      </c>
      <c r="E1011" s="89" t="s">
        <v>2746</v>
      </c>
      <c r="F1011" s="43">
        <v>526922</v>
      </c>
      <c r="G1011" s="43">
        <v>175807</v>
      </c>
      <c r="H1011" s="89" t="s">
        <v>147</v>
      </c>
      <c r="K1011" s="140">
        <v>0</v>
      </c>
      <c r="L1011" s="140">
        <v>65</v>
      </c>
      <c r="M1011" s="140">
        <v>65</v>
      </c>
      <c r="N1011" s="140">
        <v>2550</v>
      </c>
      <c r="O1011" s="140">
        <v>1791</v>
      </c>
      <c r="P1011" s="43" t="s">
        <v>329</v>
      </c>
      <c r="Q1011" s="89" t="s">
        <v>2744</v>
      </c>
      <c r="R1011" s="43" t="s">
        <v>2730</v>
      </c>
      <c r="S1011" s="125">
        <v>43483</v>
      </c>
      <c r="V1011" s="43" t="s">
        <v>317</v>
      </c>
      <c r="X1011" s="43" t="s">
        <v>318</v>
      </c>
      <c r="Y1011" s="43" t="s">
        <v>361</v>
      </c>
      <c r="Z1011" s="43" t="s">
        <v>361</v>
      </c>
      <c r="AA1011" s="43" t="s">
        <v>320</v>
      </c>
      <c r="AB1011" s="144">
        <v>0.10000000149011599</v>
      </c>
      <c r="AF1011" s="43" t="s">
        <v>54</v>
      </c>
      <c r="AG1011" s="43" t="s">
        <v>2747</v>
      </c>
      <c r="AJ1011" s="140">
        <v>0</v>
      </c>
      <c r="AK1011" s="140">
        <v>0</v>
      </c>
      <c r="AL1011" s="140">
        <v>0</v>
      </c>
      <c r="AM1011" s="140">
        <v>0</v>
      </c>
      <c r="AN1011" s="140">
        <v>0</v>
      </c>
      <c r="AO1011" s="140">
        <v>35</v>
      </c>
      <c r="AP1011" s="140">
        <v>25</v>
      </c>
      <c r="AQ1011" s="140">
        <v>5</v>
      </c>
      <c r="AR1011" s="140">
        <v>0</v>
      </c>
      <c r="AS1011" s="140">
        <v>0</v>
      </c>
      <c r="AT1011" s="140">
        <v>0</v>
      </c>
      <c r="AU1011" s="140">
        <v>0</v>
      </c>
      <c r="AV1011" s="140">
        <v>35</v>
      </c>
      <c r="AW1011" s="140">
        <v>25</v>
      </c>
      <c r="AX1011" s="140">
        <v>5</v>
      </c>
      <c r="AY1011" s="140">
        <v>0</v>
      </c>
      <c r="AZ1011" s="140">
        <v>0</v>
      </c>
      <c r="BA1011" s="140">
        <v>0</v>
      </c>
      <c r="BB1011" s="140">
        <v>0</v>
      </c>
      <c r="BC1011" s="140">
        <v>0</v>
      </c>
      <c r="BD1011" s="140">
        <v>0</v>
      </c>
      <c r="BE1011" s="140">
        <v>0</v>
      </c>
      <c r="BF1011" s="140">
        <v>0</v>
      </c>
      <c r="BG1011" s="140">
        <v>0</v>
      </c>
      <c r="BH1011" s="140">
        <v>0</v>
      </c>
      <c r="BI1011" s="140">
        <v>0</v>
      </c>
      <c r="BJ1011" s="140">
        <v>0</v>
      </c>
      <c r="BK1011" s="140">
        <v>0</v>
      </c>
      <c r="BL1011" s="140">
        <v>0</v>
      </c>
      <c r="BM1011" s="140">
        <v>0</v>
      </c>
      <c r="BN1011" s="140">
        <v>0</v>
      </c>
      <c r="BO1011" s="140">
        <v>0</v>
      </c>
      <c r="BQ1011" s="89"/>
      <c r="BS1011" s="43" t="s">
        <v>329</v>
      </c>
      <c r="BU1011" s="89"/>
      <c r="BX1011" s="43">
        <v>7</v>
      </c>
      <c r="CC1011" s="90">
        <f>M1011</f>
        <v>65</v>
      </c>
      <c r="CT1011" s="90">
        <f t="shared" si="135"/>
        <v>65</v>
      </c>
      <c r="CU1011" s="90">
        <f t="shared" si="136"/>
        <v>65</v>
      </c>
    </row>
    <row r="1012" spans="1:99" ht="12" customHeight="1">
      <c r="A1012" s="43">
        <v>7101</v>
      </c>
      <c r="B1012" s="89" t="s">
        <v>2726</v>
      </c>
      <c r="C1012" s="89" t="s">
        <v>2741</v>
      </c>
      <c r="D1012" s="89" t="s">
        <v>2742</v>
      </c>
      <c r="E1012" s="89" t="s">
        <v>2748</v>
      </c>
      <c r="F1012" s="43">
        <v>526922</v>
      </c>
      <c r="G1012" s="43">
        <v>175807</v>
      </c>
      <c r="H1012" s="89" t="s">
        <v>147</v>
      </c>
      <c r="K1012" s="140">
        <v>0</v>
      </c>
      <c r="L1012" s="140">
        <v>17</v>
      </c>
      <c r="M1012" s="140">
        <v>17</v>
      </c>
      <c r="N1012" s="140">
        <v>2550</v>
      </c>
      <c r="O1012" s="140">
        <v>1791</v>
      </c>
      <c r="P1012" s="43" t="s">
        <v>329</v>
      </c>
      <c r="Q1012" s="89" t="s">
        <v>2744</v>
      </c>
      <c r="R1012" s="43" t="s">
        <v>2730</v>
      </c>
      <c r="S1012" s="125">
        <v>43483</v>
      </c>
      <c r="V1012" s="43" t="s">
        <v>317</v>
      </c>
      <c r="X1012" s="43" t="s">
        <v>318</v>
      </c>
      <c r="Y1012" s="43" t="s">
        <v>361</v>
      </c>
      <c r="Z1012" s="43" t="s">
        <v>361</v>
      </c>
      <c r="AA1012" s="43" t="s">
        <v>320</v>
      </c>
      <c r="AB1012" s="144">
        <v>2.60000005364418E-2</v>
      </c>
      <c r="AF1012" s="43" t="s">
        <v>55</v>
      </c>
      <c r="AG1012" s="43" t="s">
        <v>438</v>
      </c>
      <c r="AJ1012" s="140">
        <v>0</v>
      </c>
      <c r="AK1012" s="140">
        <v>0</v>
      </c>
      <c r="AL1012" s="140">
        <v>0</v>
      </c>
      <c r="AM1012" s="140">
        <v>0</v>
      </c>
      <c r="AN1012" s="140">
        <v>0</v>
      </c>
      <c r="AO1012" s="140">
        <v>3</v>
      </c>
      <c r="AP1012" s="140">
        <v>2</v>
      </c>
      <c r="AQ1012" s="140">
        <v>6</v>
      </c>
      <c r="AR1012" s="140">
        <v>4</v>
      </c>
      <c r="AS1012" s="140">
        <v>2</v>
      </c>
      <c r="AT1012" s="140">
        <v>0</v>
      </c>
      <c r="AU1012" s="140">
        <v>0</v>
      </c>
      <c r="AV1012" s="140">
        <v>3</v>
      </c>
      <c r="AW1012" s="140">
        <v>2</v>
      </c>
      <c r="AX1012" s="140">
        <v>6</v>
      </c>
      <c r="AY1012" s="140">
        <v>4</v>
      </c>
      <c r="AZ1012" s="140">
        <v>2</v>
      </c>
      <c r="BA1012" s="140">
        <v>0</v>
      </c>
      <c r="BB1012" s="140">
        <v>0</v>
      </c>
      <c r="BC1012" s="140">
        <v>0</v>
      </c>
      <c r="BD1012" s="140">
        <v>0</v>
      </c>
      <c r="BE1012" s="140">
        <v>0</v>
      </c>
      <c r="BF1012" s="140">
        <v>0</v>
      </c>
      <c r="BG1012" s="140">
        <v>0</v>
      </c>
      <c r="BH1012" s="140">
        <v>0</v>
      </c>
      <c r="BI1012" s="140">
        <v>0</v>
      </c>
      <c r="BJ1012" s="140">
        <v>0</v>
      </c>
      <c r="BK1012" s="140">
        <v>0</v>
      </c>
      <c r="BL1012" s="140">
        <v>0</v>
      </c>
      <c r="BM1012" s="140">
        <v>0</v>
      </c>
      <c r="BN1012" s="140">
        <v>0</v>
      </c>
      <c r="BO1012" s="140">
        <v>0</v>
      </c>
      <c r="BQ1012" s="89"/>
      <c r="BS1012" s="43" t="s">
        <v>329</v>
      </c>
      <c r="BU1012" s="89"/>
      <c r="BX1012" s="43">
        <v>7</v>
      </c>
      <c r="CC1012" s="90">
        <f>M1012</f>
        <v>17</v>
      </c>
      <c r="CT1012" s="90">
        <f t="shared" si="135"/>
        <v>17</v>
      </c>
      <c r="CU1012" s="90">
        <f t="shared" si="136"/>
        <v>17</v>
      </c>
    </row>
    <row r="1013" spans="1:99" ht="12" customHeight="1">
      <c r="A1013" s="43">
        <v>7101</v>
      </c>
      <c r="B1013" s="89" t="s">
        <v>2726</v>
      </c>
      <c r="C1013" s="89" t="s">
        <v>2741</v>
      </c>
      <c r="D1013" s="89" t="s">
        <v>2742</v>
      </c>
      <c r="E1013" s="89" t="s">
        <v>2748</v>
      </c>
      <c r="F1013" s="43">
        <v>526922</v>
      </c>
      <c r="G1013" s="43">
        <v>175807</v>
      </c>
      <c r="H1013" s="89" t="s">
        <v>147</v>
      </c>
      <c r="K1013" s="140">
        <v>0</v>
      </c>
      <c r="L1013" s="140">
        <v>4</v>
      </c>
      <c r="M1013" s="140">
        <v>4</v>
      </c>
      <c r="N1013" s="140">
        <v>2550</v>
      </c>
      <c r="O1013" s="140">
        <v>1791</v>
      </c>
      <c r="P1013" s="43" t="s">
        <v>329</v>
      </c>
      <c r="Q1013" s="89" t="s">
        <v>2744</v>
      </c>
      <c r="R1013" s="43" t="s">
        <v>2730</v>
      </c>
      <c r="S1013" s="125">
        <v>43483</v>
      </c>
      <c r="V1013" s="43" t="s">
        <v>317</v>
      </c>
      <c r="X1013" s="43" t="s">
        <v>318</v>
      </c>
      <c r="Y1013" s="43" t="s">
        <v>361</v>
      </c>
      <c r="Z1013" s="43" t="s">
        <v>361</v>
      </c>
      <c r="AA1013" s="43" t="s">
        <v>320</v>
      </c>
      <c r="AB1013" s="144">
        <v>6.0000000521540598E-3</v>
      </c>
      <c r="AF1013" s="43" t="s">
        <v>54</v>
      </c>
      <c r="AG1013" s="43" t="s">
        <v>2747</v>
      </c>
      <c r="AJ1013" s="140">
        <v>0</v>
      </c>
      <c r="AK1013" s="140">
        <v>0</v>
      </c>
      <c r="AL1013" s="140">
        <v>0</v>
      </c>
      <c r="AM1013" s="140">
        <v>0</v>
      </c>
      <c r="AN1013" s="140">
        <v>0</v>
      </c>
      <c r="AO1013" s="140">
        <v>0</v>
      </c>
      <c r="AP1013" s="140">
        <v>0</v>
      </c>
      <c r="AQ1013" s="140">
        <v>0</v>
      </c>
      <c r="AR1013" s="140">
        <v>4</v>
      </c>
      <c r="AS1013" s="140">
        <v>0</v>
      </c>
      <c r="AT1013" s="140">
        <v>0</v>
      </c>
      <c r="AU1013" s="140">
        <v>0</v>
      </c>
      <c r="AV1013" s="140">
        <v>0</v>
      </c>
      <c r="AW1013" s="140">
        <v>0</v>
      </c>
      <c r="AX1013" s="140">
        <v>0</v>
      </c>
      <c r="AY1013" s="140">
        <v>4</v>
      </c>
      <c r="AZ1013" s="140">
        <v>0</v>
      </c>
      <c r="BA1013" s="140">
        <v>0</v>
      </c>
      <c r="BB1013" s="140">
        <v>0</v>
      </c>
      <c r="BC1013" s="140">
        <v>0</v>
      </c>
      <c r="BD1013" s="140">
        <v>0</v>
      </c>
      <c r="BE1013" s="140">
        <v>0</v>
      </c>
      <c r="BF1013" s="140">
        <v>0</v>
      </c>
      <c r="BG1013" s="140">
        <v>0</v>
      </c>
      <c r="BH1013" s="140">
        <v>0</v>
      </c>
      <c r="BI1013" s="140">
        <v>0</v>
      </c>
      <c r="BJ1013" s="140">
        <v>0</v>
      </c>
      <c r="BK1013" s="140">
        <v>0</v>
      </c>
      <c r="BL1013" s="140">
        <v>0</v>
      </c>
      <c r="BM1013" s="140">
        <v>0</v>
      </c>
      <c r="BN1013" s="140">
        <v>0</v>
      </c>
      <c r="BO1013" s="140">
        <v>0</v>
      </c>
      <c r="BQ1013" s="89"/>
      <c r="BS1013" s="43" t="s">
        <v>329</v>
      </c>
      <c r="BU1013" s="89"/>
      <c r="BX1013" s="43">
        <v>7</v>
      </c>
      <c r="CC1013" s="90">
        <f>M1013</f>
        <v>4</v>
      </c>
      <c r="CT1013" s="90">
        <f t="shared" si="135"/>
        <v>4</v>
      </c>
      <c r="CU1013" s="90">
        <f t="shared" si="136"/>
        <v>4</v>
      </c>
    </row>
    <row r="1014" spans="1:99" ht="12" customHeight="1">
      <c r="A1014" s="43">
        <v>7101</v>
      </c>
      <c r="B1014" s="89" t="s">
        <v>2726</v>
      </c>
      <c r="C1014" s="89" t="s">
        <v>2741</v>
      </c>
      <c r="D1014" s="89" t="s">
        <v>2742</v>
      </c>
      <c r="E1014" s="89" t="s">
        <v>2749</v>
      </c>
      <c r="F1014" s="43">
        <v>526922</v>
      </c>
      <c r="G1014" s="43">
        <v>175807</v>
      </c>
      <c r="H1014" s="89" t="s">
        <v>147</v>
      </c>
      <c r="K1014" s="140">
        <v>0</v>
      </c>
      <c r="L1014" s="140">
        <v>34</v>
      </c>
      <c r="M1014" s="140">
        <v>34</v>
      </c>
      <c r="N1014" s="140">
        <v>2550</v>
      </c>
      <c r="O1014" s="140">
        <v>1791</v>
      </c>
      <c r="P1014" s="43" t="s">
        <v>329</v>
      </c>
      <c r="Q1014" s="89" t="s">
        <v>2744</v>
      </c>
      <c r="R1014" s="43" t="s">
        <v>2730</v>
      </c>
      <c r="S1014" s="125">
        <v>43483</v>
      </c>
      <c r="V1014" s="43" t="s">
        <v>317</v>
      </c>
      <c r="X1014" s="43" t="s">
        <v>318</v>
      </c>
      <c r="Y1014" s="43" t="s">
        <v>361</v>
      </c>
      <c r="Z1014" s="43" t="s">
        <v>361</v>
      </c>
      <c r="AA1014" s="43" t="s">
        <v>320</v>
      </c>
      <c r="AB1014" s="144">
        <v>5.2000001072883599E-2</v>
      </c>
      <c r="AF1014" s="43" t="s">
        <v>55</v>
      </c>
      <c r="AG1014" s="43" t="s">
        <v>438</v>
      </c>
      <c r="AJ1014" s="140">
        <v>0</v>
      </c>
      <c r="AK1014" s="140">
        <v>0</v>
      </c>
      <c r="AL1014" s="140">
        <v>0</v>
      </c>
      <c r="AM1014" s="140">
        <v>0</v>
      </c>
      <c r="AN1014" s="140">
        <v>0</v>
      </c>
      <c r="AO1014" s="140">
        <v>3</v>
      </c>
      <c r="AP1014" s="140">
        <v>14</v>
      </c>
      <c r="AQ1014" s="140">
        <v>12</v>
      </c>
      <c r="AR1014" s="140">
        <v>3</v>
      </c>
      <c r="AS1014" s="140">
        <v>2</v>
      </c>
      <c r="AT1014" s="140">
        <v>0</v>
      </c>
      <c r="AU1014" s="140">
        <v>0</v>
      </c>
      <c r="AV1014" s="140">
        <v>3</v>
      </c>
      <c r="AW1014" s="140">
        <v>14</v>
      </c>
      <c r="AX1014" s="140">
        <v>12</v>
      </c>
      <c r="AY1014" s="140">
        <v>3</v>
      </c>
      <c r="AZ1014" s="140">
        <v>2</v>
      </c>
      <c r="BA1014" s="140">
        <v>0</v>
      </c>
      <c r="BB1014" s="140">
        <v>0</v>
      </c>
      <c r="BC1014" s="140">
        <v>0</v>
      </c>
      <c r="BD1014" s="140">
        <v>0</v>
      </c>
      <c r="BE1014" s="140">
        <v>0</v>
      </c>
      <c r="BF1014" s="140">
        <v>0</v>
      </c>
      <c r="BG1014" s="140">
        <v>0</v>
      </c>
      <c r="BH1014" s="140">
        <v>0</v>
      </c>
      <c r="BI1014" s="140">
        <v>0</v>
      </c>
      <c r="BJ1014" s="140">
        <v>0</v>
      </c>
      <c r="BK1014" s="140">
        <v>0</v>
      </c>
      <c r="BL1014" s="140">
        <v>0</v>
      </c>
      <c r="BM1014" s="140">
        <v>0</v>
      </c>
      <c r="BN1014" s="140">
        <v>0</v>
      </c>
      <c r="BO1014" s="140">
        <v>0</v>
      </c>
      <c r="BQ1014" s="89"/>
      <c r="BS1014" s="43" t="s">
        <v>329</v>
      </c>
      <c r="BU1014" s="89"/>
      <c r="BX1014" s="43">
        <v>7</v>
      </c>
      <c r="CC1014" s="90">
        <f>M1014</f>
        <v>34</v>
      </c>
      <c r="CT1014" s="90">
        <f t="shared" si="135"/>
        <v>34</v>
      </c>
      <c r="CU1014" s="90">
        <f t="shared" si="136"/>
        <v>34</v>
      </c>
    </row>
    <row r="1015" spans="1:99" ht="12" customHeight="1">
      <c r="A1015" s="43">
        <v>7101</v>
      </c>
      <c r="B1015" s="89" t="s">
        <v>2726</v>
      </c>
      <c r="C1015" s="89" t="s">
        <v>2741</v>
      </c>
      <c r="D1015" s="89" t="s">
        <v>2742</v>
      </c>
      <c r="E1015" s="89" t="s">
        <v>2749</v>
      </c>
      <c r="F1015" s="43">
        <v>526922</v>
      </c>
      <c r="G1015" s="43">
        <v>175807</v>
      </c>
      <c r="H1015" s="89" t="s">
        <v>147</v>
      </c>
      <c r="K1015" s="140">
        <v>0</v>
      </c>
      <c r="L1015" s="140">
        <v>16</v>
      </c>
      <c r="M1015" s="140">
        <v>16</v>
      </c>
      <c r="N1015" s="140">
        <v>2550</v>
      </c>
      <c r="O1015" s="140">
        <v>1791</v>
      </c>
      <c r="P1015" s="43" t="s">
        <v>329</v>
      </c>
      <c r="Q1015" s="89" t="s">
        <v>2744</v>
      </c>
      <c r="R1015" s="43" t="s">
        <v>2730</v>
      </c>
      <c r="S1015" s="125">
        <v>43483</v>
      </c>
      <c r="V1015" s="43" t="s">
        <v>317</v>
      </c>
      <c r="X1015" s="43" t="s">
        <v>318</v>
      </c>
      <c r="Y1015" s="43" t="s">
        <v>361</v>
      </c>
      <c r="Z1015" s="43" t="s">
        <v>361</v>
      </c>
      <c r="AA1015" s="43" t="s">
        <v>320</v>
      </c>
      <c r="AB1015" s="144">
        <v>2.5000000372528999E-2</v>
      </c>
      <c r="AF1015" s="43" t="s">
        <v>54</v>
      </c>
      <c r="AG1015" s="43" t="s">
        <v>2747</v>
      </c>
      <c r="AJ1015" s="140">
        <v>0</v>
      </c>
      <c r="AK1015" s="140">
        <v>0</v>
      </c>
      <c r="AL1015" s="140">
        <v>0</v>
      </c>
      <c r="AM1015" s="140">
        <v>0</v>
      </c>
      <c r="AN1015" s="140">
        <v>0</v>
      </c>
      <c r="AO1015" s="140">
        <v>5</v>
      </c>
      <c r="AP1015" s="140">
        <v>11</v>
      </c>
      <c r="AQ1015" s="140">
        <v>0</v>
      </c>
      <c r="AR1015" s="140">
        <v>0</v>
      </c>
      <c r="AS1015" s="140">
        <v>0</v>
      </c>
      <c r="AT1015" s="140">
        <v>0</v>
      </c>
      <c r="AU1015" s="140">
        <v>0</v>
      </c>
      <c r="AV1015" s="140">
        <v>5</v>
      </c>
      <c r="AW1015" s="140">
        <v>11</v>
      </c>
      <c r="AX1015" s="140">
        <v>0</v>
      </c>
      <c r="AY1015" s="140">
        <v>0</v>
      </c>
      <c r="AZ1015" s="140">
        <v>0</v>
      </c>
      <c r="BA1015" s="140">
        <v>0</v>
      </c>
      <c r="BB1015" s="140">
        <v>0</v>
      </c>
      <c r="BC1015" s="140">
        <v>0</v>
      </c>
      <c r="BD1015" s="140">
        <v>0</v>
      </c>
      <c r="BE1015" s="140">
        <v>0</v>
      </c>
      <c r="BF1015" s="140">
        <v>0</v>
      </c>
      <c r="BG1015" s="140">
        <v>0</v>
      </c>
      <c r="BH1015" s="140">
        <v>0</v>
      </c>
      <c r="BI1015" s="140">
        <v>0</v>
      </c>
      <c r="BJ1015" s="140">
        <v>0</v>
      </c>
      <c r="BK1015" s="140">
        <v>0</v>
      </c>
      <c r="BL1015" s="140">
        <v>0</v>
      </c>
      <c r="BM1015" s="140">
        <v>0</v>
      </c>
      <c r="BN1015" s="140">
        <v>0</v>
      </c>
      <c r="BO1015" s="140">
        <v>0</v>
      </c>
      <c r="BQ1015" s="89"/>
      <c r="BS1015" s="43" t="s">
        <v>329</v>
      </c>
      <c r="BU1015" s="89"/>
      <c r="BX1015" s="43">
        <v>7</v>
      </c>
      <c r="CC1015" s="90">
        <f>M1015</f>
        <v>16</v>
      </c>
      <c r="CT1015" s="90">
        <f t="shared" si="135"/>
        <v>16</v>
      </c>
      <c r="CU1015" s="90">
        <f t="shared" si="136"/>
        <v>16</v>
      </c>
    </row>
    <row r="1016" spans="1:99" ht="12" customHeight="1">
      <c r="A1016" s="43">
        <v>7101</v>
      </c>
      <c r="B1016" s="89" t="s">
        <v>2726</v>
      </c>
      <c r="C1016" s="89" t="s">
        <v>2741</v>
      </c>
      <c r="D1016" s="89" t="s">
        <v>2742</v>
      </c>
      <c r="E1016" s="89" t="s">
        <v>2750</v>
      </c>
      <c r="F1016" s="43">
        <v>526922</v>
      </c>
      <c r="G1016" s="43">
        <v>175807</v>
      </c>
      <c r="H1016" s="89" t="s">
        <v>147</v>
      </c>
      <c r="K1016" s="140">
        <v>0</v>
      </c>
      <c r="L1016" s="140">
        <v>64</v>
      </c>
      <c r="M1016" s="140">
        <v>64</v>
      </c>
      <c r="N1016" s="140">
        <v>2550</v>
      </c>
      <c r="O1016" s="140">
        <v>1791</v>
      </c>
      <c r="P1016" s="43" t="s">
        <v>329</v>
      </c>
      <c r="Q1016" s="89" t="s">
        <v>2744</v>
      </c>
      <c r="R1016" s="43" t="s">
        <v>2730</v>
      </c>
      <c r="S1016" s="125">
        <v>43483</v>
      </c>
      <c r="V1016" s="43" t="s">
        <v>317</v>
      </c>
      <c r="X1016" s="43" t="s">
        <v>318</v>
      </c>
      <c r="Y1016" s="43" t="s">
        <v>361</v>
      </c>
      <c r="Z1016" s="43" t="s">
        <v>361</v>
      </c>
      <c r="AA1016" s="43" t="s">
        <v>320</v>
      </c>
      <c r="AB1016" s="144">
        <v>9.7999997437000302E-2</v>
      </c>
      <c r="AF1016" s="43" t="s">
        <v>75</v>
      </c>
      <c r="AG1016" s="43" t="s">
        <v>322</v>
      </c>
      <c r="AJ1016" s="140">
        <v>0</v>
      </c>
      <c r="AK1016" s="140">
        <v>0</v>
      </c>
      <c r="AL1016" s="140">
        <v>0</v>
      </c>
      <c r="AM1016" s="140">
        <v>0</v>
      </c>
      <c r="AN1016" s="140">
        <v>0</v>
      </c>
      <c r="AO1016" s="140">
        <v>18</v>
      </c>
      <c r="AP1016" s="140">
        <v>24</v>
      </c>
      <c r="AQ1016" s="140">
        <v>22</v>
      </c>
      <c r="AR1016" s="140">
        <v>0</v>
      </c>
      <c r="AS1016" s="140">
        <v>0</v>
      </c>
      <c r="AT1016" s="140">
        <v>0</v>
      </c>
      <c r="AU1016" s="140">
        <v>0</v>
      </c>
      <c r="AV1016" s="140">
        <v>18</v>
      </c>
      <c r="AW1016" s="140">
        <v>24</v>
      </c>
      <c r="AX1016" s="140">
        <v>22</v>
      </c>
      <c r="AY1016" s="140">
        <v>0</v>
      </c>
      <c r="AZ1016" s="140">
        <v>0</v>
      </c>
      <c r="BA1016" s="140">
        <v>0</v>
      </c>
      <c r="BB1016" s="140">
        <v>0</v>
      </c>
      <c r="BC1016" s="140">
        <v>0</v>
      </c>
      <c r="BD1016" s="140">
        <v>0</v>
      </c>
      <c r="BE1016" s="140">
        <v>0</v>
      </c>
      <c r="BF1016" s="140">
        <v>0</v>
      </c>
      <c r="BG1016" s="140">
        <v>0</v>
      </c>
      <c r="BH1016" s="140">
        <v>0</v>
      </c>
      <c r="BI1016" s="140">
        <v>0</v>
      </c>
      <c r="BJ1016" s="140">
        <v>0</v>
      </c>
      <c r="BK1016" s="140">
        <v>0</v>
      </c>
      <c r="BL1016" s="140">
        <v>0</v>
      </c>
      <c r="BM1016" s="140">
        <v>0</v>
      </c>
      <c r="BN1016" s="140">
        <v>0</v>
      </c>
      <c r="BO1016" s="140">
        <v>0</v>
      </c>
      <c r="BQ1016" s="89"/>
      <c r="BS1016" s="43" t="s">
        <v>329</v>
      </c>
      <c r="BU1016" s="89"/>
      <c r="BX1016" s="43">
        <v>7</v>
      </c>
      <c r="CD1016" s="90">
        <f>M1016</f>
        <v>64</v>
      </c>
      <c r="CT1016" s="90">
        <f t="shared" si="135"/>
        <v>64</v>
      </c>
      <c r="CU1016" s="90">
        <f t="shared" si="136"/>
        <v>64</v>
      </c>
    </row>
    <row r="1017" spans="1:99" ht="12" customHeight="1">
      <c r="A1017" s="43">
        <v>7101</v>
      </c>
      <c r="B1017" s="89" t="s">
        <v>2726</v>
      </c>
      <c r="C1017" s="89" t="s">
        <v>2741</v>
      </c>
      <c r="D1017" s="89" t="s">
        <v>2742</v>
      </c>
      <c r="E1017" s="89" t="s">
        <v>2750</v>
      </c>
      <c r="F1017" s="43">
        <v>526922</v>
      </c>
      <c r="G1017" s="43">
        <v>175807</v>
      </c>
      <c r="H1017" s="89" t="s">
        <v>147</v>
      </c>
      <c r="K1017" s="140">
        <v>0</v>
      </c>
      <c r="L1017" s="140">
        <v>54</v>
      </c>
      <c r="M1017" s="140">
        <v>54</v>
      </c>
      <c r="N1017" s="140">
        <v>2550</v>
      </c>
      <c r="O1017" s="140">
        <v>1791</v>
      </c>
      <c r="P1017" s="43" t="s">
        <v>329</v>
      </c>
      <c r="Q1017" s="89" t="s">
        <v>2744</v>
      </c>
      <c r="R1017" s="43" t="s">
        <v>2730</v>
      </c>
      <c r="S1017" s="125">
        <v>43483</v>
      </c>
      <c r="V1017" s="43" t="s">
        <v>317</v>
      </c>
      <c r="X1017" s="43" t="s">
        <v>318</v>
      </c>
      <c r="Y1017" s="43" t="s">
        <v>361</v>
      </c>
      <c r="Z1017" s="43" t="s">
        <v>361</v>
      </c>
      <c r="AA1017" s="43" t="s">
        <v>320</v>
      </c>
      <c r="AB1017" s="144">
        <v>8.2999996840953799E-2</v>
      </c>
      <c r="AF1017" s="43" t="s">
        <v>55</v>
      </c>
      <c r="AG1017" s="43" t="s">
        <v>438</v>
      </c>
      <c r="AJ1017" s="140">
        <v>0</v>
      </c>
      <c r="AK1017" s="140">
        <v>0</v>
      </c>
      <c r="AL1017" s="140">
        <v>0</v>
      </c>
      <c r="AM1017" s="140">
        <v>0</v>
      </c>
      <c r="AN1017" s="140">
        <v>0</v>
      </c>
      <c r="AO1017" s="140">
        <v>19</v>
      </c>
      <c r="AP1017" s="140">
        <v>15</v>
      </c>
      <c r="AQ1017" s="140">
        <v>17</v>
      </c>
      <c r="AR1017" s="140">
        <v>3</v>
      </c>
      <c r="AS1017" s="140">
        <v>0</v>
      </c>
      <c r="AT1017" s="140">
        <v>0</v>
      </c>
      <c r="AU1017" s="140">
        <v>0</v>
      </c>
      <c r="AV1017" s="140">
        <v>19</v>
      </c>
      <c r="AW1017" s="140">
        <v>15</v>
      </c>
      <c r="AX1017" s="140">
        <v>17</v>
      </c>
      <c r="AY1017" s="140">
        <v>3</v>
      </c>
      <c r="AZ1017" s="140">
        <v>0</v>
      </c>
      <c r="BA1017" s="140">
        <v>0</v>
      </c>
      <c r="BB1017" s="140">
        <v>0</v>
      </c>
      <c r="BC1017" s="140">
        <v>0</v>
      </c>
      <c r="BD1017" s="140">
        <v>0</v>
      </c>
      <c r="BE1017" s="140">
        <v>0</v>
      </c>
      <c r="BF1017" s="140">
        <v>0</v>
      </c>
      <c r="BG1017" s="140">
        <v>0</v>
      </c>
      <c r="BH1017" s="140">
        <v>0</v>
      </c>
      <c r="BI1017" s="140">
        <v>0</v>
      </c>
      <c r="BJ1017" s="140">
        <v>0</v>
      </c>
      <c r="BK1017" s="140">
        <v>0</v>
      </c>
      <c r="BL1017" s="140">
        <v>0</v>
      </c>
      <c r="BM1017" s="140">
        <v>0</v>
      </c>
      <c r="BN1017" s="140">
        <v>0</v>
      </c>
      <c r="BO1017" s="140">
        <v>0</v>
      </c>
      <c r="BQ1017" s="89"/>
      <c r="BS1017" s="43" t="s">
        <v>329</v>
      </c>
      <c r="BU1017" s="89"/>
      <c r="BX1017" s="43">
        <v>7</v>
      </c>
      <c r="CD1017" s="90">
        <f>M1017</f>
        <v>54</v>
      </c>
      <c r="CT1017" s="90">
        <f t="shared" si="135"/>
        <v>54</v>
      </c>
      <c r="CU1017" s="90">
        <f t="shared" si="136"/>
        <v>54</v>
      </c>
    </row>
    <row r="1018" spans="1:99" ht="12" customHeight="1">
      <c r="A1018" s="43">
        <v>7101</v>
      </c>
      <c r="B1018" s="89" t="s">
        <v>2726</v>
      </c>
      <c r="C1018" s="89" t="s">
        <v>2741</v>
      </c>
      <c r="D1018" s="89" t="s">
        <v>2742</v>
      </c>
      <c r="E1018" s="89" t="s">
        <v>2750</v>
      </c>
      <c r="F1018" s="43">
        <v>526922</v>
      </c>
      <c r="G1018" s="43">
        <v>175807</v>
      </c>
      <c r="H1018" s="89" t="s">
        <v>147</v>
      </c>
      <c r="K1018" s="140">
        <v>0</v>
      </c>
      <c r="L1018" s="140">
        <v>9</v>
      </c>
      <c r="M1018" s="140">
        <v>9</v>
      </c>
      <c r="N1018" s="140">
        <v>2550</v>
      </c>
      <c r="O1018" s="140">
        <v>1791</v>
      </c>
      <c r="P1018" s="43" t="s">
        <v>329</v>
      </c>
      <c r="Q1018" s="89" t="s">
        <v>2744</v>
      </c>
      <c r="R1018" s="43" t="s">
        <v>2730</v>
      </c>
      <c r="S1018" s="125">
        <v>43483</v>
      </c>
      <c r="V1018" s="43" t="s">
        <v>317</v>
      </c>
      <c r="X1018" s="43" t="s">
        <v>318</v>
      </c>
      <c r="Y1018" s="43" t="s">
        <v>361</v>
      </c>
      <c r="Z1018" s="43" t="s">
        <v>361</v>
      </c>
      <c r="AA1018" s="43" t="s">
        <v>320</v>
      </c>
      <c r="AB1018" s="144">
        <v>1.4000000432133701E-2</v>
      </c>
      <c r="AF1018" s="43" t="s">
        <v>54</v>
      </c>
      <c r="AG1018" s="43" t="s">
        <v>2747</v>
      </c>
      <c r="AJ1018" s="140">
        <v>0</v>
      </c>
      <c r="AK1018" s="140">
        <v>0</v>
      </c>
      <c r="AL1018" s="140">
        <v>0</v>
      </c>
      <c r="AM1018" s="140">
        <v>0</v>
      </c>
      <c r="AN1018" s="140">
        <v>0</v>
      </c>
      <c r="AO1018" s="140">
        <v>2</v>
      </c>
      <c r="AP1018" s="140">
        <v>3</v>
      </c>
      <c r="AQ1018" s="140">
        <v>3</v>
      </c>
      <c r="AR1018" s="140">
        <v>1</v>
      </c>
      <c r="AS1018" s="140">
        <v>0</v>
      </c>
      <c r="AT1018" s="140">
        <v>0</v>
      </c>
      <c r="AU1018" s="140">
        <v>0</v>
      </c>
      <c r="AV1018" s="140">
        <v>2</v>
      </c>
      <c r="AW1018" s="140">
        <v>3</v>
      </c>
      <c r="AX1018" s="140">
        <v>3</v>
      </c>
      <c r="AY1018" s="140">
        <v>1</v>
      </c>
      <c r="AZ1018" s="140">
        <v>0</v>
      </c>
      <c r="BA1018" s="140">
        <v>0</v>
      </c>
      <c r="BB1018" s="140">
        <v>0</v>
      </c>
      <c r="BC1018" s="140">
        <v>0</v>
      </c>
      <c r="BD1018" s="140">
        <v>0</v>
      </c>
      <c r="BE1018" s="140">
        <v>0</v>
      </c>
      <c r="BF1018" s="140">
        <v>0</v>
      </c>
      <c r="BG1018" s="140">
        <v>0</v>
      </c>
      <c r="BH1018" s="140">
        <v>0</v>
      </c>
      <c r="BI1018" s="140">
        <v>0</v>
      </c>
      <c r="BJ1018" s="140">
        <v>0</v>
      </c>
      <c r="BK1018" s="140">
        <v>0</v>
      </c>
      <c r="BL1018" s="140">
        <v>0</v>
      </c>
      <c r="BM1018" s="140">
        <v>0</v>
      </c>
      <c r="BN1018" s="140">
        <v>0</v>
      </c>
      <c r="BO1018" s="140">
        <v>0</v>
      </c>
      <c r="BQ1018" s="89"/>
      <c r="BS1018" s="43" t="s">
        <v>329</v>
      </c>
      <c r="BU1018" s="89"/>
      <c r="BX1018" s="43">
        <v>7</v>
      </c>
      <c r="CD1018" s="90">
        <f>M1018</f>
        <v>9</v>
      </c>
      <c r="CT1018" s="90">
        <f t="shared" si="135"/>
        <v>9</v>
      </c>
      <c r="CU1018" s="90">
        <f t="shared" si="136"/>
        <v>9</v>
      </c>
    </row>
    <row r="1019" spans="1:99" ht="12" customHeight="1">
      <c r="A1019" s="43">
        <v>7101</v>
      </c>
      <c r="B1019" s="89" t="s">
        <v>2726</v>
      </c>
      <c r="C1019" s="89" t="s">
        <v>2741</v>
      </c>
      <c r="D1019" s="89" t="s">
        <v>2742</v>
      </c>
      <c r="E1019" s="89" t="s">
        <v>2751</v>
      </c>
      <c r="F1019" s="43">
        <v>526922</v>
      </c>
      <c r="G1019" s="43">
        <v>175807</v>
      </c>
      <c r="H1019" s="89" t="s">
        <v>147</v>
      </c>
      <c r="K1019" s="140">
        <v>0</v>
      </c>
      <c r="L1019" s="140">
        <v>1355</v>
      </c>
      <c r="M1019" s="140">
        <v>1355</v>
      </c>
      <c r="N1019" s="140">
        <v>2550</v>
      </c>
      <c r="O1019" s="140">
        <v>1791</v>
      </c>
      <c r="P1019" s="43" t="s">
        <v>329</v>
      </c>
      <c r="Q1019" s="89" t="s">
        <v>2744</v>
      </c>
      <c r="R1019" s="43" t="s">
        <v>2730</v>
      </c>
      <c r="S1019" s="125">
        <v>43483</v>
      </c>
      <c r="V1019" s="43" t="s">
        <v>317</v>
      </c>
      <c r="X1019" s="43" t="s">
        <v>318</v>
      </c>
      <c r="Y1019" s="43" t="s">
        <v>361</v>
      </c>
      <c r="Z1019" s="43" t="s">
        <v>361</v>
      </c>
      <c r="AA1019" s="43" t="s">
        <v>320</v>
      </c>
      <c r="AB1019" s="144">
        <v>2.0820000171661399</v>
      </c>
      <c r="AF1019" s="43" t="s">
        <v>75</v>
      </c>
      <c r="AG1019" s="43" t="s">
        <v>322</v>
      </c>
      <c r="AJ1019" s="140">
        <v>0</v>
      </c>
      <c r="AK1019" s="140">
        <v>0</v>
      </c>
      <c r="AL1019" s="140">
        <v>0</v>
      </c>
      <c r="AM1019" s="140">
        <v>0</v>
      </c>
      <c r="AN1019" s="140">
        <v>0</v>
      </c>
      <c r="AO1019" s="140">
        <v>0</v>
      </c>
      <c r="AP1019" s="140">
        <v>0</v>
      </c>
      <c r="AQ1019" s="140">
        <v>0</v>
      </c>
      <c r="AR1019" s="140">
        <v>0</v>
      </c>
      <c r="AS1019" s="140">
        <v>0</v>
      </c>
      <c r="AT1019" s="140">
        <v>1355</v>
      </c>
      <c r="AU1019" s="140">
        <v>0</v>
      </c>
      <c r="AV1019" s="140">
        <v>0</v>
      </c>
      <c r="AW1019" s="140">
        <v>0</v>
      </c>
      <c r="AX1019" s="140">
        <v>0</v>
      </c>
      <c r="AY1019" s="140">
        <v>0</v>
      </c>
      <c r="AZ1019" s="140">
        <v>0</v>
      </c>
      <c r="BA1019" s="140">
        <v>1355</v>
      </c>
      <c r="BB1019" s="140">
        <v>0</v>
      </c>
      <c r="BC1019" s="140">
        <v>0</v>
      </c>
      <c r="BD1019" s="140">
        <v>0</v>
      </c>
      <c r="BE1019" s="140">
        <v>0</v>
      </c>
      <c r="BF1019" s="140">
        <v>0</v>
      </c>
      <c r="BG1019" s="140">
        <v>0</v>
      </c>
      <c r="BH1019" s="140">
        <v>0</v>
      </c>
      <c r="BI1019" s="140">
        <v>0</v>
      </c>
      <c r="BJ1019" s="140">
        <v>0</v>
      </c>
      <c r="BK1019" s="140">
        <v>0</v>
      </c>
      <c r="BL1019" s="140">
        <v>0</v>
      </c>
      <c r="BM1019" s="140">
        <v>0</v>
      </c>
      <c r="BN1019" s="140">
        <v>0</v>
      </c>
      <c r="BO1019" s="140">
        <v>0</v>
      </c>
      <c r="BQ1019" s="89"/>
      <c r="BS1019" s="43" t="s">
        <v>329</v>
      </c>
      <c r="BU1019" s="89"/>
      <c r="BX1019" s="43">
        <v>7</v>
      </c>
      <c r="CE1019" s="90">
        <f t="shared" ref="CE1019:CP1022" si="141">$M1019/12</f>
        <v>112.91666666666667</v>
      </c>
      <c r="CF1019" s="90">
        <f t="shared" si="141"/>
        <v>112.91666666666667</v>
      </c>
      <c r="CG1019" s="90">
        <f t="shared" si="141"/>
        <v>112.91666666666667</v>
      </c>
      <c r="CH1019" s="90">
        <f t="shared" si="141"/>
        <v>112.91666666666667</v>
      </c>
      <c r="CI1019" s="90">
        <f t="shared" si="141"/>
        <v>112.91666666666667</v>
      </c>
      <c r="CJ1019" s="90">
        <f t="shared" si="141"/>
        <v>112.91666666666667</v>
      </c>
      <c r="CK1019" s="90">
        <f t="shared" si="141"/>
        <v>112.91666666666667</v>
      </c>
      <c r="CL1019" s="90">
        <f t="shared" si="141"/>
        <v>112.91666666666667</v>
      </c>
      <c r="CM1019" s="90">
        <f t="shared" si="141"/>
        <v>112.91666666666667</v>
      </c>
      <c r="CN1019" s="90">
        <f t="shared" si="141"/>
        <v>112.91666666666667</v>
      </c>
      <c r="CO1019" s="90">
        <f t="shared" si="141"/>
        <v>112.91666666666667</v>
      </c>
      <c r="CP1019" s="90">
        <f t="shared" si="141"/>
        <v>112.91666666666667</v>
      </c>
      <c r="CT1019" s="90">
        <f t="shared" si="135"/>
        <v>0</v>
      </c>
      <c r="CU1019" s="90">
        <f t="shared" si="136"/>
        <v>564.58333333333337</v>
      </c>
    </row>
    <row r="1020" spans="1:99" ht="12" customHeight="1">
      <c r="A1020" s="43">
        <v>7101</v>
      </c>
      <c r="B1020" s="89" t="s">
        <v>2726</v>
      </c>
      <c r="C1020" s="89" t="s">
        <v>2741</v>
      </c>
      <c r="D1020" s="89" t="s">
        <v>2742</v>
      </c>
      <c r="E1020" s="89" t="s">
        <v>2751</v>
      </c>
      <c r="F1020" s="43">
        <v>526922</v>
      </c>
      <c r="G1020" s="43">
        <v>175807</v>
      </c>
      <c r="H1020" s="89" t="s">
        <v>147</v>
      </c>
      <c r="K1020" s="140">
        <v>0</v>
      </c>
      <c r="L1020" s="140">
        <v>379</v>
      </c>
      <c r="M1020" s="140">
        <v>379</v>
      </c>
      <c r="N1020" s="140">
        <v>2550</v>
      </c>
      <c r="O1020" s="140">
        <v>1791</v>
      </c>
      <c r="P1020" s="43" t="s">
        <v>329</v>
      </c>
      <c r="Q1020" s="89" t="s">
        <v>2744</v>
      </c>
      <c r="R1020" s="43" t="s">
        <v>2730</v>
      </c>
      <c r="S1020" s="125">
        <v>43483</v>
      </c>
      <c r="V1020" s="43" t="s">
        <v>317</v>
      </c>
      <c r="X1020" s="43" t="s">
        <v>318</v>
      </c>
      <c r="Y1020" s="43" t="s">
        <v>361</v>
      </c>
      <c r="Z1020" s="43" t="s">
        <v>361</v>
      </c>
      <c r="AA1020" s="43" t="s">
        <v>320</v>
      </c>
      <c r="AB1020" s="144">
        <v>0.58200001716613803</v>
      </c>
      <c r="AF1020" s="43" t="s">
        <v>55</v>
      </c>
      <c r="AG1020" s="43" t="s">
        <v>438</v>
      </c>
      <c r="AJ1020" s="140">
        <v>0</v>
      </c>
      <c r="AK1020" s="140">
        <v>0</v>
      </c>
      <c r="AL1020" s="140">
        <v>0</v>
      </c>
      <c r="AM1020" s="140">
        <v>0</v>
      </c>
      <c r="AN1020" s="140">
        <v>0</v>
      </c>
      <c r="AO1020" s="140">
        <v>0</v>
      </c>
      <c r="AP1020" s="140">
        <v>0</v>
      </c>
      <c r="AQ1020" s="140">
        <v>0</v>
      </c>
      <c r="AR1020" s="140">
        <v>0</v>
      </c>
      <c r="AS1020" s="140">
        <v>0</v>
      </c>
      <c r="AT1020" s="140">
        <v>379</v>
      </c>
      <c r="AU1020" s="140">
        <v>0</v>
      </c>
      <c r="AV1020" s="140">
        <v>0</v>
      </c>
      <c r="AW1020" s="140">
        <v>0</v>
      </c>
      <c r="AX1020" s="140">
        <v>0</v>
      </c>
      <c r="AY1020" s="140">
        <v>0</v>
      </c>
      <c r="AZ1020" s="140">
        <v>0</v>
      </c>
      <c r="BA1020" s="140">
        <v>379</v>
      </c>
      <c r="BB1020" s="140">
        <v>0</v>
      </c>
      <c r="BC1020" s="140">
        <v>0</v>
      </c>
      <c r="BD1020" s="140">
        <v>0</v>
      </c>
      <c r="BE1020" s="140">
        <v>0</v>
      </c>
      <c r="BF1020" s="140">
        <v>0</v>
      </c>
      <c r="BG1020" s="140">
        <v>0</v>
      </c>
      <c r="BH1020" s="140">
        <v>0</v>
      </c>
      <c r="BI1020" s="140">
        <v>0</v>
      </c>
      <c r="BJ1020" s="140">
        <v>0</v>
      </c>
      <c r="BK1020" s="140">
        <v>0</v>
      </c>
      <c r="BL1020" s="140">
        <v>0</v>
      </c>
      <c r="BM1020" s="140">
        <v>0</v>
      </c>
      <c r="BN1020" s="140">
        <v>0</v>
      </c>
      <c r="BO1020" s="140">
        <v>0</v>
      </c>
      <c r="BQ1020" s="89"/>
      <c r="BS1020" s="43" t="s">
        <v>329</v>
      </c>
      <c r="BU1020" s="89"/>
      <c r="BX1020" s="43">
        <v>7</v>
      </c>
      <c r="CE1020" s="90">
        <f t="shared" si="141"/>
        <v>31.583333333333332</v>
      </c>
      <c r="CF1020" s="90">
        <f t="shared" si="141"/>
        <v>31.583333333333332</v>
      </c>
      <c r="CG1020" s="90">
        <f t="shared" si="141"/>
        <v>31.583333333333332</v>
      </c>
      <c r="CH1020" s="90">
        <f t="shared" si="141"/>
        <v>31.583333333333332</v>
      </c>
      <c r="CI1020" s="90">
        <f t="shared" si="141"/>
        <v>31.583333333333332</v>
      </c>
      <c r="CJ1020" s="90">
        <f t="shared" si="141"/>
        <v>31.583333333333332</v>
      </c>
      <c r="CK1020" s="90">
        <f t="shared" si="141"/>
        <v>31.583333333333332</v>
      </c>
      <c r="CL1020" s="90">
        <f t="shared" si="141"/>
        <v>31.583333333333332</v>
      </c>
      <c r="CM1020" s="90">
        <f t="shared" si="141"/>
        <v>31.583333333333332</v>
      </c>
      <c r="CN1020" s="90">
        <f t="shared" si="141"/>
        <v>31.583333333333332</v>
      </c>
      <c r="CO1020" s="90">
        <f t="shared" si="141"/>
        <v>31.583333333333332</v>
      </c>
      <c r="CP1020" s="90">
        <f t="shared" si="141"/>
        <v>31.583333333333332</v>
      </c>
      <c r="CT1020" s="90">
        <f t="shared" si="135"/>
        <v>0</v>
      </c>
      <c r="CU1020" s="90">
        <f t="shared" si="136"/>
        <v>157.91666666666666</v>
      </c>
    </row>
    <row r="1021" spans="1:99" ht="12" customHeight="1">
      <c r="A1021" s="43">
        <v>7101</v>
      </c>
      <c r="B1021" s="89" t="s">
        <v>2726</v>
      </c>
      <c r="C1021" s="89" t="s">
        <v>2741</v>
      </c>
      <c r="D1021" s="89" t="s">
        <v>2742</v>
      </c>
      <c r="E1021" s="89" t="s">
        <v>2751</v>
      </c>
      <c r="F1021" s="43">
        <v>526922</v>
      </c>
      <c r="G1021" s="43">
        <v>175807</v>
      </c>
      <c r="H1021" s="89" t="s">
        <v>147</v>
      </c>
      <c r="K1021" s="140">
        <v>0</v>
      </c>
      <c r="L1021" s="140">
        <v>214</v>
      </c>
      <c r="M1021" s="140">
        <v>214</v>
      </c>
      <c r="N1021" s="140">
        <v>2550</v>
      </c>
      <c r="O1021" s="140">
        <v>1791</v>
      </c>
      <c r="P1021" s="43" t="s">
        <v>329</v>
      </c>
      <c r="Q1021" s="89" t="s">
        <v>2744</v>
      </c>
      <c r="R1021" s="43" t="s">
        <v>2730</v>
      </c>
      <c r="S1021" s="125">
        <v>43483</v>
      </c>
      <c r="V1021" s="43" t="s">
        <v>317</v>
      </c>
      <c r="X1021" s="43" t="s">
        <v>318</v>
      </c>
      <c r="Y1021" s="43" t="s">
        <v>361</v>
      </c>
      <c r="Z1021" s="43" t="s">
        <v>361</v>
      </c>
      <c r="AA1021" s="43" t="s">
        <v>320</v>
      </c>
      <c r="AB1021" s="144">
        <v>0.32899999618530301</v>
      </c>
      <c r="AF1021" s="43" t="s">
        <v>54</v>
      </c>
      <c r="AG1021" s="43" t="s">
        <v>2747</v>
      </c>
      <c r="AJ1021" s="140">
        <v>0</v>
      </c>
      <c r="AK1021" s="140">
        <v>0</v>
      </c>
      <c r="AL1021" s="140">
        <v>0</v>
      </c>
      <c r="AM1021" s="140">
        <v>0</v>
      </c>
      <c r="AN1021" s="140">
        <v>0</v>
      </c>
      <c r="AO1021" s="140">
        <v>0</v>
      </c>
      <c r="AP1021" s="140">
        <v>0</v>
      </c>
      <c r="AQ1021" s="140">
        <v>0</v>
      </c>
      <c r="AR1021" s="140">
        <v>0</v>
      </c>
      <c r="AS1021" s="140">
        <v>0</v>
      </c>
      <c r="AT1021" s="140">
        <v>214</v>
      </c>
      <c r="AU1021" s="140">
        <v>0</v>
      </c>
      <c r="AV1021" s="140">
        <v>0</v>
      </c>
      <c r="AW1021" s="140">
        <v>0</v>
      </c>
      <c r="AX1021" s="140">
        <v>0</v>
      </c>
      <c r="AY1021" s="140">
        <v>0</v>
      </c>
      <c r="AZ1021" s="140">
        <v>0</v>
      </c>
      <c r="BA1021" s="140">
        <v>214</v>
      </c>
      <c r="BB1021" s="140">
        <v>0</v>
      </c>
      <c r="BC1021" s="140">
        <v>0</v>
      </c>
      <c r="BD1021" s="140">
        <v>0</v>
      </c>
      <c r="BE1021" s="140">
        <v>0</v>
      </c>
      <c r="BF1021" s="140">
        <v>0</v>
      </c>
      <c r="BG1021" s="140">
        <v>0</v>
      </c>
      <c r="BH1021" s="140">
        <v>0</v>
      </c>
      <c r="BI1021" s="140">
        <v>0</v>
      </c>
      <c r="BJ1021" s="140">
        <v>0</v>
      </c>
      <c r="BK1021" s="140">
        <v>0</v>
      </c>
      <c r="BL1021" s="140">
        <v>0</v>
      </c>
      <c r="BM1021" s="140">
        <v>0</v>
      </c>
      <c r="BN1021" s="140">
        <v>0</v>
      </c>
      <c r="BO1021" s="140">
        <v>0</v>
      </c>
      <c r="BQ1021" s="89"/>
      <c r="BS1021" s="43" t="s">
        <v>329</v>
      </c>
      <c r="BU1021" s="89"/>
      <c r="BX1021" s="43">
        <v>7</v>
      </c>
      <c r="CE1021" s="90">
        <f t="shared" si="141"/>
        <v>17.833333333333332</v>
      </c>
      <c r="CF1021" s="90">
        <f t="shared" si="141"/>
        <v>17.833333333333332</v>
      </c>
      <c r="CG1021" s="90">
        <f t="shared" si="141"/>
        <v>17.833333333333332</v>
      </c>
      <c r="CH1021" s="90">
        <f t="shared" si="141"/>
        <v>17.833333333333332</v>
      </c>
      <c r="CI1021" s="90">
        <f t="shared" si="141"/>
        <v>17.833333333333332</v>
      </c>
      <c r="CJ1021" s="90">
        <f t="shared" si="141"/>
        <v>17.833333333333332</v>
      </c>
      <c r="CK1021" s="90">
        <f t="shared" si="141"/>
        <v>17.833333333333332</v>
      </c>
      <c r="CL1021" s="90">
        <f t="shared" si="141"/>
        <v>17.833333333333332</v>
      </c>
      <c r="CM1021" s="90">
        <f t="shared" si="141"/>
        <v>17.833333333333332</v>
      </c>
      <c r="CN1021" s="90">
        <f t="shared" si="141"/>
        <v>17.833333333333332</v>
      </c>
      <c r="CO1021" s="90">
        <f t="shared" si="141"/>
        <v>17.833333333333332</v>
      </c>
      <c r="CP1021" s="90">
        <f t="shared" si="141"/>
        <v>17.833333333333332</v>
      </c>
      <c r="CT1021" s="90">
        <f t="shared" si="135"/>
        <v>0</v>
      </c>
      <c r="CU1021" s="90">
        <f t="shared" si="136"/>
        <v>89.166666666666657</v>
      </c>
    </row>
    <row r="1022" spans="1:99" ht="12" customHeight="1">
      <c r="A1022" s="43">
        <v>7101</v>
      </c>
      <c r="B1022" s="89" t="s">
        <v>2726</v>
      </c>
      <c r="C1022" s="89" t="s">
        <v>2741</v>
      </c>
      <c r="D1022" s="89" t="s">
        <v>2742</v>
      </c>
      <c r="E1022" s="89" t="s">
        <v>2751</v>
      </c>
      <c r="F1022" s="43">
        <v>526922</v>
      </c>
      <c r="G1022" s="43">
        <v>175807</v>
      </c>
      <c r="H1022" s="89" t="s">
        <v>147</v>
      </c>
      <c r="K1022" s="140">
        <v>0</v>
      </c>
      <c r="L1022" s="140">
        <v>100</v>
      </c>
      <c r="M1022" s="140">
        <v>100</v>
      </c>
      <c r="N1022" s="140">
        <v>2550</v>
      </c>
      <c r="O1022" s="140">
        <v>1791</v>
      </c>
      <c r="P1022" s="43" t="s">
        <v>329</v>
      </c>
      <c r="Q1022" s="89" t="s">
        <v>2744</v>
      </c>
      <c r="R1022" s="43" t="s">
        <v>2730</v>
      </c>
      <c r="S1022" s="125">
        <v>43483</v>
      </c>
      <c r="V1022" s="43" t="s">
        <v>317</v>
      </c>
      <c r="X1022" s="43" t="s">
        <v>318</v>
      </c>
      <c r="Y1022" s="43" t="s">
        <v>361</v>
      </c>
      <c r="Z1022" s="43" t="s">
        <v>361</v>
      </c>
      <c r="AA1022" s="43" t="s">
        <v>320</v>
      </c>
      <c r="AB1022" s="144">
        <v>0.153999999165535</v>
      </c>
      <c r="AF1022" s="43" t="s">
        <v>55</v>
      </c>
      <c r="AG1022" s="43" t="s">
        <v>457</v>
      </c>
      <c r="AJ1022" s="140">
        <v>0</v>
      </c>
      <c r="AK1022" s="140">
        <v>0</v>
      </c>
      <c r="AL1022" s="140">
        <v>0</v>
      </c>
      <c r="AM1022" s="140">
        <v>0</v>
      </c>
      <c r="AN1022" s="140">
        <v>0</v>
      </c>
      <c r="AO1022" s="140">
        <v>0</v>
      </c>
      <c r="AP1022" s="140">
        <v>0</v>
      </c>
      <c r="AQ1022" s="140">
        <v>0</v>
      </c>
      <c r="AR1022" s="140">
        <v>0</v>
      </c>
      <c r="AS1022" s="140">
        <v>0</v>
      </c>
      <c r="AT1022" s="140">
        <v>100</v>
      </c>
      <c r="AU1022" s="140">
        <v>0</v>
      </c>
      <c r="AV1022" s="140">
        <v>0</v>
      </c>
      <c r="AW1022" s="140">
        <v>0</v>
      </c>
      <c r="AX1022" s="140">
        <v>0</v>
      </c>
      <c r="AY1022" s="140">
        <v>0</v>
      </c>
      <c r="AZ1022" s="140">
        <v>0</v>
      </c>
      <c r="BA1022" s="140">
        <v>100</v>
      </c>
      <c r="BB1022" s="140">
        <v>0</v>
      </c>
      <c r="BC1022" s="140">
        <v>0</v>
      </c>
      <c r="BD1022" s="140">
        <v>0</v>
      </c>
      <c r="BE1022" s="140">
        <v>0</v>
      </c>
      <c r="BF1022" s="140">
        <v>0</v>
      </c>
      <c r="BG1022" s="140">
        <v>0</v>
      </c>
      <c r="BH1022" s="140">
        <v>0</v>
      </c>
      <c r="BI1022" s="140">
        <v>0</v>
      </c>
      <c r="BJ1022" s="140">
        <v>0</v>
      </c>
      <c r="BK1022" s="140">
        <v>0</v>
      </c>
      <c r="BL1022" s="140">
        <v>0</v>
      </c>
      <c r="BM1022" s="140">
        <v>0</v>
      </c>
      <c r="BN1022" s="140">
        <v>0</v>
      </c>
      <c r="BO1022" s="140">
        <v>0</v>
      </c>
      <c r="BQ1022" s="89"/>
      <c r="BS1022" s="43" t="s">
        <v>329</v>
      </c>
      <c r="BU1022" s="89"/>
      <c r="BX1022" s="43">
        <v>7</v>
      </c>
      <c r="CE1022" s="90">
        <f t="shared" si="141"/>
        <v>8.3333333333333339</v>
      </c>
      <c r="CF1022" s="90">
        <f t="shared" si="141"/>
        <v>8.3333333333333339</v>
      </c>
      <c r="CG1022" s="90">
        <f t="shared" si="141"/>
        <v>8.3333333333333339</v>
      </c>
      <c r="CH1022" s="90">
        <f t="shared" si="141"/>
        <v>8.3333333333333339</v>
      </c>
      <c r="CI1022" s="90">
        <f t="shared" si="141"/>
        <v>8.3333333333333339</v>
      </c>
      <c r="CJ1022" s="90">
        <f t="shared" si="141"/>
        <v>8.3333333333333339</v>
      </c>
      <c r="CK1022" s="90">
        <f t="shared" si="141"/>
        <v>8.3333333333333339</v>
      </c>
      <c r="CL1022" s="90">
        <f t="shared" si="141"/>
        <v>8.3333333333333339</v>
      </c>
      <c r="CM1022" s="90">
        <f t="shared" si="141"/>
        <v>8.3333333333333339</v>
      </c>
      <c r="CN1022" s="90">
        <f t="shared" si="141"/>
        <v>8.3333333333333339</v>
      </c>
      <c r="CO1022" s="90">
        <f t="shared" si="141"/>
        <v>8.3333333333333339</v>
      </c>
      <c r="CP1022" s="90">
        <f t="shared" si="141"/>
        <v>8.3333333333333339</v>
      </c>
      <c r="CT1022" s="90">
        <f t="shared" si="135"/>
        <v>0</v>
      </c>
      <c r="CU1022" s="90">
        <f t="shared" si="136"/>
        <v>41.666666666666671</v>
      </c>
    </row>
    <row r="1023" spans="1:99" ht="12" customHeight="1">
      <c r="A1023" s="43">
        <v>7101</v>
      </c>
      <c r="B1023" s="89" t="s">
        <v>2726</v>
      </c>
      <c r="C1023" s="89" t="s">
        <v>2741</v>
      </c>
      <c r="D1023" s="89" t="s">
        <v>2742</v>
      </c>
      <c r="E1023" s="89" t="s">
        <v>2752</v>
      </c>
      <c r="F1023" s="43">
        <v>526922</v>
      </c>
      <c r="G1023" s="43">
        <v>175807</v>
      </c>
      <c r="H1023" s="89" t="s">
        <v>147</v>
      </c>
      <c r="K1023" s="140">
        <v>218</v>
      </c>
      <c r="L1023" s="140">
        <v>0</v>
      </c>
      <c r="M1023" s="140">
        <v>-218</v>
      </c>
      <c r="N1023" s="140">
        <v>2550</v>
      </c>
      <c r="O1023" s="140">
        <v>1791</v>
      </c>
      <c r="P1023" s="43" t="s">
        <v>329</v>
      </c>
      <c r="Q1023" s="89" t="s">
        <v>2744</v>
      </c>
      <c r="R1023" s="43" t="s">
        <v>2730</v>
      </c>
      <c r="S1023" s="125">
        <v>43483</v>
      </c>
      <c r="V1023" s="43" t="s">
        <v>317</v>
      </c>
      <c r="X1023" s="43" t="s">
        <v>318</v>
      </c>
      <c r="Y1023" s="43" t="s">
        <v>361</v>
      </c>
      <c r="Z1023" s="43" t="s">
        <v>361</v>
      </c>
      <c r="AA1023" s="43" t="s">
        <v>320</v>
      </c>
      <c r="AB1023" s="144">
        <v>0</v>
      </c>
      <c r="AF1023" s="43" t="s">
        <v>75</v>
      </c>
      <c r="AG1023" s="43" t="s">
        <v>322</v>
      </c>
      <c r="AJ1023" s="140">
        <v>0</v>
      </c>
      <c r="AK1023" s="140">
        <v>0</v>
      </c>
      <c r="AL1023" s="140">
        <v>0</v>
      </c>
      <c r="AM1023" s="140">
        <v>0</v>
      </c>
      <c r="AN1023" s="140">
        <v>-12</v>
      </c>
      <c r="AO1023" s="140">
        <v>-54</v>
      </c>
      <c r="AP1023" s="140">
        <v>-89</v>
      </c>
      <c r="AQ1023" s="140">
        <v>-33</v>
      </c>
      <c r="AR1023" s="140">
        <v>-30</v>
      </c>
      <c r="AS1023" s="140">
        <v>0</v>
      </c>
      <c r="AT1023" s="140">
        <v>0</v>
      </c>
      <c r="AU1023" s="140">
        <v>-12</v>
      </c>
      <c r="AV1023" s="140">
        <v>-54</v>
      </c>
      <c r="AW1023" s="140">
        <v>-89</v>
      </c>
      <c r="AX1023" s="140">
        <v>-33</v>
      </c>
      <c r="AY1023" s="140">
        <v>-30</v>
      </c>
      <c r="AZ1023" s="140">
        <v>0</v>
      </c>
      <c r="BA1023" s="140">
        <v>0</v>
      </c>
      <c r="BB1023" s="140">
        <v>0</v>
      </c>
      <c r="BC1023" s="140">
        <v>0</v>
      </c>
      <c r="BD1023" s="140">
        <v>0</v>
      </c>
      <c r="BE1023" s="140">
        <v>0</v>
      </c>
      <c r="BF1023" s="140">
        <v>0</v>
      </c>
      <c r="BG1023" s="140">
        <v>0</v>
      </c>
      <c r="BH1023" s="140">
        <v>0</v>
      </c>
      <c r="BI1023" s="140">
        <v>0</v>
      </c>
      <c r="BJ1023" s="140">
        <v>0</v>
      </c>
      <c r="BK1023" s="140">
        <v>0</v>
      </c>
      <c r="BL1023" s="140">
        <v>0</v>
      </c>
      <c r="BM1023" s="140">
        <v>0</v>
      </c>
      <c r="BN1023" s="140">
        <v>0</v>
      </c>
      <c r="BO1023" s="140">
        <v>0</v>
      </c>
      <c r="BQ1023" s="89"/>
      <c r="BS1023" s="43" t="s">
        <v>329</v>
      </c>
      <c r="BU1023" s="89"/>
      <c r="BX1023" s="43">
        <v>7</v>
      </c>
      <c r="CE1023" s="90">
        <f t="shared" ref="CE1023:CJ1025" si="142">$M1023/6</f>
        <v>-36.333333333333336</v>
      </c>
      <c r="CF1023" s="90">
        <f t="shared" si="142"/>
        <v>-36.333333333333336</v>
      </c>
      <c r="CG1023" s="90">
        <f t="shared" si="142"/>
        <v>-36.333333333333336</v>
      </c>
      <c r="CH1023" s="90">
        <f t="shared" si="142"/>
        <v>-36.333333333333336</v>
      </c>
      <c r="CI1023" s="90">
        <f t="shared" si="142"/>
        <v>-36.333333333333336</v>
      </c>
      <c r="CJ1023" s="90">
        <f t="shared" si="142"/>
        <v>-36.333333333333336</v>
      </c>
      <c r="CT1023" s="90">
        <f t="shared" si="135"/>
        <v>0</v>
      </c>
      <c r="CU1023" s="90">
        <f t="shared" si="136"/>
        <v>-181.66666666666669</v>
      </c>
    </row>
    <row r="1024" spans="1:99" ht="12" customHeight="1">
      <c r="A1024" s="43">
        <v>7101</v>
      </c>
      <c r="B1024" s="89" t="s">
        <v>2726</v>
      </c>
      <c r="C1024" s="89" t="s">
        <v>2741</v>
      </c>
      <c r="D1024" s="89" t="s">
        <v>2742</v>
      </c>
      <c r="E1024" s="89" t="s">
        <v>2752</v>
      </c>
      <c r="F1024" s="43">
        <v>526922</v>
      </c>
      <c r="G1024" s="43">
        <v>175807</v>
      </c>
      <c r="H1024" s="89" t="s">
        <v>147</v>
      </c>
      <c r="K1024" s="140">
        <v>14</v>
      </c>
      <c r="L1024" s="140">
        <v>0</v>
      </c>
      <c r="M1024" s="140">
        <v>-14</v>
      </c>
      <c r="N1024" s="140">
        <v>2550</v>
      </c>
      <c r="O1024" s="140">
        <v>1791</v>
      </c>
      <c r="P1024" s="43" t="s">
        <v>329</v>
      </c>
      <c r="Q1024" s="89" t="s">
        <v>2744</v>
      </c>
      <c r="R1024" s="43" t="s">
        <v>2730</v>
      </c>
      <c r="S1024" s="125">
        <v>43483</v>
      </c>
      <c r="V1024" s="43" t="s">
        <v>317</v>
      </c>
      <c r="X1024" s="43" t="s">
        <v>318</v>
      </c>
      <c r="Y1024" s="43" t="s">
        <v>361</v>
      </c>
      <c r="Z1024" s="43" t="s">
        <v>361</v>
      </c>
      <c r="AA1024" s="43" t="s">
        <v>320</v>
      </c>
      <c r="AB1024" s="144">
        <v>0</v>
      </c>
      <c r="AF1024" s="43" t="s">
        <v>54</v>
      </c>
      <c r="AG1024" s="43" t="s">
        <v>1659</v>
      </c>
      <c r="AJ1024" s="140">
        <v>0</v>
      </c>
      <c r="AK1024" s="140">
        <v>0</v>
      </c>
      <c r="AL1024" s="140">
        <v>0</v>
      </c>
      <c r="AM1024" s="140">
        <v>0</v>
      </c>
      <c r="AN1024" s="140">
        <v>0</v>
      </c>
      <c r="AO1024" s="140">
        <v>-2</v>
      </c>
      <c r="AP1024" s="140">
        <v>-11</v>
      </c>
      <c r="AQ1024" s="140">
        <v>-1</v>
      </c>
      <c r="AR1024" s="140">
        <v>0</v>
      </c>
      <c r="AS1024" s="140">
        <v>0</v>
      </c>
      <c r="AT1024" s="140">
        <v>0</v>
      </c>
      <c r="AU1024" s="140">
        <v>0</v>
      </c>
      <c r="AV1024" s="140">
        <v>-2</v>
      </c>
      <c r="AW1024" s="140">
        <v>-11</v>
      </c>
      <c r="AX1024" s="140">
        <v>-1</v>
      </c>
      <c r="AY1024" s="140">
        <v>0</v>
      </c>
      <c r="AZ1024" s="140">
        <v>0</v>
      </c>
      <c r="BA1024" s="140">
        <v>0</v>
      </c>
      <c r="BB1024" s="140">
        <v>0</v>
      </c>
      <c r="BC1024" s="140">
        <v>0</v>
      </c>
      <c r="BD1024" s="140">
        <v>0</v>
      </c>
      <c r="BE1024" s="140">
        <v>0</v>
      </c>
      <c r="BF1024" s="140">
        <v>0</v>
      </c>
      <c r="BG1024" s="140">
        <v>0</v>
      </c>
      <c r="BH1024" s="140">
        <v>0</v>
      </c>
      <c r="BI1024" s="140">
        <v>0</v>
      </c>
      <c r="BJ1024" s="140">
        <v>0</v>
      </c>
      <c r="BK1024" s="140">
        <v>0</v>
      </c>
      <c r="BL1024" s="140">
        <v>0</v>
      </c>
      <c r="BM1024" s="140">
        <v>0</v>
      </c>
      <c r="BN1024" s="140">
        <v>0</v>
      </c>
      <c r="BO1024" s="140">
        <v>0</v>
      </c>
      <c r="BQ1024" s="89"/>
      <c r="BS1024" s="43" t="s">
        <v>329</v>
      </c>
      <c r="BU1024" s="89"/>
      <c r="BX1024" s="43">
        <v>7</v>
      </c>
      <c r="CE1024" s="90">
        <f t="shared" si="142"/>
        <v>-2.3333333333333335</v>
      </c>
      <c r="CF1024" s="90">
        <f t="shared" si="142"/>
        <v>-2.3333333333333335</v>
      </c>
      <c r="CG1024" s="90">
        <f t="shared" si="142"/>
        <v>-2.3333333333333335</v>
      </c>
      <c r="CH1024" s="90">
        <f t="shared" si="142"/>
        <v>-2.3333333333333335</v>
      </c>
      <c r="CI1024" s="90">
        <f t="shared" si="142"/>
        <v>-2.3333333333333335</v>
      </c>
      <c r="CJ1024" s="90">
        <f t="shared" si="142"/>
        <v>-2.3333333333333335</v>
      </c>
      <c r="CT1024" s="90">
        <f t="shared" si="135"/>
        <v>0</v>
      </c>
      <c r="CU1024" s="90">
        <f t="shared" si="136"/>
        <v>-11.666666666666668</v>
      </c>
    </row>
    <row r="1025" spans="1:99" ht="12" customHeight="1">
      <c r="A1025" s="43">
        <v>7101</v>
      </c>
      <c r="B1025" s="89" t="s">
        <v>2726</v>
      </c>
      <c r="C1025" s="89" t="s">
        <v>2741</v>
      </c>
      <c r="D1025" s="89" t="s">
        <v>2742</v>
      </c>
      <c r="E1025" s="89" t="s">
        <v>2752</v>
      </c>
      <c r="F1025" s="43">
        <v>526922</v>
      </c>
      <c r="G1025" s="43">
        <v>175807</v>
      </c>
      <c r="H1025" s="89" t="s">
        <v>147</v>
      </c>
      <c r="K1025" s="140">
        <v>527</v>
      </c>
      <c r="L1025" s="140">
        <v>0</v>
      </c>
      <c r="M1025" s="140">
        <v>-527</v>
      </c>
      <c r="N1025" s="140">
        <v>2550</v>
      </c>
      <c r="O1025" s="140">
        <v>1791</v>
      </c>
      <c r="P1025" s="43" t="s">
        <v>329</v>
      </c>
      <c r="Q1025" s="89" t="s">
        <v>2744</v>
      </c>
      <c r="R1025" s="43" t="s">
        <v>2730</v>
      </c>
      <c r="S1025" s="125">
        <v>43483</v>
      </c>
      <c r="V1025" s="43" t="s">
        <v>317</v>
      </c>
      <c r="X1025" s="43" t="s">
        <v>318</v>
      </c>
      <c r="Y1025" s="43" t="s">
        <v>361</v>
      </c>
      <c r="Z1025" s="43" t="s">
        <v>361</v>
      </c>
      <c r="AA1025" s="43" t="s">
        <v>320</v>
      </c>
      <c r="AB1025" s="144">
        <v>0</v>
      </c>
      <c r="AF1025" s="43" t="s">
        <v>55</v>
      </c>
      <c r="AG1025" s="43" t="s">
        <v>438</v>
      </c>
      <c r="AJ1025" s="140">
        <v>0</v>
      </c>
      <c r="AK1025" s="140">
        <v>0</v>
      </c>
      <c r="AL1025" s="140">
        <v>0</v>
      </c>
      <c r="AM1025" s="140">
        <v>0</v>
      </c>
      <c r="AN1025" s="140">
        <v>-79</v>
      </c>
      <c r="AO1025" s="140">
        <v>-120</v>
      </c>
      <c r="AP1025" s="140">
        <v>-256</v>
      </c>
      <c r="AQ1025" s="140">
        <v>-47</v>
      </c>
      <c r="AR1025" s="140">
        <v>-25</v>
      </c>
      <c r="AS1025" s="140">
        <v>0</v>
      </c>
      <c r="AT1025" s="140">
        <v>0</v>
      </c>
      <c r="AU1025" s="140">
        <v>-79</v>
      </c>
      <c r="AV1025" s="140">
        <v>-120</v>
      </c>
      <c r="AW1025" s="140">
        <v>-256</v>
      </c>
      <c r="AX1025" s="140">
        <v>-47</v>
      </c>
      <c r="AY1025" s="140">
        <v>-25</v>
      </c>
      <c r="AZ1025" s="140">
        <v>0</v>
      </c>
      <c r="BA1025" s="140">
        <v>0</v>
      </c>
      <c r="BB1025" s="140">
        <v>0</v>
      </c>
      <c r="BC1025" s="140">
        <v>0</v>
      </c>
      <c r="BD1025" s="140">
        <v>0</v>
      </c>
      <c r="BE1025" s="140">
        <v>0</v>
      </c>
      <c r="BF1025" s="140">
        <v>0</v>
      </c>
      <c r="BG1025" s="140">
        <v>0</v>
      </c>
      <c r="BH1025" s="140">
        <v>0</v>
      </c>
      <c r="BI1025" s="140">
        <v>0</v>
      </c>
      <c r="BJ1025" s="140">
        <v>0</v>
      </c>
      <c r="BK1025" s="140">
        <v>0</v>
      </c>
      <c r="BL1025" s="140">
        <v>0</v>
      </c>
      <c r="BM1025" s="140">
        <v>0</v>
      </c>
      <c r="BN1025" s="140">
        <v>0</v>
      </c>
      <c r="BO1025" s="140">
        <v>0</v>
      </c>
      <c r="BQ1025" s="89"/>
      <c r="BS1025" s="43" t="s">
        <v>329</v>
      </c>
      <c r="BU1025" s="89"/>
      <c r="BX1025" s="43">
        <v>7</v>
      </c>
      <c r="CE1025" s="90">
        <f t="shared" si="142"/>
        <v>-87.833333333333329</v>
      </c>
      <c r="CF1025" s="90">
        <f t="shared" si="142"/>
        <v>-87.833333333333329</v>
      </c>
      <c r="CG1025" s="90">
        <f t="shared" si="142"/>
        <v>-87.833333333333329</v>
      </c>
      <c r="CH1025" s="90">
        <f t="shared" si="142"/>
        <v>-87.833333333333329</v>
      </c>
      <c r="CI1025" s="90">
        <f t="shared" si="142"/>
        <v>-87.833333333333329</v>
      </c>
      <c r="CJ1025" s="90">
        <f t="shared" si="142"/>
        <v>-87.833333333333329</v>
      </c>
      <c r="CT1025" s="90">
        <f t="shared" si="135"/>
        <v>0</v>
      </c>
      <c r="CU1025" s="90">
        <f t="shared" si="136"/>
        <v>-439.16666666666663</v>
      </c>
    </row>
    <row r="1026" spans="1:99" ht="12" customHeight="1">
      <c r="A1026" s="43">
        <v>330</v>
      </c>
      <c r="B1026" s="89" t="s">
        <v>2753</v>
      </c>
      <c r="C1026" s="89" t="s">
        <v>2754</v>
      </c>
      <c r="D1026" s="89" t="s">
        <v>2755</v>
      </c>
      <c r="F1026" s="43">
        <v>523924</v>
      </c>
      <c r="G1026" s="43">
        <v>175043</v>
      </c>
      <c r="H1026" s="89" t="s">
        <v>169</v>
      </c>
      <c r="K1026" s="140">
        <v>1</v>
      </c>
      <c r="L1026" s="140">
        <v>1</v>
      </c>
      <c r="M1026" s="140">
        <v>0</v>
      </c>
      <c r="N1026" s="140">
        <v>2</v>
      </c>
      <c r="O1026" s="140">
        <v>1</v>
      </c>
      <c r="Q1026" s="89" t="s">
        <v>2756</v>
      </c>
      <c r="R1026" s="43" t="s">
        <v>2725</v>
      </c>
      <c r="S1026" s="125">
        <v>43872</v>
      </c>
      <c r="V1026" s="43" t="s">
        <v>317</v>
      </c>
      <c r="X1026" s="43" t="s">
        <v>318</v>
      </c>
      <c r="Y1026" s="43" t="s">
        <v>319</v>
      </c>
      <c r="Z1026" s="43" t="s">
        <v>320</v>
      </c>
      <c r="AA1026" s="43" t="s">
        <v>321</v>
      </c>
      <c r="AB1026" s="144">
        <v>2.0000000949949E-3</v>
      </c>
      <c r="AF1026" s="43" t="s">
        <v>75</v>
      </c>
      <c r="AG1026" s="43" t="s">
        <v>322</v>
      </c>
      <c r="AJ1026" s="140">
        <v>0</v>
      </c>
      <c r="AK1026" s="140">
        <v>0</v>
      </c>
      <c r="AL1026" s="140">
        <v>0</v>
      </c>
      <c r="AM1026" s="140">
        <v>0</v>
      </c>
      <c r="AN1026" s="140">
        <v>0</v>
      </c>
      <c r="AO1026" s="140">
        <v>1</v>
      </c>
      <c r="AP1026" s="140">
        <v>-1</v>
      </c>
      <c r="AQ1026" s="140">
        <v>0</v>
      </c>
      <c r="AR1026" s="140">
        <v>0</v>
      </c>
      <c r="AS1026" s="140">
        <v>0</v>
      </c>
      <c r="AT1026" s="140">
        <v>0</v>
      </c>
      <c r="AU1026" s="140">
        <v>0</v>
      </c>
      <c r="AV1026" s="140">
        <v>1</v>
      </c>
      <c r="AW1026" s="140">
        <v>-1</v>
      </c>
      <c r="AX1026" s="140">
        <v>0</v>
      </c>
      <c r="AY1026" s="140">
        <v>0</v>
      </c>
      <c r="AZ1026" s="140">
        <v>0</v>
      </c>
      <c r="BA1026" s="140">
        <v>0</v>
      </c>
      <c r="BB1026" s="140">
        <v>0</v>
      </c>
      <c r="BC1026" s="140">
        <v>0</v>
      </c>
      <c r="BD1026" s="140">
        <v>0</v>
      </c>
      <c r="BE1026" s="140">
        <v>0</v>
      </c>
      <c r="BF1026" s="140">
        <v>0</v>
      </c>
      <c r="BG1026" s="140">
        <v>0</v>
      </c>
      <c r="BH1026" s="140">
        <v>0</v>
      </c>
      <c r="BI1026" s="140">
        <v>0</v>
      </c>
      <c r="BJ1026" s="140">
        <v>0</v>
      </c>
      <c r="BK1026" s="140">
        <v>0</v>
      </c>
      <c r="BL1026" s="140">
        <v>0</v>
      </c>
      <c r="BM1026" s="140">
        <v>0</v>
      </c>
      <c r="BN1026" s="140">
        <v>0</v>
      </c>
      <c r="BO1026" s="140">
        <v>0</v>
      </c>
      <c r="BP1026" s="43" t="s">
        <v>140</v>
      </c>
      <c r="BT1026" s="43" t="s">
        <v>329</v>
      </c>
      <c r="BX1026" s="43">
        <v>19</v>
      </c>
      <c r="CD1026" s="90">
        <f t="shared" ref="CD1026:CF1056" si="143">$M1026/3</f>
        <v>0</v>
      </c>
      <c r="CE1026" s="90">
        <f t="shared" si="143"/>
        <v>0</v>
      </c>
      <c r="CF1026" s="90">
        <f t="shared" si="143"/>
        <v>0</v>
      </c>
      <c r="CT1026" s="90">
        <f t="shared" ref="CT1026:CT1089" si="144">SUM(BZ1026:CD1026)</f>
        <v>0</v>
      </c>
      <c r="CU1026" s="90">
        <f t="shared" ref="CU1026:CU1089" si="145">SUM(BZ1026:CI1026)</f>
        <v>0</v>
      </c>
    </row>
    <row r="1027" spans="1:99" ht="12" customHeight="1">
      <c r="A1027" s="43">
        <v>330</v>
      </c>
      <c r="B1027" s="89" t="s">
        <v>2753</v>
      </c>
      <c r="C1027" s="89" t="s">
        <v>2754</v>
      </c>
      <c r="D1027" s="89" t="s">
        <v>2755</v>
      </c>
      <c r="F1027" s="43">
        <v>523924</v>
      </c>
      <c r="G1027" s="43">
        <v>175043</v>
      </c>
      <c r="H1027" s="89" t="s">
        <v>169</v>
      </c>
      <c r="K1027" s="140">
        <v>0</v>
      </c>
      <c r="L1027" s="140">
        <v>1</v>
      </c>
      <c r="M1027" s="140">
        <v>1</v>
      </c>
      <c r="N1027" s="140">
        <v>2</v>
      </c>
      <c r="O1027" s="140">
        <v>1</v>
      </c>
      <c r="Q1027" s="89" t="s">
        <v>2756</v>
      </c>
      <c r="R1027" s="43" t="s">
        <v>2725</v>
      </c>
      <c r="S1027" s="125">
        <v>43872</v>
      </c>
      <c r="V1027" s="43" t="s">
        <v>317</v>
      </c>
      <c r="X1027" s="43" t="s">
        <v>318</v>
      </c>
      <c r="Y1027" s="43" t="s">
        <v>319</v>
      </c>
      <c r="Z1027" s="43" t="s">
        <v>320</v>
      </c>
      <c r="AA1027" s="43" t="s">
        <v>340</v>
      </c>
      <c r="AB1027" s="144">
        <v>4.0000001899898104E-3</v>
      </c>
      <c r="AF1027" s="43" t="s">
        <v>75</v>
      </c>
      <c r="AG1027" s="43" t="s">
        <v>322</v>
      </c>
      <c r="AJ1027" s="140">
        <v>0</v>
      </c>
      <c r="AK1027" s="140">
        <v>0</v>
      </c>
      <c r="AL1027" s="140">
        <v>0</v>
      </c>
      <c r="AM1027" s="140">
        <v>0</v>
      </c>
      <c r="AN1027" s="140">
        <v>0</v>
      </c>
      <c r="AO1027" s="140">
        <v>0</v>
      </c>
      <c r="AP1027" s="140">
        <v>1</v>
      </c>
      <c r="AQ1027" s="140">
        <v>0</v>
      </c>
      <c r="AR1027" s="140">
        <v>0</v>
      </c>
      <c r="AS1027" s="140">
        <v>0</v>
      </c>
      <c r="AT1027" s="140">
        <v>0</v>
      </c>
      <c r="AU1027" s="140">
        <v>0</v>
      </c>
      <c r="AV1027" s="140">
        <v>0</v>
      </c>
      <c r="AW1027" s="140">
        <v>1</v>
      </c>
      <c r="AX1027" s="140">
        <v>0</v>
      </c>
      <c r="AY1027" s="140">
        <v>0</v>
      </c>
      <c r="AZ1027" s="140">
        <v>0</v>
      </c>
      <c r="BA1027" s="140">
        <v>0</v>
      </c>
      <c r="BB1027" s="140">
        <v>0</v>
      </c>
      <c r="BC1027" s="140">
        <v>0</v>
      </c>
      <c r="BD1027" s="140">
        <v>0</v>
      </c>
      <c r="BE1027" s="140">
        <v>0</v>
      </c>
      <c r="BF1027" s="140">
        <v>0</v>
      </c>
      <c r="BG1027" s="140">
        <v>0</v>
      </c>
      <c r="BH1027" s="140">
        <v>0</v>
      </c>
      <c r="BI1027" s="140">
        <v>0</v>
      </c>
      <c r="BJ1027" s="140">
        <v>0</v>
      </c>
      <c r="BK1027" s="140">
        <v>0</v>
      </c>
      <c r="BL1027" s="140">
        <v>0</v>
      </c>
      <c r="BM1027" s="140">
        <v>0</v>
      </c>
      <c r="BN1027" s="140">
        <v>0</v>
      </c>
      <c r="BO1027" s="140">
        <v>0</v>
      </c>
      <c r="BP1027" s="43" t="s">
        <v>140</v>
      </c>
      <c r="BT1027" s="43" t="s">
        <v>329</v>
      </c>
      <c r="BX1027" s="43">
        <v>19</v>
      </c>
      <c r="CD1027" s="90">
        <f t="shared" si="143"/>
        <v>0.33333333333333331</v>
      </c>
      <c r="CE1027" s="90">
        <f t="shared" si="143"/>
        <v>0.33333333333333331</v>
      </c>
      <c r="CF1027" s="90">
        <f t="shared" si="143"/>
        <v>0.33333333333333331</v>
      </c>
      <c r="CT1027" s="90">
        <f t="shared" si="144"/>
        <v>0.33333333333333331</v>
      </c>
      <c r="CU1027" s="90">
        <f t="shared" si="145"/>
        <v>1</v>
      </c>
    </row>
    <row r="1028" spans="1:99" ht="12" customHeight="1">
      <c r="A1028" s="43">
        <v>518</v>
      </c>
      <c r="B1028" s="89" t="s">
        <v>2753</v>
      </c>
      <c r="C1028" s="89" t="s">
        <v>2757</v>
      </c>
      <c r="D1028" s="89" t="s">
        <v>2758</v>
      </c>
      <c r="E1028" s="89" t="s">
        <v>367</v>
      </c>
      <c r="F1028" s="43">
        <v>527485</v>
      </c>
      <c r="G1028" s="43">
        <v>171424</v>
      </c>
      <c r="H1028" s="89" t="s">
        <v>172</v>
      </c>
      <c r="K1028" s="140">
        <v>0</v>
      </c>
      <c r="L1028" s="140">
        <v>1</v>
      </c>
      <c r="M1028" s="140">
        <v>1</v>
      </c>
      <c r="N1028" s="140">
        <v>5</v>
      </c>
      <c r="O1028" s="140">
        <v>5</v>
      </c>
      <c r="Q1028" s="89" t="s">
        <v>2759</v>
      </c>
      <c r="R1028" s="43" t="s">
        <v>2725</v>
      </c>
      <c r="S1028" s="125">
        <v>43896</v>
      </c>
      <c r="V1028" s="43" t="s">
        <v>317</v>
      </c>
      <c r="X1028" s="43" t="s">
        <v>318</v>
      </c>
      <c r="Y1028" s="43" t="s">
        <v>319</v>
      </c>
      <c r="Z1028" s="43" t="s">
        <v>320</v>
      </c>
      <c r="AA1028" s="43" t="s">
        <v>340</v>
      </c>
      <c r="AB1028" s="144">
        <v>3.0000000260770299E-3</v>
      </c>
      <c r="AF1028" s="43" t="s">
        <v>75</v>
      </c>
      <c r="AG1028" s="43" t="s">
        <v>322</v>
      </c>
      <c r="AJ1028" s="140">
        <v>0</v>
      </c>
      <c r="AK1028" s="140">
        <v>0</v>
      </c>
      <c r="AL1028" s="140">
        <v>0</v>
      </c>
      <c r="AM1028" s="140">
        <v>0</v>
      </c>
      <c r="AN1028" s="140">
        <v>0</v>
      </c>
      <c r="AO1028" s="140">
        <v>0</v>
      </c>
      <c r="AP1028" s="140">
        <v>0</v>
      </c>
      <c r="AQ1028" s="140">
        <v>1</v>
      </c>
      <c r="AR1028" s="140">
        <v>0</v>
      </c>
      <c r="AS1028" s="140">
        <v>0</v>
      </c>
      <c r="AT1028" s="140">
        <v>0</v>
      </c>
      <c r="AU1028" s="140">
        <v>0</v>
      </c>
      <c r="AV1028" s="140">
        <v>0</v>
      </c>
      <c r="AW1028" s="140">
        <v>0</v>
      </c>
      <c r="AX1028" s="140">
        <v>1</v>
      </c>
      <c r="AY1028" s="140">
        <v>0</v>
      </c>
      <c r="AZ1028" s="140">
        <v>0</v>
      </c>
      <c r="BA1028" s="140">
        <v>0</v>
      </c>
      <c r="BB1028" s="140">
        <v>0</v>
      </c>
      <c r="BC1028" s="140">
        <v>0</v>
      </c>
      <c r="BD1028" s="140">
        <v>0</v>
      </c>
      <c r="BE1028" s="140">
        <v>0</v>
      </c>
      <c r="BF1028" s="140">
        <v>0</v>
      </c>
      <c r="BG1028" s="140">
        <v>0</v>
      </c>
      <c r="BH1028" s="140">
        <v>0</v>
      </c>
      <c r="BI1028" s="140">
        <v>0</v>
      </c>
      <c r="BJ1028" s="140">
        <v>0</v>
      </c>
      <c r="BK1028" s="140">
        <v>0</v>
      </c>
      <c r="BL1028" s="140">
        <v>0</v>
      </c>
      <c r="BM1028" s="140">
        <v>0</v>
      </c>
      <c r="BN1028" s="140">
        <v>0</v>
      </c>
      <c r="BO1028" s="140">
        <v>0</v>
      </c>
      <c r="BP1028" s="43" t="s">
        <v>141</v>
      </c>
      <c r="BX1028" s="43">
        <v>19</v>
      </c>
      <c r="CD1028" s="90">
        <f t="shared" si="143"/>
        <v>0.33333333333333331</v>
      </c>
      <c r="CE1028" s="90">
        <f t="shared" si="143"/>
        <v>0.33333333333333331</v>
      </c>
      <c r="CF1028" s="90">
        <f t="shared" si="143"/>
        <v>0.33333333333333331</v>
      </c>
      <c r="CT1028" s="90">
        <f t="shared" si="144"/>
        <v>0.33333333333333331</v>
      </c>
      <c r="CU1028" s="90">
        <f t="shared" si="145"/>
        <v>1</v>
      </c>
    </row>
    <row r="1029" spans="1:99" ht="12" customHeight="1">
      <c r="A1029" s="43">
        <v>518</v>
      </c>
      <c r="B1029" s="89" t="s">
        <v>2753</v>
      </c>
      <c r="C1029" s="89" t="s">
        <v>2757</v>
      </c>
      <c r="D1029" s="89" t="s">
        <v>2758</v>
      </c>
      <c r="E1029" s="89" t="s">
        <v>369</v>
      </c>
      <c r="F1029" s="43">
        <v>527485</v>
      </c>
      <c r="G1029" s="43">
        <v>171424</v>
      </c>
      <c r="H1029" s="89" t="s">
        <v>172</v>
      </c>
      <c r="K1029" s="140">
        <v>0</v>
      </c>
      <c r="L1029" s="140">
        <v>4</v>
      </c>
      <c r="M1029" s="140">
        <v>4</v>
      </c>
      <c r="N1029" s="140">
        <v>5</v>
      </c>
      <c r="O1029" s="140">
        <v>5</v>
      </c>
      <c r="Q1029" s="89" t="s">
        <v>2759</v>
      </c>
      <c r="R1029" s="43" t="s">
        <v>2725</v>
      </c>
      <c r="S1029" s="125">
        <v>43896</v>
      </c>
      <c r="V1029" s="43" t="s">
        <v>317</v>
      </c>
      <c r="X1029" s="43" t="s">
        <v>318</v>
      </c>
      <c r="Y1029" s="43" t="s">
        <v>319</v>
      </c>
      <c r="Z1029" s="43" t="s">
        <v>320</v>
      </c>
      <c r="AA1029" s="43" t="s">
        <v>340</v>
      </c>
      <c r="AB1029" s="144">
        <v>8.9999996125698107E-3</v>
      </c>
      <c r="AF1029" s="43" t="s">
        <v>75</v>
      </c>
      <c r="AG1029" s="43" t="s">
        <v>322</v>
      </c>
      <c r="AJ1029" s="140">
        <v>0</v>
      </c>
      <c r="AK1029" s="140">
        <v>0</v>
      </c>
      <c r="AL1029" s="140">
        <v>0</v>
      </c>
      <c r="AM1029" s="140">
        <v>0</v>
      </c>
      <c r="AN1029" s="140">
        <v>0</v>
      </c>
      <c r="AO1029" s="140">
        <v>0</v>
      </c>
      <c r="AP1029" s="140">
        <v>4</v>
      </c>
      <c r="AQ1029" s="140">
        <v>0</v>
      </c>
      <c r="AR1029" s="140">
        <v>0</v>
      </c>
      <c r="AS1029" s="140">
        <v>0</v>
      </c>
      <c r="AT1029" s="140">
        <v>0</v>
      </c>
      <c r="AU1029" s="140">
        <v>0</v>
      </c>
      <c r="AV1029" s="140">
        <v>0</v>
      </c>
      <c r="AW1029" s="140">
        <v>4</v>
      </c>
      <c r="AX1029" s="140">
        <v>0</v>
      </c>
      <c r="AY1029" s="140">
        <v>0</v>
      </c>
      <c r="AZ1029" s="140">
        <v>0</v>
      </c>
      <c r="BA1029" s="140">
        <v>0</v>
      </c>
      <c r="BB1029" s="140">
        <v>0</v>
      </c>
      <c r="BC1029" s="140">
        <v>0</v>
      </c>
      <c r="BD1029" s="140">
        <v>0</v>
      </c>
      <c r="BE1029" s="140">
        <v>0</v>
      </c>
      <c r="BF1029" s="140">
        <v>0</v>
      </c>
      <c r="BG1029" s="140">
        <v>0</v>
      </c>
      <c r="BH1029" s="140">
        <v>0</v>
      </c>
      <c r="BI1029" s="140">
        <v>0</v>
      </c>
      <c r="BJ1029" s="140">
        <v>0</v>
      </c>
      <c r="BK1029" s="140">
        <v>0</v>
      </c>
      <c r="BL1029" s="140">
        <v>0</v>
      </c>
      <c r="BM1029" s="140">
        <v>0</v>
      </c>
      <c r="BN1029" s="140">
        <v>0</v>
      </c>
      <c r="BO1029" s="140">
        <v>0</v>
      </c>
      <c r="BP1029" s="43" t="s">
        <v>141</v>
      </c>
      <c r="BX1029" s="43">
        <v>19</v>
      </c>
      <c r="CD1029" s="90">
        <f t="shared" si="143"/>
        <v>1.3333333333333333</v>
      </c>
      <c r="CE1029" s="90">
        <f t="shared" si="143"/>
        <v>1.3333333333333333</v>
      </c>
      <c r="CF1029" s="90">
        <f t="shared" si="143"/>
        <v>1.3333333333333333</v>
      </c>
      <c r="CT1029" s="90">
        <f t="shared" si="144"/>
        <v>1.3333333333333333</v>
      </c>
      <c r="CU1029" s="90">
        <f t="shared" si="145"/>
        <v>4</v>
      </c>
    </row>
    <row r="1030" spans="1:99" ht="12" customHeight="1">
      <c r="A1030" s="43">
        <v>1147</v>
      </c>
      <c r="B1030" s="89" t="s">
        <v>2753</v>
      </c>
      <c r="C1030" s="89" t="s">
        <v>2760</v>
      </c>
      <c r="D1030" s="89" t="s">
        <v>1581</v>
      </c>
      <c r="F1030" s="43">
        <v>527527</v>
      </c>
      <c r="G1030" s="43">
        <v>173093</v>
      </c>
      <c r="H1030" s="89" t="s">
        <v>173</v>
      </c>
      <c r="K1030" s="140">
        <v>1</v>
      </c>
      <c r="L1030" s="140">
        <v>2</v>
      </c>
      <c r="M1030" s="140">
        <v>1</v>
      </c>
      <c r="N1030" s="140">
        <v>2</v>
      </c>
      <c r="O1030" s="140">
        <v>1</v>
      </c>
      <c r="Q1030" s="89" t="s">
        <v>2761</v>
      </c>
      <c r="R1030" s="43" t="s">
        <v>2725</v>
      </c>
      <c r="S1030" s="125">
        <v>43893</v>
      </c>
      <c r="V1030" s="43" t="s">
        <v>317</v>
      </c>
      <c r="X1030" s="43" t="s">
        <v>318</v>
      </c>
      <c r="Y1030" s="43" t="s">
        <v>319</v>
      </c>
      <c r="Z1030" s="43" t="s">
        <v>320</v>
      </c>
      <c r="AA1030" s="43" t="s">
        <v>321</v>
      </c>
      <c r="AB1030" s="144">
        <v>8.0000003799796104E-3</v>
      </c>
      <c r="AF1030" s="43" t="s">
        <v>75</v>
      </c>
      <c r="AG1030" s="43" t="s">
        <v>322</v>
      </c>
      <c r="AJ1030" s="140">
        <v>0</v>
      </c>
      <c r="AK1030" s="140">
        <v>0</v>
      </c>
      <c r="AL1030" s="140">
        <v>0</v>
      </c>
      <c r="AM1030" s="140">
        <v>0</v>
      </c>
      <c r="AN1030" s="140">
        <v>0</v>
      </c>
      <c r="AO1030" s="140">
        <v>1</v>
      </c>
      <c r="AP1030" s="140">
        <v>0</v>
      </c>
      <c r="AQ1030" s="140">
        <v>1</v>
      </c>
      <c r="AR1030" s="140">
        <v>-1</v>
      </c>
      <c r="AS1030" s="140">
        <v>0</v>
      </c>
      <c r="AT1030" s="140">
        <v>0</v>
      </c>
      <c r="AU1030" s="140">
        <v>0</v>
      </c>
      <c r="AV1030" s="140">
        <v>1</v>
      </c>
      <c r="AW1030" s="140">
        <v>0</v>
      </c>
      <c r="AX1030" s="140">
        <v>1</v>
      </c>
      <c r="AY1030" s="140">
        <v>-1</v>
      </c>
      <c r="AZ1030" s="140">
        <v>0</v>
      </c>
      <c r="BA1030" s="140">
        <v>0</v>
      </c>
      <c r="BB1030" s="140">
        <v>0</v>
      </c>
      <c r="BC1030" s="140">
        <v>0</v>
      </c>
      <c r="BD1030" s="140">
        <v>0</v>
      </c>
      <c r="BE1030" s="140">
        <v>0</v>
      </c>
      <c r="BF1030" s="140">
        <v>0</v>
      </c>
      <c r="BG1030" s="140">
        <v>0</v>
      </c>
      <c r="BH1030" s="140">
        <v>0</v>
      </c>
      <c r="BI1030" s="140">
        <v>0</v>
      </c>
      <c r="BJ1030" s="140">
        <v>0</v>
      </c>
      <c r="BK1030" s="140">
        <v>0</v>
      </c>
      <c r="BL1030" s="140">
        <v>0</v>
      </c>
      <c r="BM1030" s="140">
        <v>0</v>
      </c>
      <c r="BN1030" s="140">
        <v>0</v>
      </c>
      <c r="BO1030" s="140">
        <v>0</v>
      </c>
      <c r="BX1030" s="43">
        <v>19</v>
      </c>
      <c r="CD1030" s="90">
        <f t="shared" si="143"/>
        <v>0.33333333333333331</v>
      </c>
      <c r="CE1030" s="90">
        <f t="shared" si="143"/>
        <v>0.33333333333333331</v>
      </c>
      <c r="CF1030" s="90">
        <f t="shared" si="143"/>
        <v>0.33333333333333331</v>
      </c>
      <c r="CT1030" s="90">
        <f t="shared" si="144"/>
        <v>0.33333333333333331</v>
      </c>
      <c r="CU1030" s="90">
        <f t="shared" si="145"/>
        <v>1</v>
      </c>
    </row>
    <row r="1031" spans="1:99" ht="12" customHeight="1">
      <c r="A1031" s="43">
        <v>1813</v>
      </c>
      <c r="B1031" s="89" t="s">
        <v>2753</v>
      </c>
      <c r="C1031" s="89" t="s">
        <v>2762</v>
      </c>
      <c r="D1031" s="89" t="s">
        <v>2763</v>
      </c>
      <c r="E1031" s="89" t="s">
        <v>2764</v>
      </c>
      <c r="F1031" s="43">
        <v>523804</v>
      </c>
      <c r="G1031" s="43">
        <v>173079</v>
      </c>
      <c r="H1031" s="89" t="s">
        <v>180</v>
      </c>
      <c r="K1031" s="140">
        <v>0</v>
      </c>
      <c r="L1031" s="140">
        <v>1</v>
      </c>
      <c r="M1031" s="140">
        <v>1</v>
      </c>
      <c r="N1031" s="140">
        <v>2</v>
      </c>
      <c r="O1031" s="140">
        <v>2</v>
      </c>
      <c r="Q1031" s="89" t="s">
        <v>2765</v>
      </c>
      <c r="R1031" s="43" t="s">
        <v>2725</v>
      </c>
      <c r="S1031" s="125">
        <v>43844</v>
      </c>
      <c r="V1031" s="43" t="s">
        <v>317</v>
      </c>
      <c r="X1031" s="43" t="s">
        <v>318</v>
      </c>
      <c r="Y1031" s="43" t="s">
        <v>361</v>
      </c>
      <c r="Z1031" s="43" t="s">
        <v>320</v>
      </c>
      <c r="AA1031" s="43" t="s">
        <v>353</v>
      </c>
      <c r="AB1031" s="144">
        <v>3.9000000804662698E-2</v>
      </c>
      <c r="AF1031" s="43" t="s">
        <v>75</v>
      </c>
      <c r="AG1031" s="43" t="s">
        <v>322</v>
      </c>
      <c r="AJ1031" s="140">
        <v>0</v>
      </c>
      <c r="AK1031" s="140">
        <v>0</v>
      </c>
      <c r="AL1031" s="140">
        <v>0</v>
      </c>
      <c r="AM1031" s="140">
        <v>0</v>
      </c>
      <c r="AN1031" s="140">
        <v>0</v>
      </c>
      <c r="AO1031" s="140">
        <v>0</v>
      </c>
      <c r="AP1031" s="140">
        <v>0</v>
      </c>
      <c r="AQ1031" s="140">
        <v>1</v>
      </c>
      <c r="AR1031" s="140">
        <v>0</v>
      </c>
      <c r="AS1031" s="140">
        <v>0</v>
      </c>
      <c r="AT1031" s="140">
        <v>0</v>
      </c>
      <c r="AU1031" s="140">
        <v>0</v>
      </c>
      <c r="AV1031" s="140">
        <v>0</v>
      </c>
      <c r="AW1031" s="140">
        <v>0</v>
      </c>
      <c r="AX1031" s="140">
        <v>0</v>
      </c>
      <c r="AY1031" s="140">
        <v>0</v>
      </c>
      <c r="AZ1031" s="140">
        <v>0</v>
      </c>
      <c r="BA1031" s="140">
        <v>0</v>
      </c>
      <c r="BB1031" s="140">
        <v>0</v>
      </c>
      <c r="BC1031" s="140">
        <v>0</v>
      </c>
      <c r="BD1031" s="140">
        <v>0</v>
      </c>
      <c r="BE1031" s="140">
        <v>1</v>
      </c>
      <c r="BF1031" s="140">
        <v>0</v>
      </c>
      <c r="BG1031" s="140">
        <v>0</v>
      </c>
      <c r="BH1031" s="140">
        <v>0</v>
      </c>
      <c r="BI1031" s="140">
        <v>0</v>
      </c>
      <c r="BJ1031" s="140">
        <v>0</v>
      </c>
      <c r="BK1031" s="140">
        <v>0</v>
      </c>
      <c r="BL1031" s="140">
        <v>0</v>
      </c>
      <c r="BM1031" s="140">
        <v>0</v>
      </c>
      <c r="BN1031" s="140">
        <v>0</v>
      </c>
      <c r="BO1031" s="140">
        <v>0</v>
      </c>
      <c r="BX1031" s="43">
        <v>10</v>
      </c>
      <c r="CD1031" s="90">
        <f t="shared" si="143"/>
        <v>0.33333333333333331</v>
      </c>
      <c r="CE1031" s="90">
        <f t="shared" si="143"/>
        <v>0.33333333333333331</v>
      </c>
      <c r="CF1031" s="90">
        <f t="shared" si="143"/>
        <v>0.33333333333333331</v>
      </c>
      <c r="CT1031" s="90">
        <f t="shared" si="144"/>
        <v>0.33333333333333331</v>
      </c>
      <c r="CU1031" s="90">
        <f t="shared" si="145"/>
        <v>1</v>
      </c>
    </row>
    <row r="1032" spans="1:99" ht="12" customHeight="1">
      <c r="A1032" s="43">
        <v>1813</v>
      </c>
      <c r="B1032" s="89" t="s">
        <v>2753</v>
      </c>
      <c r="C1032" s="89" t="s">
        <v>2762</v>
      </c>
      <c r="D1032" s="89" t="s">
        <v>2763</v>
      </c>
      <c r="E1032" s="89" t="s">
        <v>2766</v>
      </c>
      <c r="F1032" s="43">
        <v>523804</v>
      </c>
      <c r="G1032" s="43">
        <v>173079</v>
      </c>
      <c r="H1032" s="89" t="s">
        <v>180</v>
      </c>
      <c r="K1032" s="140">
        <v>0</v>
      </c>
      <c r="L1032" s="140">
        <v>1</v>
      </c>
      <c r="M1032" s="140">
        <v>1</v>
      </c>
      <c r="N1032" s="140">
        <v>2</v>
      </c>
      <c r="O1032" s="140">
        <v>2</v>
      </c>
      <c r="Q1032" s="89" t="s">
        <v>2765</v>
      </c>
      <c r="R1032" s="43" t="s">
        <v>2725</v>
      </c>
      <c r="S1032" s="125">
        <v>43844</v>
      </c>
      <c r="V1032" s="43" t="s">
        <v>317</v>
      </c>
      <c r="X1032" s="43" t="s">
        <v>318</v>
      </c>
      <c r="Y1032" s="43" t="s">
        <v>361</v>
      </c>
      <c r="Z1032" s="43" t="s">
        <v>320</v>
      </c>
      <c r="AA1032" s="43" t="s">
        <v>353</v>
      </c>
      <c r="AB1032" s="144">
        <v>4.39999997615814E-2</v>
      </c>
      <c r="AF1032" s="43" t="s">
        <v>75</v>
      </c>
      <c r="AG1032" s="43" t="s">
        <v>322</v>
      </c>
      <c r="AJ1032" s="140">
        <v>0</v>
      </c>
      <c r="AK1032" s="140">
        <v>0</v>
      </c>
      <c r="AL1032" s="140">
        <v>0</v>
      </c>
      <c r="AM1032" s="140">
        <v>0</v>
      </c>
      <c r="AN1032" s="140">
        <v>0</v>
      </c>
      <c r="AO1032" s="140">
        <v>0</v>
      </c>
      <c r="AP1032" s="140">
        <v>0</v>
      </c>
      <c r="AQ1032" s="140">
        <v>1</v>
      </c>
      <c r="AR1032" s="140">
        <v>0</v>
      </c>
      <c r="AS1032" s="140">
        <v>0</v>
      </c>
      <c r="AT1032" s="140">
        <v>0</v>
      </c>
      <c r="AU1032" s="140">
        <v>0</v>
      </c>
      <c r="AV1032" s="140">
        <v>0</v>
      </c>
      <c r="AW1032" s="140">
        <v>0</v>
      </c>
      <c r="AX1032" s="140">
        <v>0</v>
      </c>
      <c r="AY1032" s="140">
        <v>0</v>
      </c>
      <c r="AZ1032" s="140">
        <v>0</v>
      </c>
      <c r="BA1032" s="140">
        <v>0</v>
      </c>
      <c r="BB1032" s="140">
        <v>0</v>
      </c>
      <c r="BC1032" s="140">
        <v>0</v>
      </c>
      <c r="BD1032" s="140">
        <v>0</v>
      </c>
      <c r="BE1032" s="140">
        <v>1</v>
      </c>
      <c r="BF1032" s="140">
        <v>0</v>
      </c>
      <c r="BG1032" s="140">
        <v>0</v>
      </c>
      <c r="BH1032" s="140">
        <v>0</v>
      </c>
      <c r="BI1032" s="140">
        <v>0</v>
      </c>
      <c r="BJ1032" s="140">
        <v>0</v>
      </c>
      <c r="BK1032" s="140">
        <v>0</v>
      </c>
      <c r="BL1032" s="140">
        <v>0</v>
      </c>
      <c r="BM1032" s="140">
        <v>0</v>
      </c>
      <c r="BN1032" s="140">
        <v>0</v>
      </c>
      <c r="BO1032" s="140">
        <v>0</v>
      </c>
      <c r="BX1032" s="43">
        <v>10</v>
      </c>
      <c r="CD1032" s="90">
        <f t="shared" si="143"/>
        <v>0.33333333333333331</v>
      </c>
      <c r="CE1032" s="90">
        <f t="shared" si="143"/>
        <v>0.33333333333333331</v>
      </c>
      <c r="CF1032" s="90">
        <f t="shared" si="143"/>
        <v>0.33333333333333331</v>
      </c>
      <c r="CT1032" s="90">
        <f t="shared" si="144"/>
        <v>0.33333333333333331</v>
      </c>
      <c r="CU1032" s="90">
        <f t="shared" si="145"/>
        <v>1</v>
      </c>
    </row>
    <row r="1033" spans="1:99" ht="12" customHeight="1">
      <c r="A1033" s="43">
        <v>2552</v>
      </c>
      <c r="B1033" s="89" t="s">
        <v>2753</v>
      </c>
      <c r="C1033" s="89" t="s">
        <v>2767</v>
      </c>
      <c r="D1033" s="89" t="s">
        <v>925</v>
      </c>
      <c r="F1033" s="43">
        <v>527504</v>
      </c>
      <c r="G1033" s="43">
        <v>171615</v>
      </c>
      <c r="H1033" s="89" t="s">
        <v>141</v>
      </c>
      <c r="K1033" s="140">
        <v>0</v>
      </c>
      <c r="L1033" s="140">
        <v>1</v>
      </c>
      <c r="M1033" s="140">
        <v>1</v>
      </c>
      <c r="N1033" s="140">
        <v>1</v>
      </c>
      <c r="O1033" s="140">
        <v>1</v>
      </c>
      <c r="Q1033" s="89" t="s">
        <v>2768</v>
      </c>
      <c r="R1033" s="43" t="s">
        <v>2725</v>
      </c>
      <c r="S1033" s="125">
        <v>43881</v>
      </c>
      <c r="V1033" s="43" t="s">
        <v>317</v>
      </c>
      <c r="X1033" s="43" t="s">
        <v>318</v>
      </c>
      <c r="Y1033" s="43" t="s">
        <v>379</v>
      </c>
      <c r="Z1033" s="43" t="s">
        <v>320</v>
      </c>
      <c r="AA1033" s="43" t="s">
        <v>340</v>
      </c>
      <c r="AB1033" s="144">
        <v>1.00000004749745E-3</v>
      </c>
      <c r="AF1033" s="43" t="s">
        <v>75</v>
      </c>
      <c r="AG1033" s="43" t="s">
        <v>322</v>
      </c>
      <c r="AJ1033" s="140">
        <v>0</v>
      </c>
      <c r="AK1033" s="140">
        <v>0</v>
      </c>
      <c r="AL1033" s="140">
        <v>0</v>
      </c>
      <c r="AM1033" s="140">
        <v>0</v>
      </c>
      <c r="AN1033" s="140">
        <v>1</v>
      </c>
      <c r="AO1033" s="140">
        <v>0</v>
      </c>
      <c r="AP1033" s="140">
        <v>0</v>
      </c>
      <c r="AQ1033" s="140">
        <v>0</v>
      </c>
      <c r="AR1033" s="140">
        <v>0</v>
      </c>
      <c r="AS1033" s="140">
        <v>0</v>
      </c>
      <c r="AT1033" s="140">
        <v>0</v>
      </c>
      <c r="AU1033" s="140">
        <v>1</v>
      </c>
      <c r="AV1033" s="140">
        <v>0</v>
      </c>
      <c r="AW1033" s="140">
        <v>0</v>
      </c>
      <c r="AX1033" s="140">
        <v>0</v>
      </c>
      <c r="AY1033" s="140">
        <v>0</v>
      </c>
      <c r="AZ1033" s="140">
        <v>0</v>
      </c>
      <c r="BA1033" s="140">
        <v>0</v>
      </c>
      <c r="BB1033" s="140">
        <v>0</v>
      </c>
      <c r="BC1033" s="140">
        <v>0</v>
      </c>
      <c r="BD1033" s="140">
        <v>0</v>
      </c>
      <c r="BE1033" s="140">
        <v>0</v>
      </c>
      <c r="BF1033" s="140">
        <v>0</v>
      </c>
      <c r="BG1033" s="140">
        <v>0</v>
      </c>
      <c r="BH1033" s="140">
        <v>0</v>
      </c>
      <c r="BI1033" s="140">
        <v>0</v>
      </c>
      <c r="BJ1033" s="140">
        <v>0</v>
      </c>
      <c r="BK1033" s="140">
        <v>0</v>
      </c>
      <c r="BL1033" s="140">
        <v>0</v>
      </c>
      <c r="BM1033" s="140">
        <v>0</v>
      </c>
      <c r="BN1033" s="140">
        <v>0</v>
      </c>
      <c r="BO1033" s="140">
        <v>0</v>
      </c>
      <c r="BP1033" s="43" t="s">
        <v>141</v>
      </c>
      <c r="BX1033" s="43">
        <v>19</v>
      </c>
      <c r="CD1033" s="90">
        <f t="shared" si="143"/>
        <v>0.33333333333333331</v>
      </c>
      <c r="CE1033" s="90">
        <f t="shared" si="143"/>
        <v>0.33333333333333331</v>
      </c>
      <c r="CF1033" s="90">
        <f t="shared" si="143"/>
        <v>0.33333333333333331</v>
      </c>
      <c r="CT1033" s="90">
        <f t="shared" si="144"/>
        <v>0.33333333333333331</v>
      </c>
      <c r="CU1033" s="90">
        <f t="shared" si="145"/>
        <v>1</v>
      </c>
    </row>
    <row r="1034" spans="1:99" ht="12" customHeight="1">
      <c r="A1034" s="43">
        <v>2710</v>
      </c>
      <c r="B1034" s="89" t="s">
        <v>2753</v>
      </c>
      <c r="C1034" s="89" t="s">
        <v>2769</v>
      </c>
      <c r="D1034" s="89" t="s">
        <v>2770</v>
      </c>
      <c r="F1034" s="43">
        <v>527620</v>
      </c>
      <c r="G1034" s="43">
        <v>171253</v>
      </c>
      <c r="H1034" s="89" t="s">
        <v>172</v>
      </c>
      <c r="K1034" s="140">
        <v>0</v>
      </c>
      <c r="L1034" s="140">
        <v>2</v>
      </c>
      <c r="M1034" s="140">
        <v>2</v>
      </c>
      <c r="N1034" s="140">
        <v>2</v>
      </c>
      <c r="O1034" s="140">
        <v>2</v>
      </c>
      <c r="Q1034" s="89" t="s">
        <v>2771</v>
      </c>
      <c r="R1034" s="43" t="s">
        <v>2725</v>
      </c>
      <c r="S1034" s="125">
        <v>43879</v>
      </c>
      <c r="V1034" s="43" t="s">
        <v>317</v>
      </c>
      <c r="X1034" s="43" t="s">
        <v>318</v>
      </c>
      <c r="Y1034" s="43" t="s">
        <v>336</v>
      </c>
      <c r="Z1034" s="43" t="s">
        <v>320</v>
      </c>
      <c r="AA1034" s="43" t="s">
        <v>33</v>
      </c>
      <c r="AB1034" s="144">
        <v>1.09999999403954E-2</v>
      </c>
      <c r="AF1034" s="43" t="s">
        <v>75</v>
      </c>
      <c r="AG1034" s="43" t="s">
        <v>322</v>
      </c>
      <c r="AJ1034" s="140">
        <v>0</v>
      </c>
      <c r="AK1034" s="140">
        <v>0</v>
      </c>
      <c r="AL1034" s="140">
        <v>0</v>
      </c>
      <c r="AM1034" s="140">
        <v>0</v>
      </c>
      <c r="AN1034" s="140">
        <v>0</v>
      </c>
      <c r="AO1034" s="140">
        <v>2</v>
      </c>
      <c r="AP1034" s="140">
        <v>0</v>
      </c>
      <c r="AQ1034" s="140">
        <v>0</v>
      </c>
      <c r="AR1034" s="140">
        <v>0</v>
      </c>
      <c r="AS1034" s="140">
        <v>0</v>
      </c>
      <c r="AT1034" s="140">
        <v>0</v>
      </c>
      <c r="AU1034" s="140">
        <v>0</v>
      </c>
      <c r="AV1034" s="140">
        <v>2</v>
      </c>
      <c r="AW1034" s="140">
        <v>0</v>
      </c>
      <c r="AX1034" s="140">
        <v>0</v>
      </c>
      <c r="AY1034" s="140">
        <v>0</v>
      </c>
      <c r="AZ1034" s="140">
        <v>0</v>
      </c>
      <c r="BA1034" s="140">
        <v>0</v>
      </c>
      <c r="BB1034" s="140">
        <v>0</v>
      </c>
      <c r="BC1034" s="140">
        <v>0</v>
      </c>
      <c r="BD1034" s="140">
        <v>0</v>
      </c>
      <c r="BE1034" s="140">
        <v>0</v>
      </c>
      <c r="BF1034" s="140">
        <v>0</v>
      </c>
      <c r="BG1034" s="140">
        <v>0</v>
      </c>
      <c r="BH1034" s="140">
        <v>0</v>
      </c>
      <c r="BI1034" s="140">
        <v>0</v>
      </c>
      <c r="BJ1034" s="140">
        <v>0</v>
      </c>
      <c r="BK1034" s="140">
        <v>0</v>
      </c>
      <c r="BL1034" s="140">
        <v>0</v>
      </c>
      <c r="BM1034" s="140">
        <v>0</v>
      </c>
      <c r="BN1034" s="140">
        <v>0</v>
      </c>
      <c r="BO1034" s="140">
        <v>0</v>
      </c>
      <c r="BP1034" s="43" t="s">
        <v>141</v>
      </c>
      <c r="BX1034" s="43">
        <v>19</v>
      </c>
      <c r="CD1034" s="90">
        <f t="shared" si="143"/>
        <v>0.66666666666666663</v>
      </c>
      <c r="CE1034" s="90">
        <f t="shared" si="143"/>
        <v>0.66666666666666663</v>
      </c>
      <c r="CF1034" s="90">
        <f t="shared" si="143"/>
        <v>0.66666666666666663</v>
      </c>
      <c r="CT1034" s="90">
        <f t="shared" si="144"/>
        <v>0.66666666666666663</v>
      </c>
      <c r="CU1034" s="90">
        <f t="shared" si="145"/>
        <v>2</v>
      </c>
    </row>
    <row r="1035" spans="1:99" ht="12" customHeight="1">
      <c r="A1035" s="43">
        <v>2784</v>
      </c>
      <c r="B1035" s="89" t="s">
        <v>2753</v>
      </c>
      <c r="C1035" s="89" t="s">
        <v>2772</v>
      </c>
      <c r="D1035" s="89" t="s">
        <v>2773</v>
      </c>
      <c r="F1035" s="43">
        <v>523820</v>
      </c>
      <c r="G1035" s="43">
        <v>175047</v>
      </c>
      <c r="H1035" s="89" t="s">
        <v>169</v>
      </c>
      <c r="K1035" s="140">
        <v>0</v>
      </c>
      <c r="L1035" s="140">
        <v>1</v>
      </c>
      <c r="M1035" s="140">
        <v>1</v>
      </c>
      <c r="N1035" s="140">
        <v>1</v>
      </c>
      <c r="O1035" s="140">
        <v>1</v>
      </c>
      <c r="Q1035" s="89" t="s">
        <v>2774</v>
      </c>
      <c r="R1035" s="43" t="s">
        <v>2725</v>
      </c>
      <c r="S1035" s="125">
        <v>43859</v>
      </c>
      <c r="V1035" s="43" t="s">
        <v>317</v>
      </c>
      <c r="X1035" s="43" t="s">
        <v>318</v>
      </c>
      <c r="Y1035" s="43" t="s">
        <v>379</v>
      </c>
      <c r="Z1035" s="43" t="s">
        <v>320</v>
      </c>
      <c r="AA1035" s="43" t="s">
        <v>340</v>
      </c>
      <c r="AB1035" s="144">
        <v>9.9999997764825804E-3</v>
      </c>
      <c r="AF1035" s="43" t="s">
        <v>75</v>
      </c>
      <c r="AG1035" s="43" t="s">
        <v>322</v>
      </c>
      <c r="AJ1035" s="140">
        <v>0</v>
      </c>
      <c r="AK1035" s="140">
        <v>0</v>
      </c>
      <c r="AL1035" s="140">
        <v>0</v>
      </c>
      <c r="AM1035" s="140">
        <v>0</v>
      </c>
      <c r="AN1035" s="140">
        <v>0</v>
      </c>
      <c r="AO1035" s="140">
        <v>0</v>
      </c>
      <c r="AP1035" s="140">
        <v>0</v>
      </c>
      <c r="AQ1035" s="140">
        <v>1</v>
      </c>
      <c r="AR1035" s="140">
        <v>0</v>
      </c>
      <c r="AS1035" s="140">
        <v>0</v>
      </c>
      <c r="AT1035" s="140">
        <v>0</v>
      </c>
      <c r="AU1035" s="140">
        <v>0</v>
      </c>
      <c r="AV1035" s="140">
        <v>0</v>
      </c>
      <c r="AW1035" s="140">
        <v>0</v>
      </c>
      <c r="AX1035" s="140">
        <v>1</v>
      </c>
      <c r="AY1035" s="140">
        <v>0</v>
      </c>
      <c r="AZ1035" s="140">
        <v>0</v>
      </c>
      <c r="BA1035" s="140">
        <v>0</v>
      </c>
      <c r="BB1035" s="140">
        <v>0</v>
      </c>
      <c r="BC1035" s="140">
        <v>0</v>
      </c>
      <c r="BD1035" s="140">
        <v>0</v>
      </c>
      <c r="BE1035" s="140">
        <v>0</v>
      </c>
      <c r="BF1035" s="140">
        <v>0</v>
      </c>
      <c r="BG1035" s="140">
        <v>0</v>
      </c>
      <c r="BH1035" s="140">
        <v>0</v>
      </c>
      <c r="BI1035" s="140">
        <v>0</v>
      </c>
      <c r="BJ1035" s="140">
        <v>0</v>
      </c>
      <c r="BK1035" s="140">
        <v>0</v>
      </c>
      <c r="BL1035" s="140">
        <v>0</v>
      </c>
      <c r="BM1035" s="140">
        <v>0</v>
      </c>
      <c r="BN1035" s="140">
        <v>0</v>
      </c>
      <c r="BO1035" s="140">
        <v>0</v>
      </c>
      <c r="BX1035" s="43">
        <v>19</v>
      </c>
      <c r="CD1035" s="90">
        <f t="shared" si="143"/>
        <v>0.33333333333333331</v>
      </c>
      <c r="CE1035" s="90">
        <f t="shared" si="143"/>
        <v>0.33333333333333331</v>
      </c>
      <c r="CF1035" s="90">
        <f t="shared" si="143"/>
        <v>0.33333333333333331</v>
      </c>
      <c r="CT1035" s="90">
        <f t="shared" si="144"/>
        <v>0.33333333333333331</v>
      </c>
      <c r="CU1035" s="90">
        <f t="shared" si="145"/>
        <v>1</v>
      </c>
    </row>
    <row r="1036" spans="1:99" ht="12" customHeight="1">
      <c r="A1036" s="43">
        <v>3072</v>
      </c>
      <c r="B1036" s="89" t="s">
        <v>2753</v>
      </c>
      <c r="C1036" s="89" t="s">
        <v>2775</v>
      </c>
      <c r="D1036" s="89" t="s">
        <v>2776</v>
      </c>
      <c r="F1036" s="43">
        <v>524868</v>
      </c>
      <c r="G1036" s="43">
        <v>173283</v>
      </c>
      <c r="H1036" s="89" t="s">
        <v>176</v>
      </c>
      <c r="K1036" s="140">
        <v>0</v>
      </c>
      <c r="L1036" s="140">
        <v>2</v>
      </c>
      <c r="M1036" s="140">
        <v>2</v>
      </c>
      <c r="N1036" s="140">
        <v>2</v>
      </c>
      <c r="O1036" s="140">
        <v>2</v>
      </c>
      <c r="Q1036" s="89" t="s">
        <v>2777</v>
      </c>
      <c r="R1036" s="43" t="s">
        <v>2778</v>
      </c>
      <c r="S1036" s="125">
        <v>43894</v>
      </c>
      <c r="V1036" s="43" t="s">
        <v>317</v>
      </c>
      <c r="X1036" s="43" t="s">
        <v>318</v>
      </c>
      <c r="Y1036" s="43" t="s">
        <v>336</v>
      </c>
      <c r="Z1036" s="43" t="s">
        <v>320</v>
      </c>
      <c r="AA1036" s="43" t="s">
        <v>30</v>
      </c>
      <c r="AB1036" s="144">
        <v>4.0000001899898104E-3</v>
      </c>
      <c r="AF1036" s="43" t="s">
        <v>75</v>
      </c>
      <c r="AG1036" s="43" t="s">
        <v>322</v>
      </c>
      <c r="AJ1036" s="140">
        <v>0</v>
      </c>
      <c r="AK1036" s="140">
        <v>0</v>
      </c>
      <c r="AL1036" s="140">
        <v>0</v>
      </c>
      <c r="AM1036" s="140">
        <v>0</v>
      </c>
      <c r="AN1036" s="140">
        <v>2</v>
      </c>
      <c r="AO1036" s="140">
        <v>0</v>
      </c>
      <c r="AP1036" s="140">
        <v>0</v>
      </c>
      <c r="AQ1036" s="140">
        <v>0</v>
      </c>
      <c r="AR1036" s="140">
        <v>0</v>
      </c>
      <c r="AS1036" s="140">
        <v>0</v>
      </c>
      <c r="AT1036" s="140">
        <v>0</v>
      </c>
      <c r="AU1036" s="140">
        <v>2</v>
      </c>
      <c r="AV1036" s="140">
        <v>0</v>
      </c>
      <c r="AW1036" s="140">
        <v>0</v>
      </c>
      <c r="AX1036" s="140">
        <v>0</v>
      </c>
      <c r="AY1036" s="140">
        <v>0</v>
      </c>
      <c r="AZ1036" s="140">
        <v>0</v>
      </c>
      <c r="BA1036" s="140">
        <v>0</v>
      </c>
      <c r="BB1036" s="140">
        <v>0</v>
      </c>
      <c r="BC1036" s="140">
        <v>0</v>
      </c>
      <c r="BD1036" s="140">
        <v>0</v>
      </c>
      <c r="BE1036" s="140">
        <v>0</v>
      </c>
      <c r="BF1036" s="140">
        <v>0</v>
      </c>
      <c r="BG1036" s="140">
        <v>0</v>
      </c>
      <c r="BH1036" s="140">
        <v>0</v>
      </c>
      <c r="BI1036" s="140">
        <v>0</v>
      </c>
      <c r="BJ1036" s="140">
        <v>0</v>
      </c>
      <c r="BK1036" s="140">
        <v>0</v>
      </c>
      <c r="BL1036" s="140">
        <v>0</v>
      </c>
      <c r="BM1036" s="140">
        <v>0</v>
      </c>
      <c r="BN1036" s="140">
        <v>0</v>
      </c>
      <c r="BO1036" s="140">
        <v>0</v>
      </c>
      <c r="BX1036" s="43">
        <v>19</v>
      </c>
      <c r="CD1036" s="90">
        <f t="shared" si="143"/>
        <v>0.66666666666666663</v>
      </c>
      <c r="CE1036" s="90">
        <f t="shared" si="143"/>
        <v>0.66666666666666663</v>
      </c>
      <c r="CF1036" s="90">
        <f t="shared" si="143"/>
        <v>0.66666666666666663</v>
      </c>
      <c r="CT1036" s="90">
        <f t="shared" si="144"/>
        <v>0.66666666666666663</v>
      </c>
      <c r="CU1036" s="90">
        <f t="shared" si="145"/>
        <v>2</v>
      </c>
    </row>
    <row r="1037" spans="1:99" ht="12" customHeight="1">
      <c r="A1037" s="43">
        <v>3123</v>
      </c>
      <c r="B1037" s="89" t="s">
        <v>2753</v>
      </c>
      <c r="C1037" s="89" t="s">
        <v>2779</v>
      </c>
      <c r="D1037" s="89" t="s">
        <v>2780</v>
      </c>
      <c r="F1037" s="43">
        <v>521692</v>
      </c>
      <c r="G1037" s="43">
        <v>172512</v>
      </c>
      <c r="H1037" s="89" t="s">
        <v>149</v>
      </c>
      <c r="K1037" s="140">
        <v>1</v>
      </c>
      <c r="L1037" s="140">
        <v>0</v>
      </c>
      <c r="M1037" s="140">
        <v>-1</v>
      </c>
      <c r="N1037" s="140">
        <v>0</v>
      </c>
      <c r="O1037" s="140">
        <v>-1</v>
      </c>
      <c r="Q1037" s="89" t="s">
        <v>2781</v>
      </c>
      <c r="R1037" s="43" t="s">
        <v>2725</v>
      </c>
      <c r="S1037" s="125">
        <v>43893</v>
      </c>
      <c r="V1037" s="43" t="s">
        <v>317</v>
      </c>
      <c r="X1037" s="43" t="s">
        <v>318</v>
      </c>
      <c r="Y1037" s="43" t="s">
        <v>336</v>
      </c>
      <c r="Z1037" s="43" t="s">
        <v>320</v>
      </c>
      <c r="AA1037" s="43" t="s">
        <v>1418</v>
      </c>
      <c r="AB1037" s="144">
        <v>3.20000015199184E-2</v>
      </c>
      <c r="AF1037" s="43" t="s">
        <v>75</v>
      </c>
      <c r="AG1037" s="43" t="s">
        <v>322</v>
      </c>
      <c r="AJ1037" s="140">
        <v>0</v>
      </c>
      <c r="AK1037" s="140">
        <v>0</v>
      </c>
      <c r="AL1037" s="140">
        <v>0</v>
      </c>
      <c r="AM1037" s="140">
        <v>0</v>
      </c>
      <c r="AN1037" s="140">
        <v>0</v>
      </c>
      <c r="AO1037" s="140">
        <v>0</v>
      </c>
      <c r="AP1037" s="140">
        <v>0</v>
      </c>
      <c r="AQ1037" s="140">
        <v>0</v>
      </c>
      <c r="AR1037" s="140">
        <v>-1</v>
      </c>
      <c r="AS1037" s="140">
        <v>0</v>
      </c>
      <c r="AT1037" s="140">
        <v>0</v>
      </c>
      <c r="AU1037" s="140">
        <v>0</v>
      </c>
      <c r="AV1037" s="140">
        <v>0</v>
      </c>
      <c r="AW1037" s="140">
        <v>0</v>
      </c>
      <c r="AX1037" s="140">
        <v>0</v>
      </c>
      <c r="AY1037" s="140">
        <v>0</v>
      </c>
      <c r="AZ1037" s="140">
        <v>0</v>
      </c>
      <c r="BA1037" s="140">
        <v>0</v>
      </c>
      <c r="BB1037" s="140">
        <v>0</v>
      </c>
      <c r="BC1037" s="140">
        <v>0</v>
      </c>
      <c r="BD1037" s="140">
        <v>0</v>
      </c>
      <c r="BE1037" s="140">
        <v>0</v>
      </c>
      <c r="BF1037" s="140">
        <v>-1</v>
      </c>
      <c r="BG1037" s="140">
        <v>0</v>
      </c>
      <c r="BH1037" s="140">
        <v>0</v>
      </c>
      <c r="BI1037" s="140">
        <v>0</v>
      </c>
      <c r="BJ1037" s="140">
        <v>0</v>
      </c>
      <c r="BK1037" s="140">
        <v>0</v>
      </c>
      <c r="BL1037" s="140">
        <v>0</v>
      </c>
      <c r="BM1037" s="140">
        <v>0</v>
      </c>
      <c r="BN1037" s="140">
        <v>0</v>
      </c>
      <c r="BO1037" s="140">
        <v>0</v>
      </c>
      <c r="BX1037" s="43">
        <v>19</v>
      </c>
      <c r="CD1037" s="90">
        <f t="shared" si="143"/>
        <v>-0.33333333333333331</v>
      </c>
      <c r="CE1037" s="90">
        <f t="shared" si="143"/>
        <v>-0.33333333333333331</v>
      </c>
      <c r="CF1037" s="90">
        <f t="shared" si="143"/>
        <v>-0.33333333333333331</v>
      </c>
      <c r="CT1037" s="90">
        <f t="shared" si="144"/>
        <v>-0.33333333333333331</v>
      </c>
      <c r="CU1037" s="90">
        <f t="shared" si="145"/>
        <v>-1</v>
      </c>
    </row>
    <row r="1038" spans="1:99" ht="12" customHeight="1">
      <c r="A1038" s="43">
        <v>3579</v>
      </c>
      <c r="B1038" s="89" t="s">
        <v>2753</v>
      </c>
      <c r="C1038" s="89" t="s">
        <v>2782</v>
      </c>
      <c r="D1038" s="89" t="s">
        <v>2783</v>
      </c>
      <c r="F1038" s="43">
        <v>523714</v>
      </c>
      <c r="G1038" s="43">
        <v>175950</v>
      </c>
      <c r="H1038" s="89" t="s">
        <v>178</v>
      </c>
      <c r="K1038" s="140">
        <v>2</v>
      </c>
      <c r="L1038" s="140">
        <v>1</v>
      </c>
      <c r="M1038" s="140">
        <v>-1</v>
      </c>
      <c r="N1038" s="140">
        <v>1</v>
      </c>
      <c r="O1038" s="140">
        <v>-1</v>
      </c>
      <c r="Q1038" s="89" t="s">
        <v>2784</v>
      </c>
      <c r="R1038" s="43" t="s">
        <v>2725</v>
      </c>
      <c r="S1038" s="125">
        <v>43899</v>
      </c>
      <c r="V1038" s="43" t="s">
        <v>317</v>
      </c>
      <c r="X1038" s="43" t="s">
        <v>318</v>
      </c>
      <c r="Y1038" s="43" t="s">
        <v>348</v>
      </c>
      <c r="Z1038" s="43" t="s">
        <v>320</v>
      </c>
      <c r="AA1038" s="43" t="s">
        <v>22</v>
      </c>
      <c r="AB1038" s="144">
        <v>9.9999997764825804E-3</v>
      </c>
      <c r="AF1038" s="43" t="s">
        <v>75</v>
      </c>
      <c r="AG1038" s="43" t="s">
        <v>322</v>
      </c>
      <c r="AJ1038" s="140">
        <v>0</v>
      </c>
      <c r="AK1038" s="140">
        <v>0</v>
      </c>
      <c r="AL1038" s="140">
        <v>0</v>
      </c>
      <c r="AM1038" s="140">
        <v>0</v>
      </c>
      <c r="AN1038" s="140">
        <v>0</v>
      </c>
      <c r="AO1038" s="140">
        <v>-2</v>
      </c>
      <c r="AP1038" s="140">
        <v>0</v>
      </c>
      <c r="AQ1038" s="140">
        <v>1</v>
      </c>
      <c r="AR1038" s="140">
        <v>0</v>
      </c>
      <c r="AS1038" s="140">
        <v>0</v>
      </c>
      <c r="AT1038" s="140">
        <v>0</v>
      </c>
      <c r="AU1038" s="140">
        <v>0</v>
      </c>
      <c r="AV1038" s="140">
        <v>-2</v>
      </c>
      <c r="AW1038" s="140">
        <v>0</v>
      </c>
      <c r="AX1038" s="140">
        <v>0</v>
      </c>
      <c r="AY1038" s="140">
        <v>0</v>
      </c>
      <c r="AZ1038" s="140">
        <v>0</v>
      </c>
      <c r="BA1038" s="140">
        <v>0</v>
      </c>
      <c r="BB1038" s="140">
        <v>0</v>
      </c>
      <c r="BC1038" s="140">
        <v>0</v>
      </c>
      <c r="BD1038" s="140">
        <v>0</v>
      </c>
      <c r="BE1038" s="140">
        <v>1</v>
      </c>
      <c r="BF1038" s="140">
        <v>0</v>
      </c>
      <c r="BG1038" s="140">
        <v>0</v>
      </c>
      <c r="BH1038" s="140">
        <v>0</v>
      </c>
      <c r="BI1038" s="140">
        <v>0</v>
      </c>
      <c r="BJ1038" s="140">
        <v>0</v>
      </c>
      <c r="BK1038" s="140">
        <v>0</v>
      </c>
      <c r="BL1038" s="140">
        <v>0</v>
      </c>
      <c r="BM1038" s="140">
        <v>0</v>
      </c>
      <c r="BN1038" s="140">
        <v>0</v>
      </c>
      <c r="BO1038" s="140">
        <v>0</v>
      </c>
      <c r="BX1038" s="43">
        <v>19</v>
      </c>
      <c r="CD1038" s="90">
        <f t="shared" si="143"/>
        <v>-0.33333333333333331</v>
      </c>
      <c r="CE1038" s="90">
        <f t="shared" si="143"/>
        <v>-0.33333333333333331</v>
      </c>
      <c r="CF1038" s="90">
        <f t="shared" si="143"/>
        <v>-0.33333333333333331</v>
      </c>
      <c r="CT1038" s="90">
        <f t="shared" si="144"/>
        <v>-0.33333333333333331</v>
      </c>
      <c r="CU1038" s="90">
        <f t="shared" si="145"/>
        <v>-1</v>
      </c>
    </row>
    <row r="1039" spans="1:99" ht="12" customHeight="1">
      <c r="A1039" s="43">
        <v>4043</v>
      </c>
      <c r="B1039" s="89" t="s">
        <v>2753</v>
      </c>
      <c r="C1039" s="89" t="s">
        <v>2785</v>
      </c>
      <c r="D1039" s="89" t="s">
        <v>2786</v>
      </c>
      <c r="F1039" s="43">
        <v>527663</v>
      </c>
      <c r="G1039" s="43">
        <v>174334</v>
      </c>
      <c r="H1039" s="89" t="s">
        <v>174</v>
      </c>
      <c r="K1039" s="140">
        <v>0</v>
      </c>
      <c r="L1039" s="140">
        <v>1</v>
      </c>
      <c r="M1039" s="140">
        <v>1</v>
      </c>
      <c r="N1039" s="140">
        <v>1</v>
      </c>
      <c r="O1039" s="140">
        <v>1</v>
      </c>
      <c r="Q1039" s="89" t="s">
        <v>2787</v>
      </c>
      <c r="R1039" s="43" t="s">
        <v>2778</v>
      </c>
      <c r="S1039" s="125">
        <v>43887</v>
      </c>
      <c r="V1039" s="43" t="s">
        <v>317</v>
      </c>
      <c r="X1039" s="43" t="s">
        <v>318</v>
      </c>
      <c r="Y1039" s="43" t="s">
        <v>336</v>
      </c>
      <c r="Z1039" s="43" t="s">
        <v>320</v>
      </c>
      <c r="AA1039" s="43" t="s">
        <v>30</v>
      </c>
      <c r="AB1039" s="144">
        <v>4.0000001899898104E-3</v>
      </c>
      <c r="AF1039" s="43" t="s">
        <v>75</v>
      </c>
      <c r="AG1039" s="43" t="s">
        <v>322</v>
      </c>
      <c r="AJ1039" s="140">
        <v>0</v>
      </c>
      <c r="AK1039" s="140">
        <v>0</v>
      </c>
      <c r="AL1039" s="140">
        <v>0</v>
      </c>
      <c r="AM1039" s="140">
        <v>0</v>
      </c>
      <c r="AN1039" s="140">
        <v>0</v>
      </c>
      <c r="AO1039" s="140">
        <v>0</v>
      </c>
      <c r="AP1039" s="140">
        <v>1</v>
      </c>
      <c r="AQ1039" s="140">
        <v>0</v>
      </c>
      <c r="AR1039" s="140">
        <v>0</v>
      </c>
      <c r="AS1039" s="140">
        <v>0</v>
      </c>
      <c r="AT1039" s="140">
        <v>0</v>
      </c>
      <c r="AU1039" s="140">
        <v>0</v>
      </c>
      <c r="AV1039" s="140">
        <v>0</v>
      </c>
      <c r="AW1039" s="140">
        <v>1</v>
      </c>
      <c r="AX1039" s="140">
        <v>0</v>
      </c>
      <c r="AY1039" s="140">
        <v>0</v>
      </c>
      <c r="AZ1039" s="140">
        <v>0</v>
      </c>
      <c r="BA1039" s="140">
        <v>0</v>
      </c>
      <c r="BB1039" s="140">
        <v>0</v>
      </c>
      <c r="BC1039" s="140">
        <v>0</v>
      </c>
      <c r="BD1039" s="140">
        <v>0</v>
      </c>
      <c r="BE1039" s="140">
        <v>0</v>
      </c>
      <c r="BF1039" s="140">
        <v>0</v>
      </c>
      <c r="BG1039" s="140">
        <v>0</v>
      </c>
      <c r="BH1039" s="140">
        <v>0</v>
      </c>
      <c r="BI1039" s="140">
        <v>0</v>
      </c>
      <c r="BJ1039" s="140">
        <v>0</v>
      </c>
      <c r="BK1039" s="140">
        <v>0</v>
      </c>
      <c r="BL1039" s="140">
        <v>0</v>
      </c>
      <c r="BM1039" s="140">
        <v>0</v>
      </c>
      <c r="BN1039" s="140">
        <v>0</v>
      </c>
      <c r="BO1039" s="140">
        <v>0</v>
      </c>
      <c r="BX1039" s="43">
        <v>19</v>
      </c>
      <c r="CD1039" s="90">
        <f t="shared" si="143"/>
        <v>0.33333333333333331</v>
      </c>
      <c r="CE1039" s="90">
        <f t="shared" si="143"/>
        <v>0.33333333333333331</v>
      </c>
      <c r="CF1039" s="90">
        <f t="shared" si="143"/>
        <v>0.33333333333333331</v>
      </c>
      <c r="CT1039" s="90">
        <f t="shared" si="144"/>
        <v>0.33333333333333331</v>
      </c>
      <c r="CU1039" s="90">
        <f t="shared" si="145"/>
        <v>1</v>
      </c>
    </row>
    <row r="1040" spans="1:99" ht="12" customHeight="1">
      <c r="A1040" s="43">
        <v>4940</v>
      </c>
      <c r="B1040" s="89" t="s">
        <v>2753</v>
      </c>
      <c r="C1040" s="89" t="s">
        <v>2788</v>
      </c>
      <c r="D1040" s="89" t="s">
        <v>2789</v>
      </c>
      <c r="F1040" s="43">
        <v>527766</v>
      </c>
      <c r="G1040" s="43">
        <v>172106</v>
      </c>
      <c r="H1040" s="89" t="s">
        <v>141</v>
      </c>
      <c r="K1040" s="140">
        <v>0</v>
      </c>
      <c r="L1040" s="140">
        <v>1</v>
      </c>
      <c r="M1040" s="140">
        <v>1</v>
      </c>
      <c r="N1040" s="140">
        <v>3</v>
      </c>
      <c r="O1040" s="140">
        <v>2</v>
      </c>
      <c r="Q1040" s="89" t="s">
        <v>2790</v>
      </c>
      <c r="R1040" s="43" t="s">
        <v>2725</v>
      </c>
      <c r="S1040" s="125">
        <v>43867</v>
      </c>
      <c r="V1040" s="43" t="s">
        <v>317</v>
      </c>
      <c r="X1040" s="43" t="s">
        <v>318</v>
      </c>
      <c r="Y1040" s="43" t="s">
        <v>319</v>
      </c>
      <c r="Z1040" s="43" t="s">
        <v>320</v>
      </c>
      <c r="AA1040" s="43" t="s">
        <v>30</v>
      </c>
      <c r="AB1040" s="144">
        <v>1.00000004749745E-3</v>
      </c>
      <c r="AF1040" s="43" t="s">
        <v>75</v>
      </c>
      <c r="AG1040" s="43" t="s">
        <v>322</v>
      </c>
      <c r="AJ1040" s="140">
        <v>0</v>
      </c>
      <c r="AK1040" s="140">
        <v>0</v>
      </c>
      <c r="AL1040" s="140">
        <v>0</v>
      </c>
      <c r="AM1040" s="140">
        <v>0</v>
      </c>
      <c r="AN1040" s="140">
        <v>0</v>
      </c>
      <c r="AO1040" s="140">
        <v>1</v>
      </c>
      <c r="AP1040" s="140">
        <v>0</v>
      </c>
      <c r="AQ1040" s="140">
        <v>0</v>
      </c>
      <c r="AR1040" s="140">
        <v>0</v>
      </c>
      <c r="AS1040" s="140">
        <v>0</v>
      </c>
      <c r="AT1040" s="140">
        <v>0</v>
      </c>
      <c r="AU1040" s="140">
        <v>0</v>
      </c>
      <c r="AV1040" s="140">
        <v>1</v>
      </c>
      <c r="AW1040" s="140">
        <v>0</v>
      </c>
      <c r="AX1040" s="140">
        <v>0</v>
      </c>
      <c r="AY1040" s="140">
        <v>0</v>
      </c>
      <c r="AZ1040" s="140">
        <v>0</v>
      </c>
      <c r="BA1040" s="140">
        <v>0</v>
      </c>
      <c r="BB1040" s="140">
        <v>0</v>
      </c>
      <c r="BC1040" s="140">
        <v>0</v>
      </c>
      <c r="BD1040" s="140">
        <v>0</v>
      </c>
      <c r="BE1040" s="140">
        <v>0</v>
      </c>
      <c r="BF1040" s="140">
        <v>0</v>
      </c>
      <c r="BG1040" s="140">
        <v>0</v>
      </c>
      <c r="BH1040" s="140">
        <v>0</v>
      </c>
      <c r="BI1040" s="140">
        <v>0</v>
      </c>
      <c r="BJ1040" s="140">
        <v>0</v>
      </c>
      <c r="BK1040" s="140">
        <v>0</v>
      </c>
      <c r="BL1040" s="140">
        <v>0</v>
      </c>
      <c r="BM1040" s="140">
        <v>0</v>
      </c>
      <c r="BN1040" s="140">
        <v>0</v>
      </c>
      <c r="BO1040" s="140">
        <v>0</v>
      </c>
      <c r="BX1040" s="43">
        <v>19</v>
      </c>
      <c r="CD1040" s="90">
        <f t="shared" si="143"/>
        <v>0.33333333333333331</v>
      </c>
      <c r="CE1040" s="90">
        <f t="shared" si="143"/>
        <v>0.33333333333333331</v>
      </c>
      <c r="CF1040" s="90">
        <f t="shared" si="143"/>
        <v>0.33333333333333331</v>
      </c>
      <c r="CT1040" s="90">
        <f t="shared" si="144"/>
        <v>0.33333333333333331</v>
      </c>
      <c r="CU1040" s="90">
        <f t="shared" si="145"/>
        <v>1</v>
      </c>
    </row>
    <row r="1041" spans="1:99" ht="12" customHeight="1">
      <c r="A1041" s="43">
        <v>4940</v>
      </c>
      <c r="B1041" s="89" t="s">
        <v>2753</v>
      </c>
      <c r="C1041" s="89" t="s">
        <v>2788</v>
      </c>
      <c r="D1041" s="89" t="s">
        <v>2789</v>
      </c>
      <c r="F1041" s="43">
        <v>527766</v>
      </c>
      <c r="G1041" s="43">
        <v>172106</v>
      </c>
      <c r="H1041" s="89" t="s">
        <v>141</v>
      </c>
      <c r="K1041" s="140">
        <v>1</v>
      </c>
      <c r="L1041" s="140">
        <v>1</v>
      </c>
      <c r="M1041" s="140">
        <v>0</v>
      </c>
      <c r="N1041" s="140">
        <v>3</v>
      </c>
      <c r="O1041" s="140">
        <v>2</v>
      </c>
      <c r="Q1041" s="89" t="s">
        <v>2790</v>
      </c>
      <c r="R1041" s="43" t="s">
        <v>2725</v>
      </c>
      <c r="S1041" s="125">
        <v>43867</v>
      </c>
      <c r="V1041" s="43" t="s">
        <v>317</v>
      </c>
      <c r="X1041" s="43" t="s">
        <v>318</v>
      </c>
      <c r="Y1041" s="43" t="s">
        <v>319</v>
      </c>
      <c r="Z1041" s="43" t="s">
        <v>320</v>
      </c>
      <c r="AA1041" s="43" t="s">
        <v>321</v>
      </c>
      <c r="AB1041" s="144">
        <v>1.00000004749745E-3</v>
      </c>
      <c r="AF1041" s="43" t="s">
        <v>75</v>
      </c>
      <c r="AG1041" s="43" t="s">
        <v>322</v>
      </c>
      <c r="AJ1041" s="140">
        <v>0</v>
      </c>
      <c r="AK1041" s="140">
        <v>0</v>
      </c>
      <c r="AL1041" s="140">
        <v>0</v>
      </c>
      <c r="AM1041" s="140">
        <v>0</v>
      </c>
      <c r="AN1041" s="140">
        <v>0</v>
      </c>
      <c r="AO1041" s="140">
        <v>1</v>
      </c>
      <c r="AP1041" s="140">
        <v>-1</v>
      </c>
      <c r="AQ1041" s="140">
        <v>0</v>
      </c>
      <c r="AR1041" s="140">
        <v>0</v>
      </c>
      <c r="AS1041" s="140">
        <v>0</v>
      </c>
      <c r="AT1041" s="140">
        <v>0</v>
      </c>
      <c r="AU1041" s="140">
        <v>0</v>
      </c>
      <c r="AV1041" s="140">
        <v>1</v>
      </c>
      <c r="AW1041" s="140">
        <v>-1</v>
      </c>
      <c r="AX1041" s="140">
        <v>0</v>
      </c>
      <c r="AY1041" s="140">
        <v>0</v>
      </c>
      <c r="AZ1041" s="140">
        <v>0</v>
      </c>
      <c r="BA1041" s="140">
        <v>0</v>
      </c>
      <c r="BB1041" s="140">
        <v>0</v>
      </c>
      <c r="BC1041" s="140">
        <v>0</v>
      </c>
      <c r="BD1041" s="140">
        <v>0</v>
      </c>
      <c r="BE1041" s="140">
        <v>0</v>
      </c>
      <c r="BF1041" s="140">
        <v>0</v>
      </c>
      <c r="BG1041" s="140">
        <v>0</v>
      </c>
      <c r="BH1041" s="140">
        <v>0</v>
      </c>
      <c r="BI1041" s="140">
        <v>0</v>
      </c>
      <c r="BJ1041" s="140">
        <v>0</v>
      </c>
      <c r="BK1041" s="140">
        <v>0</v>
      </c>
      <c r="BL1041" s="140">
        <v>0</v>
      </c>
      <c r="BM1041" s="140">
        <v>0</v>
      </c>
      <c r="BN1041" s="140">
        <v>0</v>
      </c>
      <c r="BO1041" s="140">
        <v>0</v>
      </c>
      <c r="BX1041" s="43">
        <v>19</v>
      </c>
      <c r="CD1041" s="90">
        <f t="shared" si="143"/>
        <v>0</v>
      </c>
      <c r="CE1041" s="90">
        <f t="shared" si="143"/>
        <v>0</v>
      </c>
      <c r="CF1041" s="90">
        <f t="shared" si="143"/>
        <v>0</v>
      </c>
      <c r="CT1041" s="90">
        <f t="shared" si="144"/>
        <v>0</v>
      </c>
      <c r="CU1041" s="90">
        <f t="shared" si="145"/>
        <v>0</v>
      </c>
    </row>
    <row r="1042" spans="1:99" ht="12" customHeight="1">
      <c r="A1042" s="43">
        <v>4940</v>
      </c>
      <c r="B1042" s="89" t="s">
        <v>2753</v>
      </c>
      <c r="C1042" s="89" t="s">
        <v>2788</v>
      </c>
      <c r="D1042" s="89" t="s">
        <v>2789</v>
      </c>
      <c r="F1042" s="43">
        <v>527766</v>
      </c>
      <c r="G1042" s="43">
        <v>172106</v>
      </c>
      <c r="H1042" s="89" t="s">
        <v>141</v>
      </c>
      <c r="K1042" s="140">
        <v>0</v>
      </c>
      <c r="L1042" s="140">
        <v>1</v>
      </c>
      <c r="M1042" s="140">
        <v>1</v>
      </c>
      <c r="N1042" s="140">
        <v>3</v>
      </c>
      <c r="O1042" s="140">
        <v>2</v>
      </c>
      <c r="Q1042" s="89" t="s">
        <v>2790</v>
      </c>
      <c r="R1042" s="43" t="s">
        <v>2725</v>
      </c>
      <c r="S1042" s="125">
        <v>43867</v>
      </c>
      <c r="V1042" s="43" t="s">
        <v>317</v>
      </c>
      <c r="X1042" s="43" t="s">
        <v>318</v>
      </c>
      <c r="Y1042" s="43" t="s">
        <v>319</v>
      </c>
      <c r="Z1042" s="43" t="s">
        <v>320</v>
      </c>
      <c r="AA1042" s="43" t="s">
        <v>340</v>
      </c>
      <c r="AB1042" s="144">
        <v>2.9999999329447701E-2</v>
      </c>
      <c r="AF1042" s="43" t="s">
        <v>75</v>
      </c>
      <c r="AG1042" s="43" t="s">
        <v>322</v>
      </c>
      <c r="AJ1042" s="140">
        <v>0</v>
      </c>
      <c r="AK1042" s="140">
        <v>0</v>
      </c>
      <c r="AL1042" s="140">
        <v>0</v>
      </c>
      <c r="AM1042" s="140">
        <v>0</v>
      </c>
      <c r="AN1042" s="140">
        <v>0</v>
      </c>
      <c r="AO1042" s="140">
        <v>0</v>
      </c>
      <c r="AP1042" s="140">
        <v>1</v>
      </c>
      <c r="AQ1042" s="140">
        <v>0</v>
      </c>
      <c r="AR1042" s="140">
        <v>0</v>
      </c>
      <c r="AS1042" s="140">
        <v>0</v>
      </c>
      <c r="AT1042" s="140">
        <v>0</v>
      </c>
      <c r="AU1042" s="140">
        <v>0</v>
      </c>
      <c r="AV1042" s="140">
        <v>0</v>
      </c>
      <c r="AW1042" s="140">
        <v>1</v>
      </c>
      <c r="AX1042" s="140">
        <v>0</v>
      </c>
      <c r="AY1042" s="140">
        <v>0</v>
      </c>
      <c r="AZ1042" s="140">
        <v>0</v>
      </c>
      <c r="BA1042" s="140">
        <v>0</v>
      </c>
      <c r="BB1042" s="140">
        <v>0</v>
      </c>
      <c r="BC1042" s="140">
        <v>0</v>
      </c>
      <c r="BD1042" s="140">
        <v>0</v>
      </c>
      <c r="BE1042" s="140">
        <v>0</v>
      </c>
      <c r="BF1042" s="140">
        <v>0</v>
      </c>
      <c r="BG1042" s="140">
        <v>0</v>
      </c>
      <c r="BH1042" s="140">
        <v>0</v>
      </c>
      <c r="BI1042" s="140">
        <v>0</v>
      </c>
      <c r="BJ1042" s="140">
        <v>0</v>
      </c>
      <c r="BK1042" s="140">
        <v>0</v>
      </c>
      <c r="BL1042" s="140">
        <v>0</v>
      </c>
      <c r="BM1042" s="140">
        <v>0</v>
      </c>
      <c r="BN1042" s="140">
        <v>0</v>
      </c>
      <c r="BO1042" s="140">
        <v>0</v>
      </c>
      <c r="BX1042" s="43">
        <v>19</v>
      </c>
      <c r="CD1042" s="90">
        <f t="shared" si="143"/>
        <v>0.33333333333333331</v>
      </c>
      <c r="CE1042" s="90">
        <f t="shared" si="143"/>
        <v>0.33333333333333331</v>
      </c>
      <c r="CF1042" s="90">
        <f t="shared" si="143"/>
        <v>0.33333333333333331</v>
      </c>
      <c r="CT1042" s="90">
        <f t="shared" si="144"/>
        <v>0.33333333333333331</v>
      </c>
      <c r="CU1042" s="90">
        <f t="shared" si="145"/>
        <v>1</v>
      </c>
    </row>
    <row r="1043" spans="1:99" ht="12" customHeight="1">
      <c r="A1043" s="43">
        <v>5143</v>
      </c>
      <c r="B1043" s="89" t="s">
        <v>2753</v>
      </c>
      <c r="C1043" s="89" t="s">
        <v>2791</v>
      </c>
      <c r="D1043" s="89" t="s">
        <v>2792</v>
      </c>
      <c r="F1043" s="43">
        <v>523713</v>
      </c>
      <c r="G1043" s="43">
        <v>174783</v>
      </c>
      <c r="H1043" s="89" t="s">
        <v>169</v>
      </c>
      <c r="K1043" s="140">
        <v>0</v>
      </c>
      <c r="L1043" s="140">
        <v>1</v>
      </c>
      <c r="M1043" s="140">
        <v>1</v>
      </c>
      <c r="N1043" s="140">
        <v>1</v>
      </c>
      <c r="O1043" s="140">
        <v>1</v>
      </c>
      <c r="Q1043" s="89" t="s">
        <v>2793</v>
      </c>
      <c r="R1043" s="43" t="s">
        <v>2725</v>
      </c>
      <c r="S1043" s="125">
        <v>43874</v>
      </c>
      <c r="V1043" s="43" t="s">
        <v>317</v>
      </c>
      <c r="X1043" s="43" t="s">
        <v>318</v>
      </c>
      <c r="Y1043" s="43" t="s">
        <v>379</v>
      </c>
      <c r="Z1043" s="43" t="s">
        <v>320</v>
      </c>
      <c r="AA1043" s="43" t="s">
        <v>340</v>
      </c>
      <c r="AB1043" s="144">
        <v>4.0000001899898104E-3</v>
      </c>
      <c r="AF1043" s="43" t="s">
        <v>75</v>
      </c>
      <c r="AG1043" s="43" t="s">
        <v>322</v>
      </c>
      <c r="AJ1043" s="140">
        <v>0</v>
      </c>
      <c r="AK1043" s="140">
        <v>0</v>
      </c>
      <c r="AL1043" s="140">
        <v>0</v>
      </c>
      <c r="AM1043" s="140">
        <v>0</v>
      </c>
      <c r="AN1043" s="140">
        <v>1</v>
      </c>
      <c r="AO1043" s="140">
        <v>0</v>
      </c>
      <c r="AP1043" s="140">
        <v>0</v>
      </c>
      <c r="AQ1043" s="140">
        <v>0</v>
      </c>
      <c r="AR1043" s="140">
        <v>0</v>
      </c>
      <c r="AS1043" s="140">
        <v>0</v>
      </c>
      <c r="AT1043" s="140">
        <v>0</v>
      </c>
      <c r="AU1043" s="140">
        <v>1</v>
      </c>
      <c r="AV1043" s="140">
        <v>0</v>
      </c>
      <c r="AW1043" s="140">
        <v>0</v>
      </c>
      <c r="AX1043" s="140">
        <v>0</v>
      </c>
      <c r="AY1043" s="140">
        <v>0</v>
      </c>
      <c r="AZ1043" s="140">
        <v>0</v>
      </c>
      <c r="BA1043" s="140">
        <v>0</v>
      </c>
      <c r="BB1043" s="140">
        <v>0</v>
      </c>
      <c r="BC1043" s="140">
        <v>0</v>
      </c>
      <c r="BD1043" s="140">
        <v>0</v>
      </c>
      <c r="BE1043" s="140">
        <v>0</v>
      </c>
      <c r="BF1043" s="140">
        <v>0</v>
      </c>
      <c r="BG1043" s="140">
        <v>0</v>
      </c>
      <c r="BH1043" s="140">
        <v>0</v>
      </c>
      <c r="BI1043" s="140">
        <v>0</v>
      </c>
      <c r="BJ1043" s="140">
        <v>0</v>
      </c>
      <c r="BK1043" s="140">
        <v>0</v>
      </c>
      <c r="BL1043" s="140">
        <v>0</v>
      </c>
      <c r="BM1043" s="140">
        <v>0</v>
      </c>
      <c r="BN1043" s="140">
        <v>0</v>
      </c>
      <c r="BO1043" s="140">
        <v>0</v>
      </c>
      <c r="BX1043" s="43">
        <v>19</v>
      </c>
      <c r="CD1043" s="90">
        <f t="shared" si="143"/>
        <v>0.33333333333333331</v>
      </c>
      <c r="CE1043" s="90">
        <f t="shared" si="143"/>
        <v>0.33333333333333331</v>
      </c>
      <c r="CF1043" s="90">
        <f t="shared" si="143"/>
        <v>0.33333333333333331</v>
      </c>
      <c r="CT1043" s="90">
        <f t="shared" si="144"/>
        <v>0.33333333333333331</v>
      </c>
      <c r="CU1043" s="90">
        <f t="shared" si="145"/>
        <v>1</v>
      </c>
    </row>
    <row r="1044" spans="1:99" ht="12" customHeight="1">
      <c r="A1044" s="43">
        <v>5197</v>
      </c>
      <c r="B1044" s="89" t="s">
        <v>2753</v>
      </c>
      <c r="C1044" s="89" t="s">
        <v>2794</v>
      </c>
      <c r="D1044" s="89" t="s">
        <v>2795</v>
      </c>
      <c r="F1044" s="43">
        <v>526177</v>
      </c>
      <c r="G1044" s="43">
        <v>172334</v>
      </c>
      <c r="H1044" s="89" t="s">
        <v>168</v>
      </c>
      <c r="K1044" s="140">
        <v>0</v>
      </c>
      <c r="L1044" s="140">
        <v>1</v>
      </c>
      <c r="M1044" s="140">
        <v>1</v>
      </c>
      <c r="N1044" s="140">
        <v>1</v>
      </c>
      <c r="O1044" s="140">
        <v>1</v>
      </c>
      <c r="Q1044" s="89" t="s">
        <v>2796</v>
      </c>
      <c r="R1044" s="43" t="s">
        <v>2725</v>
      </c>
      <c r="S1044" s="125">
        <v>43888</v>
      </c>
      <c r="V1044" s="43" t="s">
        <v>317</v>
      </c>
      <c r="X1044" s="43" t="s">
        <v>318</v>
      </c>
      <c r="Y1044" s="43" t="s">
        <v>379</v>
      </c>
      <c r="Z1044" s="43" t="s">
        <v>320</v>
      </c>
      <c r="AA1044" s="43" t="s">
        <v>340</v>
      </c>
      <c r="AB1044" s="144">
        <v>6.0000000521540598E-3</v>
      </c>
      <c r="AF1044" s="43" t="s">
        <v>75</v>
      </c>
      <c r="AG1044" s="43" t="s">
        <v>322</v>
      </c>
      <c r="AJ1044" s="140">
        <v>0</v>
      </c>
      <c r="AK1044" s="140">
        <v>0</v>
      </c>
      <c r="AL1044" s="140">
        <v>0</v>
      </c>
      <c r="AM1044" s="140">
        <v>0</v>
      </c>
      <c r="AN1044" s="140">
        <v>0</v>
      </c>
      <c r="AO1044" s="140">
        <v>1</v>
      </c>
      <c r="AP1044" s="140">
        <v>0</v>
      </c>
      <c r="AQ1044" s="140">
        <v>0</v>
      </c>
      <c r="AR1044" s="140">
        <v>0</v>
      </c>
      <c r="AS1044" s="140">
        <v>0</v>
      </c>
      <c r="AT1044" s="140">
        <v>0</v>
      </c>
      <c r="AU1044" s="140">
        <v>0</v>
      </c>
      <c r="AV1044" s="140">
        <v>1</v>
      </c>
      <c r="AW1044" s="140">
        <v>0</v>
      </c>
      <c r="AX1044" s="140">
        <v>0</v>
      </c>
      <c r="AY1044" s="140">
        <v>0</v>
      </c>
      <c r="AZ1044" s="140">
        <v>0</v>
      </c>
      <c r="BA1044" s="140">
        <v>0</v>
      </c>
      <c r="BB1044" s="140">
        <v>0</v>
      </c>
      <c r="BC1044" s="140">
        <v>0</v>
      </c>
      <c r="BD1044" s="140">
        <v>0</v>
      </c>
      <c r="BE1044" s="140">
        <v>0</v>
      </c>
      <c r="BF1044" s="140">
        <v>0</v>
      </c>
      <c r="BG1044" s="140">
        <v>0</v>
      </c>
      <c r="BH1044" s="140">
        <v>0</v>
      </c>
      <c r="BI1044" s="140">
        <v>0</v>
      </c>
      <c r="BJ1044" s="140">
        <v>0</v>
      </c>
      <c r="BK1044" s="140">
        <v>0</v>
      </c>
      <c r="BL1044" s="140">
        <v>0</v>
      </c>
      <c r="BM1044" s="140">
        <v>0</v>
      </c>
      <c r="BN1044" s="140">
        <v>0</v>
      </c>
      <c r="BO1044" s="140">
        <v>0</v>
      </c>
      <c r="BX1044" s="43">
        <v>19</v>
      </c>
      <c r="CD1044" s="90">
        <f t="shared" si="143"/>
        <v>0.33333333333333331</v>
      </c>
      <c r="CE1044" s="90">
        <f t="shared" si="143"/>
        <v>0.33333333333333331</v>
      </c>
      <c r="CF1044" s="90">
        <f t="shared" si="143"/>
        <v>0.33333333333333331</v>
      </c>
      <c r="CT1044" s="90">
        <f t="shared" si="144"/>
        <v>0.33333333333333331</v>
      </c>
      <c r="CU1044" s="90">
        <f t="shared" si="145"/>
        <v>1</v>
      </c>
    </row>
    <row r="1045" spans="1:99" ht="12" customHeight="1">
      <c r="A1045" s="43">
        <v>5605</v>
      </c>
      <c r="B1045" s="89" t="s">
        <v>2753</v>
      </c>
      <c r="C1045" s="89" t="s">
        <v>2797</v>
      </c>
      <c r="D1045" s="89" t="s">
        <v>2798</v>
      </c>
      <c r="F1045" s="43">
        <v>526468</v>
      </c>
      <c r="G1045" s="43">
        <v>175725</v>
      </c>
      <c r="H1045" s="89" t="s">
        <v>177</v>
      </c>
      <c r="K1045" s="140">
        <v>0</v>
      </c>
      <c r="L1045" s="140">
        <v>1</v>
      </c>
      <c r="M1045" s="140">
        <v>1</v>
      </c>
      <c r="N1045" s="140">
        <v>1</v>
      </c>
      <c r="O1045" s="140">
        <v>1</v>
      </c>
      <c r="Q1045" s="89" t="s">
        <v>2799</v>
      </c>
      <c r="R1045" s="43" t="s">
        <v>2778</v>
      </c>
      <c r="S1045" s="125">
        <v>43895</v>
      </c>
      <c r="V1045" s="43" t="s">
        <v>317</v>
      </c>
      <c r="X1045" s="43" t="s">
        <v>318</v>
      </c>
      <c r="Y1045" s="43" t="s">
        <v>336</v>
      </c>
      <c r="Z1045" s="43" t="s">
        <v>320</v>
      </c>
      <c r="AA1045" s="43" t="s">
        <v>33</v>
      </c>
      <c r="AB1045" s="144">
        <v>6.0000000521540598E-3</v>
      </c>
      <c r="AF1045" s="43" t="s">
        <v>75</v>
      </c>
      <c r="AG1045" s="43" t="s">
        <v>322</v>
      </c>
      <c r="AH1045" s="43" t="s">
        <v>838</v>
      </c>
      <c r="AJ1045" s="140">
        <v>0</v>
      </c>
      <c r="AK1045" s="140">
        <v>0</v>
      </c>
      <c r="AL1045" s="140">
        <v>0</v>
      </c>
      <c r="AM1045" s="140">
        <v>0</v>
      </c>
      <c r="AN1045" s="140">
        <v>0</v>
      </c>
      <c r="AO1045" s="140">
        <v>0</v>
      </c>
      <c r="AP1045" s="140">
        <v>1</v>
      </c>
      <c r="AQ1045" s="140">
        <v>0</v>
      </c>
      <c r="AR1045" s="140">
        <v>0</v>
      </c>
      <c r="AS1045" s="140">
        <v>0</v>
      </c>
      <c r="AT1045" s="140">
        <v>0</v>
      </c>
      <c r="AU1045" s="140">
        <v>0</v>
      </c>
      <c r="AV1045" s="140">
        <v>0</v>
      </c>
      <c r="AW1045" s="140">
        <v>1</v>
      </c>
      <c r="AX1045" s="140">
        <v>0</v>
      </c>
      <c r="AY1045" s="140">
        <v>0</v>
      </c>
      <c r="AZ1045" s="140">
        <v>0</v>
      </c>
      <c r="BA1045" s="140">
        <v>0</v>
      </c>
      <c r="BB1045" s="140">
        <v>0</v>
      </c>
      <c r="BC1045" s="140">
        <v>0</v>
      </c>
      <c r="BD1045" s="140">
        <v>0</v>
      </c>
      <c r="BE1045" s="140">
        <v>0</v>
      </c>
      <c r="BF1045" s="140">
        <v>0</v>
      </c>
      <c r="BG1045" s="140">
        <v>0</v>
      </c>
      <c r="BH1045" s="140">
        <v>0</v>
      </c>
      <c r="BI1045" s="140">
        <v>0</v>
      </c>
      <c r="BJ1045" s="140">
        <v>0</v>
      </c>
      <c r="BK1045" s="140">
        <v>0</v>
      </c>
      <c r="BL1045" s="140">
        <v>0</v>
      </c>
      <c r="BM1045" s="140">
        <v>0</v>
      </c>
      <c r="BN1045" s="140">
        <v>0</v>
      </c>
      <c r="BO1045" s="140">
        <v>0</v>
      </c>
      <c r="BV1045" s="43" t="s">
        <v>329</v>
      </c>
      <c r="BX1045" s="43">
        <v>19</v>
      </c>
      <c r="CD1045" s="90">
        <f t="shared" si="143"/>
        <v>0.33333333333333331</v>
      </c>
      <c r="CE1045" s="90">
        <f t="shared" si="143"/>
        <v>0.33333333333333331</v>
      </c>
      <c r="CF1045" s="90">
        <f t="shared" si="143"/>
        <v>0.33333333333333331</v>
      </c>
      <c r="CT1045" s="90">
        <f t="shared" si="144"/>
        <v>0.33333333333333331</v>
      </c>
      <c r="CU1045" s="90">
        <f t="shared" si="145"/>
        <v>1</v>
      </c>
    </row>
    <row r="1046" spans="1:99" ht="12" customHeight="1">
      <c r="A1046" s="43">
        <v>5800</v>
      </c>
      <c r="B1046" s="89" t="s">
        <v>2753</v>
      </c>
      <c r="C1046" s="89" t="s">
        <v>2800</v>
      </c>
      <c r="D1046" s="89" t="s">
        <v>2801</v>
      </c>
      <c r="F1046" s="43">
        <v>526505</v>
      </c>
      <c r="G1046" s="43">
        <v>175773</v>
      </c>
      <c r="H1046" s="89" t="s">
        <v>177</v>
      </c>
      <c r="K1046" s="140">
        <v>0</v>
      </c>
      <c r="L1046" s="140">
        <v>3</v>
      </c>
      <c r="M1046" s="140">
        <v>3</v>
      </c>
      <c r="N1046" s="140">
        <v>3</v>
      </c>
      <c r="O1046" s="140">
        <v>3</v>
      </c>
      <c r="Q1046" s="89" t="s">
        <v>2802</v>
      </c>
      <c r="R1046" s="43" t="s">
        <v>2778</v>
      </c>
      <c r="S1046" s="125">
        <v>43895</v>
      </c>
      <c r="V1046" s="43" t="s">
        <v>317</v>
      </c>
      <c r="X1046" s="43" t="s">
        <v>318</v>
      </c>
      <c r="Y1046" s="43" t="s">
        <v>336</v>
      </c>
      <c r="Z1046" s="43" t="s">
        <v>320</v>
      </c>
      <c r="AA1046" s="43" t="s">
        <v>33</v>
      </c>
      <c r="AB1046" s="144">
        <v>1.30000002682209E-2</v>
      </c>
      <c r="AF1046" s="43" t="s">
        <v>75</v>
      </c>
      <c r="AG1046" s="43" t="s">
        <v>322</v>
      </c>
      <c r="AH1046" s="43" t="s">
        <v>838</v>
      </c>
      <c r="AJ1046" s="140">
        <v>0</v>
      </c>
      <c r="AK1046" s="140">
        <v>0</v>
      </c>
      <c r="AL1046" s="140">
        <v>0</v>
      </c>
      <c r="AM1046" s="140">
        <v>0</v>
      </c>
      <c r="AN1046" s="140">
        <v>0</v>
      </c>
      <c r="AO1046" s="140">
        <v>3</v>
      </c>
      <c r="AP1046" s="140">
        <v>0</v>
      </c>
      <c r="AQ1046" s="140">
        <v>0</v>
      </c>
      <c r="AR1046" s="140">
        <v>0</v>
      </c>
      <c r="AS1046" s="140">
        <v>0</v>
      </c>
      <c r="AT1046" s="140">
        <v>0</v>
      </c>
      <c r="AU1046" s="140">
        <v>0</v>
      </c>
      <c r="AV1046" s="140">
        <v>3</v>
      </c>
      <c r="AW1046" s="140">
        <v>0</v>
      </c>
      <c r="AX1046" s="140">
        <v>0</v>
      </c>
      <c r="AY1046" s="140">
        <v>0</v>
      </c>
      <c r="AZ1046" s="140">
        <v>0</v>
      </c>
      <c r="BA1046" s="140">
        <v>0</v>
      </c>
      <c r="BB1046" s="140">
        <v>0</v>
      </c>
      <c r="BC1046" s="140">
        <v>0</v>
      </c>
      <c r="BD1046" s="140">
        <v>0</v>
      </c>
      <c r="BE1046" s="140">
        <v>0</v>
      </c>
      <c r="BF1046" s="140">
        <v>0</v>
      </c>
      <c r="BG1046" s="140">
        <v>0</v>
      </c>
      <c r="BH1046" s="140">
        <v>0</v>
      </c>
      <c r="BI1046" s="140">
        <v>0</v>
      </c>
      <c r="BJ1046" s="140">
        <v>0</v>
      </c>
      <c r="BK1046" s="140">
        <v>0</v>
      </c>
      <c r="BL1046" s="140">
        <v>0</v>
      </c>
      <c r="BM1046" s="140">
        <v>0</v>
      </c>
      <c r="BN1046" s="140">
        <v>0</v>
      </c>
      <c r="BO1046" s="140">
        <v>0</v>
      </c>
      <c r="BV1046" s="43" t="s">
        <v>329</v>
      </c>
      <c r="BX1046" s="43">
        <v>19</v>
      </c>
      <c r="CD1046" s="90">
        <f t="shared" si="143"/>
        <v>1</v>
      </c>
      <c r="CE1046" s="90">
        <f t="shared" si="143"/>
        <v>1</v>
      </c>
      <c r="CF1046" s="90">
        <f t="shared" si="143"/>
        <v>1</v>
      </c>
      <c r="CT1046" s="90">
        <f t="shared" si="144"/>
        <v>1</v>
      </c>
      <c r="CU1046" s="90">
        <f t="shared" si="145"/>
        <v>3</v>
      </c>
    </row>
    <row r="1047" spans="1:99" ht="12" customHeight="1">
      <c r="A1047" s="43">
        <v>5801</v>
      </c>
      <c r="B1047" s="89" t="s">
        <v>2753</v>
      </c>
      <c r="C1047" s="89" t="s">
        <v>2803</v>
      </c>
      <c r="D1047" s="89" t="s">
        <v>2804</v>
      </c>
      <c r="F1047" s="43">
        <v>526534</v>
      </c>
      <c r="G1047" s="43">
        <v>175822</v>
      </c>
      <c r="H1047" s="89" t="s">
        <v>177</v>
      </c>
      <c r="K1047" s="140">
        <v>0</v>
      </c>
      <c r="L1047" s="140">
        <v>1</v>
      </c>
      <c r="M1047" s="140">
        <v>1</v>
      </c>
      <c r="N1047" s="140">
        <v>1</v>
      </c>
      <c r="O1047" s="140">
        <v>1</v>
      </c>
      <c r="Q1047" s="89" t="s">
        <v>2805</v>
      </c>
      <c r="R1047" s="43" t="s">
        <v>2778</v>
      </c>
      <c r="S1047" s="125">
        <v>43892</v>
      </c>
      <c r="V1047" s="43" t="s">
        <v>317</v>
      </c>
      <c r="X1047" s="43" t="s">
        <v>318</v>
      </c>
      <c r="Y1047" s="43" t="s">
        <v>336</v>
      </c>
      <c r="Z1047" s="43" t="s">
        <v>320</v>
      </c>
      <c r="AA1047" s="43" t="s">
        <v>33</v>
      </c>
      <c r="AB1047" s="144">
        <v>4.9999998882412902E-3</v>
      </c>
      <c r="AF1047" s="43" t="s">
        <v>54</v>
      </c>
      <c r="AG1047" s="43" t="s">
        <v>1659</v>
      </c>
      <c r="AH1047" s="43" t="s">
        <v>838</v>
      </c>
      <c r="AJ1047" s="140">
        <v>0</v>
      </c>
      <c r="AK1047" s="140">
        <v>0</v>
      </c>
      <c r="AL1047" s="140">
        <v>0</v>
      </c>
      <c r="AM1047" s="140">
        <v>0</v>
      </c>
      <c r="AN1047" s="140">
        <v>0</v>
      </c>
      <c r="AO1047" s="140">
        <v>1</v>
      </c>
      <c r="AP1047" s="140">
        <v>0</v>
      </c>
      <c r="AQ1047" s="140">
        <v>0</v>
      </c>
      <c r="AR1047" s="140">
        <v>0</v>
      </c>
      <c r="AS1047" s="140">
        <v>0</v>
      </c>
      <c r="AT1047" s="140">
        <v>0</v>
      </c>
      <c r="AU1047" s="140">
        <v>0</v>
      </c>
      <c r="AV1047" s="140">
        <v>1</v>
      </c>
      <c r="AW1047" s="140">
        <v>0</v>
      </c>
      <c r="AX1047" s="140">
        <v>0</v>
      </c>
      <c r="AY1047" s="140">
        <v>0</v>
      </c>
      <c r="AZ1047" s="140">
        <v>0</v>
      </c>
      <c r="BA1047" s="140">
        <v>0</v>
      </c>
      <c r="BB1047" s="140">
        <v>0</v>
      </c>
      <c r="BC1047" s="140">
        <v>0</v>
      </c>
      <c r="BD1047" s="140">
        <v>0</v>
      </c>
      <c r="BE1047" s="140">
        <v>0</v>
      </c>
      <c r="BF1047" s="140">
        <v>0</v>
      </c>
      <c r="BG1047" s="140">
        <v>0</v>
      </c>
      <c r="BH1047" s="140">
        <v>0</v>
      </c>
      <c r="BI1047" s="140">
        <v>0</v>
      </c>
      <c r="BJ1047" s="140">
        <v>0</v>
      </c>
      <c r="BK1047" s="140">
        <v>0</v>
      </c>
      <c r="BL1047" s="140">
        <v>0</v>
      </c>
      <c r="BM1047" s="140">
        <v>0</v>
      </c>
      <c r="BN1047" s="140">
        <v>0</v>
      </c>
      <c r="BO1047" s="140">
        <v>0</v>
      </c>
      <c r="BV1047" s="43" t="s">
        <v>329</v>
      </c>
      <c r="BX1047" s="43">
        <v>19</v>
      </c>
      <c r="CD1047" s="90">
        <f t="shared" si="143"/>
        <v>0.33333333333333331</v>
      </c>
      <c r="CE1047" s="90">
        <f t="shared" si="143"/>
        <v>0.33333333333333331</v>
      </c>
      <c r="CF1047" s="90">
        <f t="shared" si="143"/>
        <v>0.33333333333333331</v>
      </c>
      <c r="CT1047" s="90">
        <f t="shared" si="144"/>
        <v>0.33333333333333331</v>
      </c>
      <c r="CU1047" s="90">
        <f t="shared" si="145"/>
        <v>1</v>
      </c>
    </row>
    <row r="1048" spans="1:99" ht="12" customHeight="1">
      <c r="A1048" s="43">
        <v>5802</v>
      </c>
      <c r="B1048" s="89" t="s">
        <v>2753</v>
      </c>
      <c r="C1048" s="89" t="s">
        <v>2806</v>
      </c>
      <c r="D1048" s="89" t="s">
        <v>2807</v>
      </c>
      <c r="F1048" s="43">
        <v>526505</v>
      </c>
      <c r="G1048" s="43">
        <v>175773</v>
      </c>
      <c r="H1048" s="89" t="s">
        <v>177</v>
      </c>
      <c r="K1048" s="140">
        <v>0</v>
      </c>
      <c r="L1048" s="140">
        <v>11</v>
      </c>
      <c r="M1048" s="140">
        <v>11</v>
      </c>
      <c r="N1048" s="140">
        <v>11</v>
      </c>
      <c r="O1048" s="140">
        <v>11</v>
      </c>
      <c r="P1048" s="43" t="s">
        <v>329</v>
      </c>
      <c r="Q1048" s="89" t="s">
        <v>2808</v>
      </c>
      <c r="R1048" s="43" t="s">
        <v>2778</v>
      </c>
      <c r="S1048" s="125">
        <v>43887</v>
      </c>
      <c r="V1048" s="43" t="s">
        <v>317</v>
      </c>
      <c r="X1048" s="43" t="s">
        <v>318</v>
      </c>
      <c r="Y1048" s="43" t="s">
        <v>336</v>
      </c>
      <c r="Z1048" s="43" t="s">
        <v>320</v>
      </c>
      <c r="AA1048" s="43" t="s">
        <v>33</v>
      </c>
      <c r="AB1048" s="144">
        <v>3.9999999105930301E-2</v>
      </c>
      <c r="AF1048" s="43" t="s">
        <v>75</v>
      </c>
      <c r="AG1048" s="43" t="s">
        <v>322</v>
      </c>
      <c r="AH1048" s="43" t="s">
        <v>838</v>
      </c>
      <c r="AJ1048" s="140">
        <v>0</v>
      </c>
      <c r="AK1048" s="140">
        <v>0</v>
      </c>
      <c r="AL1048" s="140">
        <v>0</v>
      </c>
      <c r="AM1048" s="140">
        <v>0</v>
      </c>
      <c r="AN1048" s="140">
        <v>0</v>
      </c>
      <c r="AO1048" s="140">
        <v>7</v>
      </c>
      <c r="AP1048" s="140">
        <v>4</v>
      </c>
      <c r="AQ1048" s="140">
        <v>0</v>
      </c>
      <c r="AR1048" s="140">
        <v>0</v>
      </c>
      <c r="AS1048" s="140">
        <v>0</v>
      </c>
      <c r="AT1048" s="140">
        <v>0</v>
      </c>
      <c r="AU1048" s="140">
        <v>0</v>
      </c>
      <c r="AV1048" s="140">
        <v>7</v>
      </c>
      <c r="AW1048" s="140">
        <v>4</v>
      </c>
      <c r="AX1048" s="140">
        <v>0</v>
      </c>
      <c r="AY1048" s="140">
        <v>0</v>
      </c>
      <c r="AZ1048" s="140">
        <v>0</v>
      </c>
      <c r="BA1048" s="140">
        <v>0</v>
      </c>
      <c r="BB1048" s="140">
        <v>0</v>
      </c>
      <c r="BC1048" s="140">
        <v>0</v>
      </c>
      <c r="BD1048" s="140">
        <v>0</v>
      </c>
      <c r="BE1048" s="140">
        <v>0</v>
      </c>
      <c r="BF1048" s="140">
        <v>0</v>
      </c>
      <c r="BG1048" s="140">
        <v>0</v>
      </c>
      <c r="BH1048" s="140">
        <v>0</v>
      </c>
      <c r="BI1048" s="140">
        <v>0</v>
      </c>
      <c r="BJ1048" s="140">
        <v>0</v>
      </c>
      <c r="BK1048" s="140">
        <v>0</v>
      </c>
      <c r="BL1048" s="140">
        <v>0</v>
      </c>
      <c r="BM1048" s="140">
        <v>0</v>
      </c>
      <c r="BN1048" s="140">
        <v>0</v>
      </c>
      <c r="BO1048" s="140">
        <v>0</v>
      </c>
      <c r="BV1048" s="43" t="s">
        <v>329</v>
      </c>
      <c r="BX1048" s="43">
        <v>19</v>
      </c>
      <c r="CD1048" s="90">
        <f t="shared" si="143"/>
        <v>3.6666666666666665</v>
      </c>
      <c r="CE1048" s="90">
        <f t="shared" si="143"/>
        <v>3.6666666666666665</v>
      </c>
      <c r="CF1048" s="90">
        <f t="shared" si="143"/>
        <v>3.6666666666666665</v>
      </c>
      <c r="CT1048" s="90">
        <f t="shared" si="144"/>
        <v>3.6666666666666665</v>
      </c>
      <c r="CU1048" s="90">
        <f t="shared" si="145"/>
        <v>11</v>
      </c>
    </row>
    <row r="1049" spans="1:99" ht="12" customHeight="1">
      <c r="A1049" s="43">
        <v>5803</v>
      </c>
      <c r="B1049" s="89" t="s">
        <v>2753</v>
      </c>
      <c r="C1049" s="89" t="s">
        <v>2809</v>
      </c>
      <c r="D1049" s="89" t="s">
        <v>2810</v>
      </c>
      <c r="F1049" s="43">
        <v>526534</v>
      </c>
      <c r="G1049" s="43">
        <v>175822</v>
      </c>
      <c r="H1049" s="89" t="s">
        <v>177</v>
      </c>
      <c r="K1049" s="140">
        <v>0</v>
      </c>
      <c r="L1049" s="140">
        <v>6</v>
      </c>
      <c r="M1049" s="140">
        <v>6</v>
      </c>
      <c r="N1049" s="140">
        <v>6</v>
      </c>
      <c r="O1049" s="140">
        <v>6</v>
      </c>
      <c r="Q1049" s="89" t="s">
        <v>2811</v>
      </c>
      <c r="R1049" s="43" t="s">
        <v>2778</v>
      </c>
      <c r="S1049" s="125">
        <v>43892</v>
      </c>
      <c r="V1049" s="43" t="s">
        <v>317</v>
      </c>
      <c r="X1049" s="43" t="s">
        <v>318</v>
      </c>
      <c r="Y1049" s="43" t="s">
        <v>336</v>
      </c>
      <c r="Z1049" s="43" t="s">
        <v>320</v>
      </c>
      <c r="AA1049" s="43" t="s">
        <v>33</v>
      </c>
      <c r="AB1049" s="144">
        <v>8.0000003799796104E-3</v>
      </c>
      <c r="AF1049" s="43" t="s">
        <v>75</v>
      </c>
      <c r="AG1049" s="43" t="s">
        <v>322</v>
      </c>
      <c r="AH1049" s="43" t="s">
        <v>838</v>
      </c>
      <c r="AJ1049" s="140">
        <v>0</v>
      </c>
      <c r="AK1049" s="140">
        <v>0</v>
      </c>
      <c r="AL1049" s="140">
        <v>0</v>
      </c>
      <c r="AM1049" s="140">
        <v>0</v>
      </c>
      <c r="AN1049" s="140">
        <v>0</v>
      </c>
      <c r="AO1049" s="140">
        <v>6</v>
      </c>
      <c r="AP1049" s="140">
        <v>0</v>
      </c>
      <c r="AQ1049" s="140">
        <v>0</v>
      </c>
      <c r="AR1049" s="140">
        <v>0</v>
      </c>
      <c r="AS1049" s="140">
        <v>0</v>
      </c>
      <c r="AT1049" s="140">
        <v>0</v>
      </c>
      <c r="AU1049" s="140">
        <v>0</v>
      </c>
      <c r="AV1049" s="140">
        <v>6</v>
      </c>
      <c r="AW1049" s="140">
        <v>0</v>
      </c>
      <c r="AX1049" s="140">
        <v>0</v>
      </c>
      <c r="AY1049" s="140">
        <v>0</v>
      </c>
      <c r="AZ1049" s="140">
        <v>0</v>
      </c>
      <c r="BA1049" s="140">
        <v>0</v>
      </c>
      <c r="BB1049" s="140">
        <v>0</v>
      </c>
      <c r="BC1049" s="140">
        <v>0</v>
      </c>
      <c r="BD1049" s="140">
        <v>0</v>
      </c>
      <c r="BE1049" s="140">
        <v>0</v>
      </c>
      <c r="BF1049" s="140">
        <v>0</v>
      </c>
      <c r="BG1049" s="140">
        <v>0</v>
      </c>
      <c r="BH1049" s="140">
        <v>0</v>
      </c>
      <c r="BI1049" s="140">
        <v>0</v>
      </c>
      <c r="BJ1049" s="140">
        <v>0</v>
      </c>
      <c r="BK1049" s="140">
        <v>0</v>
      </c>
      <c r="BL1049" s="140">
        <v>0</v>
      </c>
      <c r="BM1049" s="140">
        <v>0</v>
      </c>
      <c r="BN1049" s="140">
        <v>0</v>
      </c>
      <c r="BO1049" s="140">
        <v>0</v>
      </c>
      <c r="BV1049" s="43" t="s">
        <v>329</v>
      </c>
      <c r="BX1049" s="43">
        <v>19</v>
      </c>
      <c r="CD1049" s="90">
        <f t="shared" si="143"/>
        <v>2</v>
      </c>
      <c r="CE1049" s="90">
        <f t="shared" si="143"/>
        <v>2</v>
      </c>
      <c r="CF1049" s="90">
        <f t="shared" si="143"/>
        <v>2</v>
      </c>
      <c r="CT1049" s="90">
        <f t="shared" si="144"/>
        <v>2</v>
      </c>
      <c r="CU1049" s="90">
        <f t="shared" si="145"/>
        <v>6</v>
      </c>
    </row>
    <row r="1050" spans="1:99" ht="12" customHeight="1">
      <c r="A1050" s="43">
        <v>5804</v>
      </c>
      <c r="B1050" s="89" t="s">
        <v>2753</v>
      </c>
      <c r="C1050" s="89" t="s">
        <v>2812</v>
      </c>
      <c r="D1050" s="89" t="s">
        <v>2813</v>
      </c>
      <c r="F1050" s="43">
        <v>526485</v>
      </c>
      <c r="G1050" s="43">
        <v>175743</v>
      </c>
      <c r="H1050" s="89" t="s">
        <v>177</v>
      </c>
      <c r="K1050" s="140">
        <v>0</v>
      </c>
      <c r="L1050" s="140">
        <v>5</v>
      </c>
      <c r="M1050" s="140">
        <v>5</v>
      </c>
      <c r="N1050" s="140">
        <v>5</v>
      </c>
      <c r="O1050" s="140">
        <v>5</v>
      </c>
      <c r="Q1050" s="89" t="s">
        <v>2814</v>
      </c>
      <c r="R1050" s="43" t="s">
        <v>2778</v>
      </c>
      <c r="S1050" s="125">
        <v>43895</v>
      </c>
      <c r="V1050" s="43" t="s">
        <v>317</v>
      </c>
      <c r="X1050" s="43" t="s">
        <v>318</v>
      </c>
      <c r="Y1050" s="43" t="s">
        <v>336</v>
      </c>
      <c r="Z1050" s="43" t="s">
        <v>320</v>
      </c>
      <c r="AA1050" s="43" t="s">
        <v>33</v>
      </c>
      <c r="AB1050" s="144">
        <v>3.5999998450279201E-2</v>
      </c>
      <c r="AF1050" s="43" t="s">
        <v>75</v>
      </c>
      <c r="AG1050" s="43" t="s">
        <v>322</v>
      </c>
      <c r="AH1050" s="43" t="s">
        <v>838</v>
      </c>
      <c r="AJ1050" s="140">
        <v>0</v>
      </c>
      <c r="AK1050" s="140">
        <v>0</v>
      </c>
      <c r="AL1050" s="140">
        <v>0</v>
      </c>
      <c r="AM1050" s="140">
        <v>0</v>
      </c>
      <c r="AN1050" s="140">
        <v>0</v>
      </c>
      <c r="AO1050" s="140">
        <v>0</v>
      </c>
      <c r="AP1050" s="140">
        <v>0</v>
      </c>
      <c r="AQ1050" s="140">
        <v>5</v>
      </c>
      <c r="AR1050" s="140">
        <v>0</v>
      </c>
      <c r="AS1050" s="140">
        <v>0</v>
      </c>
      <c r="AT1050" s="140">
        <v>0</v>
      </c>
      <c r="AU1050" s="140">
        <v>0</v>
      </c>
      <c r="AV1050" s="140">
        <v>0</v>
      </c>
      <c r="AW1050" s="140">
        <v>0</v>
      </c>
      <c r="AX1050" s="140">
        <v>5</v>
      </c>
      <c r="AY1050" s="140">
        <v>0</v>
      </c>
      <c r="AZ1050" s="140">
        <v>0</v>
      </c>
      <c r="BA1050" s="140">
        <v>0</v>
      </c>
      <c r="BB1050" s="140">
        <v>0</v>
      </c>
      <c r="BC1050" s="140">
        <v>0</v>
      </c>
      <c r="BD1050" s="140">
        <v>0</v>
      </c>
      <c r="BE1050" s="140">
        <v>0</v>
      </c>
      <c r="BF1050" s="140">
        <v>0</v>
      </c>
      <c r="BG1050" s="140">
        <v>0</v>
      </c>
      <c r="BH1050" s="140">
        <v>0</v>
      </c>
      <c r="BI1050" s="140">
        <v>0</v>
      </c>
      <c r="BJ1050" s="140">
        <v>0</v>
      </c>
      <c r="BK1050" s="140">
        <v>0</v>
      </c>
      <c r="BL1050" s="140">
        <v>0</v>
      </c>
      <c r="BM1050" s="140">
        <v>0</v>
      </c>
      <c r="BN1050" s="140">
        <v>0</v>
      </c>
      <c r="BO1050" s="140">
        <v>0</v>
      </c>
      <c r="BV1050" s="43" t="s">
        <v>329</v>
      </c>
      <c r="BX1050" s="43">
        <v>19</v>
      </c>
      <c r="CD1050" s="90">
        <f t="shared" si="143"/>
        <v>1.6666666666666667</v>
      </c>
      <c r="CE1050" s="90">
        <f t="shared" si="143"/>
        <v>1.6666666666666667</v>
      </c>
      <c r="CF1050" s="90">
        <f t="shared" si="143"/>
        <v>1.6666666666666667</v>
      </c>
      <c r="CT1050" s="90">
        <f t="shared" si="144"/>
        <v>1.6666666666666667</v>
      </c>
      <c r="CU1050" s="90">
        <f t="shared" si="145"/>
        <v>5</v>
      </c>
    </row>
    <row r="1051" spans="1:99" ht="12" customHeight="1">
      <c r="A1051" s="43">
        <v>6032</v>
      </c>
      <c r="B1051" s="89" t="s">
        <v>2753</v>
      </c>
      <c r="C1051" s="89" t="s">
        <v>2815</v>
      </c>
      <c r="D1051" s="89" t="s">
        <v>2002</v>
      </c>
      <c r="F1051" s="43">
        <v>524386</v>
      </c>
      <c r="G1051" s="43">
        <v>175298</v>
      </c>
      <c r="H1051" s="89" t="s">
        <v>178</v>
      </c>
      <c r="K1051" s="140">
        <v>1</v>
      </c>
      <c r="L1051" s="140">
        <v>2</v>
      </c>
      <c r="M1051" s="140">
        <v>1</v>
      </c>
      <c r="N1051" s="140">
        <v>4</v>
      </c>
      <c r="O1051" s="140">
        <v>3</v>
      </c>
      <c r="Q1051" s="89" t="s">
        <v>2816</v>
      </c>
      <c r="R1051" s="43" t="s">
        <v>2725</v>
      </c>
      <c r="S1051" s="125">
        <v>43886</v>
      </c>
      <c r="V1051" s="43" t="s">
        <v>317</v>
      </c>
      <c r="X1051" s="43" t="s">
        <v>318</v>
      </c>
      <c r="Y1051" s="43" t="s">
        <v>336</v>
      </c>
      <c r="Z1051" s="43" t="s">
        <v>320</v>
      </c>
      <c r="AA1051" s="43" t="s">
        <v>321</v>
      </c>
      <c r="AB1051" s="144">
        <v>6.0000000521540598E-3</v>
      </c>
      <c r="AF1051" s="43" t="s">
        <v>75</v>
      </c>
      <c r="AG1051" s="43" t="s">
        <v>322</v>
      </c>
      <c r="AJ1051" s="140">
        <v>0</v>
      </c>
      <c r="AK1051" s="140">
        <v>0</v>
      </c>
      <c r="AL1051" s="140">
        <v>0</v>
      </c>
      <c r="AM1051" s="140">
        <v>0</v>
      </c>
      <c r="AN1051" s="140">
        <v>0</v>
      </c>
      <c r="AO1051" s="140">
        <v>1</v>
      </c>
      <c r="AP1051" s="140">
        <v>1</v>
      </c>
      <c r="AQ1051" s="140">
        <v>0</v>
      </c>
      <c r="AR1051" s="140">
        <v>0</v>
      </c>
      <c r="AS1051" s="140">
        <v>-1</v>
      </c>
      <c r="AT1051" s="140">
        <v>0</v>
      </c>
      <c r="AU1051" s="140">
        <v>0</v>
      </c>
      <c r="AV1051" s="140">
        <v>1</v>
      </c>
      <c r="AW1051" s="140">
        <v>1</v>
      </c>
      <c r="AX1051" s="140">
        <v>0</v>
      </c>
      <c r="AY1051" s="140">
        <v>0</v>
      </c>
      <c r="AZ1051" s="140">
        <v>-1</v>
      </c>
      <c r="BA1051" s="140">
        <v>0</v>
      </c>
      <c r="BB1051" s="140">
        <v>0</v>
      </c>
      <c r="BC1051" s="140">
        <v>0</v>
      </c>
      <c r="BD1051" s="140">
        <v>0</v>
      </c>
      <c r="BE1051" s="140">
        <v>0</v>
      </c>
      <c r="BF1051" s="140">
        <v>0</v>
      </c>
      <c r="BG1051" s="140">
        <v>0</v>
      </c>
      <c r="BH1051" s="140">
        <v>0</v>
      </c>
      <c r="BI1051" s="140">
        <v>0</v>
      </c>
      <c r="BJ1051" s="140">
        <v>0</v>
      </c>
      <c r="BK1051" s="140">
        <v>0</v>
      </c>
      <c r="BL1051" s="140">
        <v>0</v>
      </c>
      <c r="BM1051" s="140">
        <v>0</v>
      </c>
      <c r="BN1051" s="140">
        <v>0</v>
      </c>
      <c r="BO1051" s="140">
        <v>0</v>
      </c>
      <c r="BX1051" s="43">
        <v>19</v>
      </c>
      <c r="CD1051" s="90">
        <f t="shared" si="143"/>
        <v>0.33333333333333331</v>
      </c>
      <c r="CE1051" s="90">
        <f t="shared" si="143"/>
        <v>0.33333333333333331</v>
      </c>
      <c r="CF1051" s="90">
        <f t="shared" si="143"/>
        <v>0.33333333333333331</v>
      </c>
      <c r="CT1051" s="90">
        <f t="shared" si="144"/>
        <v>0.33333333333333331</v>
      </c>
      <c r="CU1051" s="90">
        <f t="shared" si="145"/>
        <v>1</v>
      </c>
    </row>
    <row r="1052" spans="1:99" ht="12" customHeight="1">
      <c r="A1052" s="43">
        <v>6032</v>
      </c>
      <c r="B1052" s="89" t="s">
        <v>2753</v>
      </c>
      <c r="C1052" s="89" t="s">
        <v>2815</v>
      </c>
      <c r="D1052" s="89" t="s">
        <v>2002</v>
      </c>
      <c r="F1052" s="43">
        <v>524386</v>
      </c>
      <c r="G1052" s="43">
        <v>175298</v>
      </c>
      <c r="H1052" s="89" t="s">
        <v>178</v>
      </c>
      <c r="K1052" s="140">
        <v>0</v>
      </c>
      <c r="L1052" s="140">
        <v>2</v>
      </c>
      <c r="M1052" s="140">
        <v>2</v>
      </c>
      <c r="N1052" s="140">
        <v>4</v>
      </c>
      <c r="O1052" s="140">
        <v>3</v>
      </c>
      <c r="Q1052" s="89" t="s">
        <v>2816</v>
      </c>
      <c r="R1052" s="43" t="s">
        <v>2725</v>
      </c>
      <c r="S1052" s="125">
        <v>43886</v>
      </c>
      <c r="V1052" s="43" t="s">
        <v>317</v>
      </c>
      <c r="X1052" s="43" t="s">
        <v>318</v>
      </c>
      <c r="Y1052" s="43" t="s">
        <v>336</v>
      </c>
      <c r="Z1052" s="43" t="s">
        <v>320</v>
      </c>
      <c r="AA1052" s="43" t="s">
        <v>30</v>
      </c>
      <c r="AB1052" s="144">
        <v>4.9999998882412902E-3</v>
      </c>
      <c r="AF1052" s="43" t="s">
        <v>75</v>
      </c>
      <c r="AG1052" s="43" t="s">
        <v>322</v>
      </c>
      <c r="AJ1052" s="140">
        <v>0</v>
      </c>
      <c r="AK1052" s="140">
        <v>0</v>
      </c>
      <c r="AL1052" s="140">
        <v>0</v>
      </c>
      <c r="AM1052" s="140">
        <v>0</v>
      </c>
      <c r="AN1052" s="140">
        <v>1</v>
      </c>
      <c r="AO1052" s="140">
        <v>1</v>
      </c>
      <c r="AP1052" s="140">
        <v>0</v>
      </c>
      <c r="AQ1052" s="140">
        <v>0</v>
      </c>
      <c r="AR1052" s="140">
        <v>0</v>
      </c>
      <c r="AS1052" s="140">
        <v>0</v>
      </c>
      <c r="AT1052" s="140">
        <v>0</v>
      </c>
      <c r="AU1052" s="140">
        <v>1</v>
      </c>
      <c r="AV1052" s="140">
        <v>1</v>
      </c>
      <c r="AW1052" s="140">
        <v>0</v>
      </c>
      <c r="AX1052" s="140">
        <v>0</v>
      </c>
      <c r="AY1052" s="140">
        <v>0</v>
      </c>
      <c r="AZ1052" s="140">
        <v>0</v>
      </c>
      <c r="BA1052" s="140">
        <v>0</v>
      </c>
      <c r="BB1052" s="140">
        <v>0</v>
      </c>
      <c r="BC1052" s="140">
        <v>0</v>
      </c>
      <c r="BD1052" s="140">
        <v>0</v>
      </c>
      <c r="BE1052" s="140">
        <v>0</v>
      </c>
      <c r="BF1052" s="140">
        <v>0</v>
      </c>
      <c r="BG1052" s="140">
        <v>0</v>
      </c>
      <c r="BH1052" s="140">
        <v>0</v>
      </c>
      <c r="BI1052" s="140">
        <v>0</v>
      </c>
      <c r="BJ1052" s="140">
        <v>0</v>
      </c>
      <c r="BK1052" s="140">
        <v>0</v>
      </c>
      <c r="BL1052" s="140">
        <v>0</v>
      </c>
      <c r="BM1052" s="140">
        <v>0</v>
      </c>
      <c r="BN1052" s="140">
        <v>0</v>
      </c>
      <c r="BO1052" s="140">
        <v>0</v>
      </c>
      <c r="BX1052" s="43">
        <v>19</v>
      </c>
      <c r="CD1052" s="90">
        <f t="shared" si="143"/>
        <v>0.66666666666666663</v>
      </c>
      <c r="CE1052" s="90">
        <f t="shared" si="143"/>
        <v>0.66666666666666663</v>
      </c>
      <c r="CF1052" s="90">
        <f t="shared" si="143"/>
        <v>0.66666666666666663</v>
      </c>
      <c r="CT1052" s="90">
        <f t="shared" si="144"/>
        <v>0.66666666666666663</v>
      </c>
      <c r="CU1052" s="90">
        <f t="shared" si="145"/>
        <v>2</v>
      </c>
    </row>
    <row r="1053" spans="1:99" ht="12" customHeight="1">
      <c r="A1053" s="43">
        <v>6106</v>
      </c>
      <c r="B1053" s="89" t="s">
        <v>2753</v>
      </c>
      <c r="C1053" s="89" t="s">
        <v>2817</v>
      </c>
      <c r="D1053" s="89" t="s">
        <v>2818</v>
      </c>
      <c r="F1053" s="43">
        <v>527089</v>
      </c>
      <c r="G1053" s="43">
        <v>173917</v>
      </c>
      <c r="H1053" s="89" t="s">
        <v>179</v>
      </c>
      <c r="K1053" s="140">
        <v>2</v>
      </c>
      <c r="L1053" s="140">
        <v>1</v>
      </c>
      <c r="M1053" s="140">
        <v>-1</v>
      </c>
      <c r="N1053" s="140">
        <v>1</v>
      </c>
      <c r="O1053" s="140">
        <v>-1</v>
      </c>
      <c r="Q1053" s="89" t="s">
        <v>2819</v>
      </c>
      <c r="R1053" s="43" t="s">
        <v>2725</v>
      </c>
      <c r="S1053" s="125">
        <v>43894</v>
      </c>
      <c r="V1053" s="43" t="s">
        <v>317</v>
      </c>
      <c r="X1053" s="43" t="s">
        <v>318</v>
      </c>
      <c r="Y1053" s="43" t="s">
        <v>348</v>
      </c>
      <c r="Z1053" s="43" t="s">
        <v>320</v>
      </c>
      <c r="AA1053" s="43" t="s">
        <v>22</v>
      </c>
      <c r="AB1053" s="144">
        <v>3.20000015199184E-2</v>
      </c>
      <c r="AF1053" s="43" t="s">
        <v>75</v>
      </c>
      <c r="AG1053" s="43" t="s">
        <v>322</v>
      </c>
      <c r="AJ1053" s="140">
        <v>0</v>
      </c>
      <c r="AK1053" s="140">
        <v>0</v>
      </c>
      <c r="AL1053" s="140">
        <v>0</v>
      </c>
      <c r="AM1053" s="140">
        <v>0</v>
      </c>
      <c r="AN1053" s="140">
        <v>0</v>
      </c>
      <c r="AO1053" s="140">
        <v>-1</v>
      </c>
      <c r="AP1053" s="140">
        <v>-1</v>
      </c>
      <c r="AQ1053" s="140">
        <v>0</v>
      </c>
      <c r="AR1053" s="140">
        <v>0</v>
      </c>
      <c r="AS1053" s="140">
        <v>1</v>
      </c>
      <c r="AT1053" s="140">
        <v>0</v>
      </c>
      <c r="AU1053" s="140">
        <v>0</v>
      </c>
      <c r="AV1053" s="140">
        <v>-1</v>
      </c>
      <c r="AW1053" s="140">
        <v>-1</v>
      </c>
      <c r="AX1053" s="140">
        <v>0</v>
      </c>
      <c r="AY1053" s="140">
        <v>0</v>
      </c>
      <c r="AZ1053" s="140">
        <v>0</v>
      </c>
      <c r="BA1053" s="140">
        <v>0</v>
      </c>
      <c r="BB1053" s="140">
        <v>0</v>
      </c>
      <c r="BC1053" s="140">
        <v>0</v>
      </c>
      <c r="BD1053" s="140">
        <v>0</v>
      </c>
      <c r="BE1053" s="140">
        <v>0</v>
      </c>
      <c r="BF1053" s="140">
        <v>0</v>
      </c>
      <c r="BG1053" s="140">
        <v>1</v>
      </c>
      <c r="BH1053" s="140">
        <v>0</v>
      </c>
      <c r="BI1053" s="140">
        <v>0</v>
      </c>
      <c r="BJ1053" s="140">
        <v>0</v>
      </c>
      <c r="BK1053" s="140">
        <v>0</v>
      </c>
      <c r="BL1053" s="140">
        <v>0</v>
      </c>
      <c r="BM1053" s="140">
        <v>0</v>
      </c>
      <c r="BN1053" s="140">
        <v>0</v>
      </c>
      <c r="BO1053" s="140">
        <v>0</v>
      </c>
      <c r="BX1053" s="43">
        <v>19</v>
      </c>
      <c r="CD1053" s="90">
        <f t="shared" si="143"/>
        <v>-0.33333333333333331</v>
      </c>
      <c r="CE1053" s="90">
        <f t="shared" si="143"/>
        <v>-0.33333333333333331</v>
      </c>
      <c r="CF1053" s="90">
        <f t="shared" si="143"/>
        <v>-0.33333333333333331</v>
      </c>
      <c r="CT1053" s="90">
        <f t="shared" si="144"/>
        <v>-0.33333333333333331</v>
      </c>
      <c r="CU1053" s="90">
        <f t="shared" si="145"/>
        <v>-1</v>
      </c>
    </row>
    <row r="1054" spans="1:99" ht="12" customHeight="1">
      <c r="A1054" s="43">
        <v>6238</v>
      </c>
      <c r="B1054" s="89" t="s">
        <v>2753</v>
      </c>
      <c r="C1054" s="89" t="s">
        <v>2820</v>
      </c>
      <c r="D1054" s="89" t="s">
        <v>2821</v>
      </c>
      <c r="F1054" s="43">
        <v>524777</v>
      </c>
      <c r="G1054" s="43">
        <v>173324</v>
      </c>
      <c r="H1054" s="89" t="s">
        <v>176</v>
      </c>
      <c r="K1054" s="140">
        <v>0</v>
      </c>
      <c r="L1054" s="140">
        <v>3</v>
      </c>
      <c r="M1054" s="140">
        <v>3</v>
      </c>
      <c r="N1054" s="140">
        <v>3</v>
      </c>
      <c r="O1054" s="140">
        <v>3</v>
      </c>
      <c r="Q1054" s="89" t="s">
        <v>2822</v>
      </c>
      <c r="R1054" s="43" t="s">
        <v>2725</v>
      </c>
      <c r="S1054" s="125">
        <v>43542</v>
      </c>
      <c r="V1054" s="43" t="s">
        <v>317</v>
      </c>
      <c r="X1054" s="43" t="s">
        <v>318</v>
      </c>
      <c r="Y1054" s="43" t="s">
        <v>361</v>
      </c>
      <c r="Z1054" s="43" t="s">
        <v>320</v>
      </c>
      <c r="AA1054" s="43" t="s">
        <v>353</v>
      </c>
      <c r="AB1054" s="144">
        <v>1.4000000432133701E-2</v>
      </c>
      <c r="AF1054" s="43" t="s">
        <v>75</v>
      </c>
      <c r="AG1054" s="43" t="s">
        <v>322</v>
      </c>
      <c r="AJ1054" s="140">
        <v>0</v>
      </c>
      <c r="AK1054" s="140">
        <v>0</v>
      </c>
      <c r="AL1054" s="140">
        <v>0</v>
      </c>
      <c r="AM1054" s="140">
        <v>0</v>
      </c>
      <c r="AN1054" s="140">
        <v>0</v>
      </c>
      <c r="AO1054" s="140">
        <v>0</v>
      </c>
      <c r="AP1054" s="140">
        <v>3</v>
      </c>
      <c r="AQ1054" s="140">
        <v>0</v>
      </c>
      <c r="AR1054" s="140">
        <v>0</v>
      </c>
      <c r="AS1054" s="140">
        <v>0</v>
      </c>
      <c r="AT1054" s="140">
        <v>0</v>
      </c>
      <c r="AU1054" s="140">
        <v>0</v>
      </c>
      <c r="AV1054" s="140">
        <v>0</v>
      </c>
      <c r="AW1054" s="140">
        <v>3</v>
      </c>
      <c r="AX1054" s="140">
        <v>0</v>
      </c>
      <c r="AY1054" s="140">
        <v>0</v>
      </c>
      <c r="AZ1054" s="140">
        <v>0</v>
      </c>
      <c r="BA1054" s="140">
        <v>0</v>
      </c>
      <c r="BB1054" s="140">
        <v>0</v>
      </c>
      <c r="BC1054" s="140">
        <v>0</v>
      </c>
      <c r="BD1054" s="140">
        <v>0</v>
      </c>
      <c r="BE1054" s="140">
        <v>0</v>
      </c>
      <c r="BF1054" s="140">
        <v>0</v>
      </c>
      <c r="BG1054" s="140">
        <v>0</v>
      </c>
      <c r="BH1054" s="140">
        <v>0</v>
      </c>
      <c r="BI1054" s="140">
        <v>0</v>
      </c>
      <c r="BJ1054" s="140">
        <v>0</v>
      </c>
      <c r="BK1054" s="140">
        <v>0</v>
      </c>
      <c r="BL1054" s="140">
        <v>0</v>
      </c>
      <c r="BM1054" s="140">
        <v>0</v>
      </c>
      <c r="BN1054" s="140">
        <v>0</v>
      </c>
      <c r="BO1054" s="140">
        <v>0</v>
      </c>
      <c r="BX1054" s="43">
        <v>10</v>
      </c>
      <c r="CD1054" s="90">
        <f t="shared" si="143"/>
        <v>1</v>
      </c>
      <c r="CE1054" s="90">
        <f t="shared" si="143"/>
        <v>1</v>
      </c>
      <c r="CF1054" s="90">
        <f t="shared" si="143"/>
        <v>1</v>
      </c>
      <c r="CT1054" s="90">
        <f t="shared" si="144"/>
        <v>1</v>
      </c>
      <c r="CU1054" s="90">
        <f t="shared" si="145"/>
        <v>3</v>
      </c>
    </row>
    <row r="1055" spans="1:99" ht="12" customHeight="1">
      <c r="A1055" s="43">
        <v>6280</v>
      </c>
      <c r="B1055" s="89" t="s">
        <v>2753</v>
      </c>
      <c r="C1055" s="89" t="s">
        <v>2823</v>
      </c>
      <c r="D1055" s="89" t="s">
        <v>2824</v>
      </c>
      <c r="F1055" s="43">
        <v>523210</v>
      </c>
      <c r="G1055" s="43">
        <v>175380</v>
      </c>
      <c r="H1055" s="89" t="s">
        <v>181</v>
      </c>
      <c r="K1055" s="140">
        <v>0</v>
      </c>
      <c r="L1055" s="140">
        <v>9</v>
      </c>
      <c r="M1055" s="140">
        <v>9</v>
      </c>
      <c r="N1055" s="140">
        <v>9</v>
      </c>
      <c r="O1055" s="140">
        <v>9</v>
      </c>
      <c r="Q1055" s="89" t="s">
        <v>2825</v>
      </c>
      <c r="R1055" s="43" t="s">
        <v>2725</v>
      </c>
      <c r="S1055" s="125">
        <v>43815</v>
      </c>
      <c r="V1055" s="43" t="s">
        <v>317</v>
      </c>
      <c r="X1055" s="43" t="s">
        <v>318</v>
      </c>
      <c r="Y1055" s="43" t="s">
        <v>379</v>
      </c>
      <c r="Z1055" s="43" t="s">
        <v>320</v>
      </c>
      <c r="AA1055" s="43" t="s">
        <v>340</v>
      </c>
      <c r="AB1055" s="144">
        <v>5.9999998658895499E-2</v>
      </c>
      <c r="AF1055" s="43" t="s">
        <v>75</v>
      </c>
      <c r="AG1055" s="43" t="s">
        <v>322</v>
      </c>
      <c r="AJ1055" s="140">
        <v>0</v>
      </c>
      <c r="AK1055" s="140">
        <v>0</v>
      </c>
      <c r="AL1055" s="140">
        <v>0</v>
      </c>
      <c r="AM1055" s="140">
        <v>0</v>
      </c>
      <c r="AN1055" s="140">
        <v>0</v>
      </c>
      <c r="AO1055" s="140">
        <v>2</v>
      </c>
      <c r="AP1055" s="140">
        <v>6</v>
      </c>
      <c r="AQ1055" s="140">
        <v>1</v>
      </c>
      <c r="AR1055" s="140">
        <v>0</v>
      </c>
      <c r="AS1055" s="140">
        <v>0</v>
      </c>
      <c r="AT1055" s="140">
        <v>0</v>
      </c>
      <c r="AU1055" s="140">
        <v>0</v>
      </c>
      <c r="AV1055" s="140">
        <v>2</v>
      </c>
      <c r="AW1055" s="140">
        <v>6</v>
      </c>
      <c r="AX1055" s="140">
        <v>1</v>
      </c>
      <c r="AY1055" s="140">
        <v>0</v>
      </c>
      <c r="AZ1055" s="140">
        <v>0</v>
      </c>
      <c r="BA1055" s="140">
        <v>0</v>
      </c>
      <c r="BB1055" s="140">
        <v>0</v>
      </c>
      <c r="BC1055" s="140">
        <v>0</v>
      </c>
      <c r="BD1055" s="140">
        <v>0</v>
      </c>
      <c r="BE1055" s="140">
        <v>0</v>
      </c>
      <c r="BF1055" s="140">
        <v>0</v>
      </c>
      <c r="BG1055" s="140">
        <v>0</v>
      </c>
      <c r="BH1055" s="140">
        <v>0</v>
      </c>
      <c r="BI1055" s="140">
        <v>0</v>
      </c>
      <c r="BJ1055" s="140">
        <v>0</v>
      </c>
      <c r="BK1055" s="140">
        <v>0</v>
      </c>
      <c r="BL1055" s="140">
        <v>0</v>
      </c>
      <c r="BM1055" s="140">
        <v>0</v>
      </c>
      <c r="BN1055" s="140">
        <v>0</v>
      </c>
      <c r="BO1055" s="140">
        <v>0</v>
      </c>
      <c r="BX1055" s="43">
        <v>19</v>
      </c>
      <c r="CD1055" s="90">
        <f t="shared" si="143"/>
        <v>3</v>
      </c>
      <c r="CE1055" s="90">
        <f t="shared" si="143"/>
        <v>3</v>
      </c>
      <c r="CF1055" s="90">
        <f t="shared" si="143"/>
        <v>3</v>
      </c>
      <c r="CT1055" s="90">
        <f t="shared" si="144"/>
        <v>3</v>
      </c>
      <c r="CU1055" s="90">
        <f t="shared" si="145"/>
        <v>9</v>
      </c>
    </row>
    <row r="1056" spans="1:99" ht="12" customHeight="1">
      <c r="A1056" s="43">
        <v>6462</v>
      </c>
      <c r="B1056" s="89" t="s">
        <v>2753</v>
      </c>
      <c r="C1056" s="89" t="s">
        <v>2826</v>
      </c>
      <c r="D1056" s="89" t="s">
        <v>2827</v>
      </c>
      <c r="F1056" s="43">
        <v>526097</v>
      </c>
      <c r="G1056" s="43">
        <v>172943</v>
      </c>
      <c r="H1056" s="89" t="s">
        <v>168</v>
      </c>
      <c r="K1056" s="140">
        <v>0</v>
      </c>
      <c r="L1056" s="140">
        <v>1</v>
      </c>
      <c r="M1056" s="140">
        <v>1</v>
      </c>
      <c r="N1056" s="140">
        <v>1</v>
      </c>
      <c r="O1056" s="140">
        <v>1</v>
      </c>
      <c r="Q1056" s="89" t="s">
        <v>2828</v>
      </c>
      <c r="R1056" s="43" t="s">
        <v>2725</v>
      </c>
      <c r="S1056" s="125">
        <v>43889</v>
      </c>
      <c r="V1056" s="43" t="s">
        <v>317</v>
      </c>
      <c r="X1056" s="43" t="s">
        <v>318</v>
      </c>
      <c r="Y1056" s="43" t="s">
        <v>336</v>
      </c>
      <c r="Z1056" s="43" t="s">
        <v>320</v>
      </c>
      <c r="AA1056" s="43" t="s">
        <v>30</v>
      </c>
      <c r="AB1056" s="144">
        <v>3.0000000260770299E-3</v>
      </c>
      <c r="AF1056" s="43" t="s">
        <v>75</v>
      </c>
      <c r="AG1056" s="43" t="s">
        <v>322</v>
      </c>
      <c r="AJ1056" s="140">
        <v>0</v>
      </c>
      <c r="AK1056" s="140">
        <v>0</v>
      </c>
      <c r="AL1056" s="140">
        <v>0</v>
      </c>
      <c r="AM1056" s="140">
        <v>0</v>
      </c>
      <c r="AN1056" s="140">
        <v>1</v>
      </c>
      <c r="AO1056" s="140">
        <v>0</v>
      </c>
      <c r="AP1056" s="140">
        <v>0</v>
      </c>
      <c r="AQ1056" s="140">
        <v>0</v>
      </c>
      <c r="AR1056" s="140">
        <v>0</v>
      </c>
      <c r="AS1056" s="140">
        <v>0</v>
      </c>
      <c r="AT1056" s="140">
        <v>0</v>
      </c>
      <c r="AU1056" s="140">
        <v>1</v>
      </c>
      <c r="AV1056" s="140">
        <v>0</v>
      </c>
      <c r="AW1056" s="140">
        <v>0</v>
      </c>
      <c r="AX1056" s="140">
        <v>0</v>
      </c>
      <c r="AY1056" s="140">
        <v>0</v>
      </c>
      <c r="AZ1056" s="140">
        <v>0</v>
      </c>
      <c r="BA1056" s="140">
        <v>0</v>
      </c>
      <c r="BB1056" s="140">
        <v>0</v>
      </c>
      <c r="BC1056" s="140">
        <v>0</v>
      </c>
      <c r="BD1056" s="140">
        <v>0</v>
      </c>
      <c r="BE1056" s="140">
        <v>0</v>
      </c>
      <c r="BF1056" s="140">
        <v>0</v>
      </c>
      <c r="BG1056" s="140">
        <v>0</v>
      </c>
      <c r="BH1056" s="140">
        <v>0</v>
      </c>
      <c r="BI1056" s="140">
        <v>0</v>
      </c>
      <c r="BJ1056" s="140">
        <v>0</v>
      </c>
      <c r="BK1056" s="140">
        <v>0</v>
      </c>
      <c r="BL1056" s="140">
        <v>0</v>
      </c>
      <c r="BM1056" s="140">
        <v>0</v>
      </c>
      <c r="BN1056" s="140">
        <v>0</v>
      </c>
      <c r="BO1056" s="140">
        <v>0</v>
      </c>
      <c r="BX1056" s="43">
        <v>19</v>
      </c>
      <c r="CD1056" s="90">
        <f t="shared" si="143"/>
        <v>0.33333333333333331</v>
      </c>
      <c r="CE1056" s="90">
        <f t="shared" si="143"/>
        <v>0.33333333333333331</v>
      </c>
      <c r="CF1056" s="90">
        <f t="shared" si="143"/>
        <v>0.33333333333333331</v>
      </c>
      <c r="CT1056" s="90">
        <f t="shared" si="144"/>
        <v>0.33333333333333331</v>
      </c>
      <c r="CU1056" s="90">
        <f t="shared" si="145"/>
        <v>1</v>
      </c>
    </row>
    <row r="1057" spans="1:99" ht="12" customHeight="1">
      <c r="A1057" s="43">
        <v>6739</v>
      </c>
      <c r="B1057" s="89" t="s">
        <v>2753</v>
      </c>
      <c r="C1057" s="89" t="s">
        <v>2829</v>
      </c>
      <c r="D1057" s="89" t="s">
        <v>2284</v>
      </c>
      <c r="F1057" s="43">
        <v>528376</v>
      </c>
      <c r="G1057" s="43">
        <v>173160</v>
      </c>
      <c r="H1057" s="89" t="s">
        <v>173</v>
      </c>
      <c r="K1057" s="140">
        <v>0</v>
      </c>
      <c r="L1057" s="140">
        <v>7</v>
      </c>
      <c r="M1057" s="140">
        <v>7</v>
      </c>
      <c r="N1057" s="140">
        <v>7</v>
      </c>
      <c r="O1057" s="140">
        <v>7</v>
      </c>
      <c r="Q1057" s="89" t="s">
        <v>2830</v>
      </c>
      <c r="R1057" s="43" t="s">
        <v>2725</v>
      </c>
      <c r="S1057" s="125">
        <v>43858</v>
      </c>
      <c r="V1057" s="43" t="s">
        <v>317</v>
      </c>
      <c r="X1057" s="43" t="s">
        <v>318</v>
      </c>
      <c r="Y1057" s="43" t="s">
        <v>379</v>
      </c>
      <c r="Z1057" s="43" t="s">
        <v>320</v>
      </c>
      <c r="AA1057" s="43" t="s">
        <v>340</v>
      </c>
      <c r="AB1057" s="144">
        <v>2.0999999716877899E-2</v>
      </c>
      <c r="AF1057" s="43" t="s">
        <v>75</v>
      </c>
      <c r="AG1057" s="43" t="s">
        <v>322</v>
      </c>
      <c r="AJ1057" s="140">
        <v>0</v>
      </c>
      <c r="AK1057" s="140">
        <v>0</v>
      </c>
      <c r="AL1057" s="140">
        <v>0</v>
      </c>
      <c r="AM1057" s="140">
        <v>0</v>
      </c>
      <c r="AN1057" s="140">
        <v>0</v>
      </c>
      <c r="AO1057" s="140">
        <v>1</v>
      </c>
      <c r="AP1057" s="140">
        <v>6</v>
      </c>
      <c r="AQ1057" s="140">
        <v>0</v>
      </c>
      <c r="AR1057" s="140">
        <v>0</v>
      </c>
      <c r="AS1057" s="140">
        <v>0</v>
      </c>
      <c r="AT1057" s="140">
        <v>0</v>
      </c>
      <c r="AU1057" s="140">
        <v>0</v>
      </c>
      <c r="AV1057" s="140">
        <v>1</v>
      </c>
      <c r="AW1057" s="140">
        <v>6</v>
      </c>
      <c r="AX1057" s="140">
        <v>0</v>
      </c>
      <c r="AY1057" s="140">
        <v>0</v>
      </c>
      <c r="AZ1057" s="140">
        <v>0</v>
      </c>
      <c r="BA1057" s="140">
        <v>0</v>
      </c>
      <c r="BB1057" s="140">
        <v>0</v>
      </c>
      <c r="BC1057" s="140">
        <v>0</v>
      </c>
      <c r="BD1057" s="140">
        <v>0</v>
      </c>
      <c r="BE1057" s="140">
        <v>0</v>
      </c>
      <c r="BF1057" s="140">
        <v>0</v>
      </c>
      <c r="BG1057" s="140">
        <v>0</v>
      </c>
      <c r="BH1057" s="140">
        <v>0</v>
      </c>
      <c r="BI1057" s="140">
        <v>0</v>
      </c>
      <c r="BJ1057" s="140">
        <v>0</v>
      </c>
      <c r="BK1057" s="140">
        <v>0</v>
      </c>
      <c r="BL1057" s="140">
        <v>0</v>
      </c>
      <c r="BM1057" s="140">
        <v>0</v>
      </c>
      <c r="BN1057" s="140">
        <v>0</v>
      </c>
      <c r="BO1057" s="140">
        <v>0</v>
      </c>
      <c r="BX1057" s="43">
        <v>16</v>
      </c>
      <c r="CA1057" s="90">
        <f>M1057</f>
        <v>7</v>
      </c>
      <c r="CT1057" s="90">
        <f t="shared" si="144"/>
        <v>7</v>
      </c>
      <c r="CU1057" s="90">
        <f t="shared" si="145"/>
        <v>7</v>
      </c>
    </row>
    <row r="1058" spans="1:99" ht="12" customHeight="1">
      <c r="A1058" s="43">
        <v>6979</v>
      </c>
      <c r="B1058" s="89" t="s">
        <v>2753</v>
      </c>
      <c r="C1058" s="89" t="s">
        <v>2831</v>
      </c>
      <c r="D1058" s="89" t="s">
        <v>2832</v>
      </c>
      <c r="F1058" s="43">
        <v>528847</v>
      </c>
      <c r="G1058" s="43">
        <v>171190</v>
      </c>
      <c r="H1058" s="89" t="s">
        <v>171</v>
      </c>
      <c r="K1058" s="140">
        <v>0</v>
      </c>
      <c r="L1058" s="140">
        <v>4</v>
      </c>
      <c r="M1058" s="140">
        <v>4</v>
      </c>
      <c r="N1058" s="140">
        <v>4</v>
      </c>
      <c r="O1058" s="140">
        <v>4</v>
      </c>
      <c r="Q1058" s="89" t="s">
        <v>2833</v>
      </c>
      <c r="R1058" s="43" t="s">
        <v>2725</v>
      </c>
      <c r="S1058" s="125">
        <v>43769</v>
      </c>
      <c r="V1058" s="43" t="s">
        <v>317</v>
      </c>
      <c r="X1058" s="43" t="s">
        <v>318</v>
      </c>
      <c r="Y1058" s="43" t="s">
        <v>379</v>
      </c>
      <c r="Z1058" s="43" t="s">
        <v>320</v>
      </c>
      <c r="AA1058" s="43" t="s">
        <v>340</v>
      </c>
      <c r="AB1058" s="144">
        <v>8.0000003799796104E-3</v>
      </c>
      <c r="AF1058" s="43" t="s">
        <v>75</v>
      </c>
      <c r="AG1058" s="43" t="s">
        <v>322</v>
      </c>
      <c r="AJ1058" s="140">
        <v>0</v>
      </c>
      <c r="AK1058" s="140">
        <v>0</v>
      </c>
      <c r="AL1058" s="140">
        <v>0</v>
      </c>
      <c r="AM1058" s="140">
        <v>0</v>
      </c>
      <c r="AN1058" s="140">
        <v>1</v>
      </c>
      <c r="AO1058" s="140">
        <v>3</v>
      </c>
      <c r="AP1058" s="140">
        <v>0</v>
      </c>
      <c r="AQ1058" s="140">
        <v>0</v>
      </c>
      <c r="AR1058" s="140">
        <v>0</v>
      </c>
      <c r="AS1058" s="140">
        <v>0</v>
      </c>
      <c r="AT1058" s="140">
        <v>0</v>
      </c>
      <c r="AU1058" s="140">
        <v>1</v>
      </c>
      <c r="AV1058" s="140">
        <v>3</v>
      </c>
      <c r="AW1058" s="140">
        <v>0</v>
      </c>
      <c r="AX1058" s="140">
        <v>0</v>
      </c>
      <c r="AY1058" s="140">
        <v>0</v>
      </c>
      <c r="AZ1058" s="140">
        <v>0</v>
      </c>
      <c r="BA1058" s="140">
        <v>0</v>
      </c>
      <c r="BB1058" s="140">
        <v>0</v>
      </c>
      <c r="BC1058" s="140">
        <v>0</v>
      </c>
      <c r="BD1058" s="140">
        <v>0</v>
      </c>
      <c r="BE1058" s="140">
        <v>0</v>
      </c>
      <c r="BF1058" s="140">
        <v>0</v>
      </c>
      <c r="BG1058" s="140">
        <v>0</v>
      </c>
      <c r="BH1058" s="140">
        <v>0</v>
      </c>
      <c r="BI1058" s="140">
        <v>0</v>
      </c>
      <c r="BJ1058" s="140">
        <v>0</v>
      </c>
      <c r="BK1058" s="140">
        <v>0</v>
      </c>
      <c r="BL1058" s="140">
        <v>0</v>
      </c>
      <c r="BM1058" s="140">
        <v>0</v>
      </c>
      <c r="BN1058" s="140">
        <v>0</v>
      </c>
      <c r="BO1058" s="140">
        <v>0</v>
      </c>
      <c r="BU1058" s="89"/>
      <c r="BX1058" s="43">
        <v>19</v>
      </c>
      <c r="CD1058" s="90">
        <f t="shared" ref="CD1058:CF1070" si="146">$M1058/3</f>
        <v>1.3333333333333333</v>
      </c>
      <c r="CE1058" s="90">
        <f t="shared" si="146"/>
        <v>1.3333333333333333</v>
      </c>
      <c r="CF1058" s="90">
        <f t="shared" si="146"/>
        <v>1.3333333333333333</v>
      </c>
      <c r="CT1058" s="90">
        <f t="shared" si="144"/>
        <v>1.3333333333333333</v>
      </c>
      <c r="CU1058" s="90">
        <f t="shared" si="145"/>
        <v>4</v>
      </c>
    </row>
    <row r="1059" spans="1:99" ht="12" customHeight="1">
      <c r="A1059" s="43">
        <v>7036</v>
      </c>
      <c r="B1059" s="89" t="s">
        <v>2753</v>
      </c>
      <c r="C1059" s="89" t="s">
        <v>2834</v>
      </c>
      <c r="D1059" s="89" t="s">
        <v>2835</v>
      </c>
      <c r="F1059" s="43">
        <v>527828</v>
      </c>
      <c r="G1059" s="43">
        <v>175000</v>
      </c>
      <c r="H1059" s="89" t="s">
        <v>174</v>
      </c>
      <c r="K1059" s="140">
        <v>1</v>
      </c>
      <c r="L1059" s="140">
        <v>3</v>
      </c>
      <c r="M1059" s="140">
        <v>2</v>
      </c>
      <c r="N1059" s="140">
        <v>3</v>
      </c>
      <c r="O1059" s="140">
        <v>2</v>
      </c>
      <c r="Q1059" s="89" t="s">
        <v>2836</v>
      </c>
      <c r="R1059" s="43" t="s">
        <v>2725</v>
      </c>
      <c r="S1059" s="125">
        <v>43839</v>
      </c>
      <c r="V1059" s="43" t="s">
        <v>317</v>
      </c>
      <c r="X1059" s="43" t="s">
        <v>318</v>
      </c>
      <c r="Y1059" s="43" t="s">
        <v>319</v>
      </c>
      <c r="Z1059" s="43" t="s">
        <v>320</v>
      </c>
      <c r="AA1059" s="43" t="s">
        <v>20</v>
      </c>
      <c r="AB1059" s="144">
        <v>1.4000000432133701E-2</v>
      </c>
      <c r="AF1059" s="43" t="s">
        <v>75</v>
      </c>
      <c r="AG1059" s="43" t="s">
        <v>322</v>
      </c>
      <c r="AJ1059" s="140">
        <v>0</v>
      </c>
      <c r="AK1059" s="140">
        <v>0</v>
      </c>
      <c r="AL1059" s="140">
        <v>0</v>
      </c>
      <c r="AM1059" s="140">
        <v>0</v>
      </c>
      <c r="AN1059" s="140">
        <v>0</v>
      </c>
      <c r="AO1059" s="140">
        <v>0</v>
      </c>
      <c r="AP1059" s="140">
        <v>1</v>
      </c>
      <c r="AQ1059" s="140">
        <v>2</v>
      </c>
      <c r="AR1059" s="140">
        <v>-1</v>
      </c>
      <c r="AS1059" s="140">
        <v>0</v>
      </c>
      <c r="AT1059" s="140">
        <v>0</v>
      </c>
      <c r="AU1059" s="140">
        <v>0</v>
      </c>
      <c r="AV1059" s="140">
        <v>0</v>
      </c>
      <c r="AW1059" s="140">
        <v>1</v>
      </c>
      <c r="AX1059" s="140">
        <v>2</v>
      </c>
      <c r="AY1059" s="140">
        <v>0</v>
      </c>
      <c r="AZ1059" s="140">
        <v>0</v>
      </c>
      <c r="BA1059" s="140">
        <v>0</v>
      </c>
      <c r="BB1059" s="140">
        <v>0</v>
      </c>
      <c r="BC1059" s="140">
        <v>0</v>
      </c>
      <c r="BD1059" s="140">
        <v>0</v>
      </c>
      <c r="BE1059" s="140">
        <v>0</v>
      </c>
      <c r="BF1059" s="140">
        <v>-1</v>
      </c>
      <c r="BG1059" s="140">
        <v>0</v>
      </c>
      <c r="BH1059" s="140">
        <v>0</v>
      </c>
      <c r="BI1059" s="140">
        <v>0</v>
      </c>
      <c r="BJ1059" s="140">
        <v>0</v>
      </c>
      <c r="BK1059" s="140">
        <v>0</v>
      </c>
      <c r="BL1059" s="140">
        <v>0</v>
      </c>
      <c r="BM1059" s="140">
        <v>0</v>
      </c>
      <c r="BN1059" s="140">
        <v>0</v>
      </c>
      <c r="BO1059" s="140">
        <v>0</v>
      </c>
      <c r="BQ1059" s="89"/>
      <c r="BU1059" s="89"/>
      <c r="BX1059" s="43">
        <v>19</v>
      </c>
      <c r="CD1059" s="90">
        <f t="shared" si="146"/>
        <v>0.66666666666666663</v>
      </c>
      <c r="CE1059" s="90">
        <f t="shared" si="146"/>
        <v>0.66666666666666663</v>
      </c>
      <c r="CF1059" s="90">
        <f t="shared" si="146"/>
        <v>0.66666666666666663</v>
      </c>
      <c r="CT1059" s="90">
        <f t="shared" si="144"/>
        <v>0.66666666666666663</v>
      </c>
      <c r="CU1059" s="90">
        <f t="shared" si="145"/>
        <v>2</v>
      </c>
    </row>
    <row r="1060" spans="1:99" ht="12" customHeight="1">
      <c r="A1060" s="43">
        <v>7086</v>
      </c>
      <c r="B1060" s="89" t="s">
        <v>2753</v>
      </c>
      <c r="C1060" s="89" t="s">
        <v>2837</v>
      </c>
      <c r="D1060" s="89" t="s">
        <v>2838</v>
      </c>
      <c r="F1060" s="43">
        <v>527983</v>
      </c>
      <c r="G1060" s="43">
        <v>172402</v>
      </c>
      <c r="H1060" s="89" t="s">
        <v>173</v>
      </c>
      <c r="K1060" s="140">
        <v>0</v>
      </c>
      <c r="L1060" s="140">
        <v>2</v>
      </c>
      <c r="M1060" s="140">
        <v>2</v>
      </c>
      <c r="N1060" s="140">
        <v>2</v>
      </c>
      <c r="O1060" s="140">
        <v>2</v>
      </c>
      <c r="Q1060" s="89" t="s">
        <v>2839</v>
      </c>
      <c r="R1060" s="43" t="s">
        <v>2725</v>
      </c>
      <c r="S1060" s="125">
        <v>43804</v>
      </c>
      <c r="V1060" s="43" t="s">
        <v>317</v>
      </c>
      <c r="X1060" s="43" t="s">
        <v>318</v>
      </c>
      <c r="Y1060" s="43" t="s">
        <v>361</v>
      </c>
      <c r="Z1060" s="43" t="s">
        <v>320</v>
      </c>
      <c r="AA1060" s="43" t="s">
        <v>353</v>
      </c>
      <c r="AB1060" s="144">
        <v>1.60000007599592E-2</v>
      </c>
      <c r="AF1060" s="43" t="s">
        <v>75</v>
      </c>
      <c r="AG1060" s="43" t="s">
        <v>322</v>
      </c>
      <c r="AJ1060" s="140">
        <v>0</v>
      </c>
      <c r="AK1060" s="140">
        <v>0</v>
      </c>
      <c r="AL1060" s="140">
        <v>0</v>
      </c>
      <c r="AM1060" s="140">
        <v>0</v>
      </c>
      <c r="AN1060" s="140">
        <v>0</v>
      </c>
      <c r="AO1060" s="140">
        <v>0</v>
      </c>
      <c r="AP1060" s="140">
        <v>2</v>
      </c>
      <c r="AQ1060" s="140">
        <v>0</v>
      </c>
      <c r="AR1060" s="140">
        <v>0</v>
      </c>
      <c r="AS1060" s="140">
        <v>0</v>
      </c>
      <c r="AT1060" s="140">
        <v>0</v>
      </c>
      <c r="AU1060" s="140">
        <v>0</v>
      </c>
      <c r="AV1060" s="140">
        <v>0</v>
      </c>
      <c r="AW1060" s="140">
        <v>2</v>
      </c>
      <c r="AX1060" s="140">
        <v>0</v>
      </c>
      <c r="AY1060" s="140">
        <v>0</v>
      </c>
      <c r="AZ1060" s="140">
        <v>0</v>
      </c>
      <c r="BA1060" s="140">
        <v>0</v>
      </c>
      <c r="BB1060" s="140">
        <v>0</v>
      </c>
      <c r="BC1060" s="140">
        <v>0</v>
      </c>
      <c r="BD1060" s="140">
        <v>0</v>
      </c>
      <c r="BE1060" s="140">
        <v>0</v>
      </c>
      <c r="BF1060" s="140">
        <v>0</v>
      </c>
      <c r="BG1060" s="140">
        <v>0</v>
      </c>
      <c r="BH1060" s="140">
        <v>0</v>
      </c>
      <c r="BI1060" s="140">
        <v>0</v>
      </c>
      <c r="BJ1060" s="140">
        <v>0</v>
      </c>
      <c r="BK1060" s="140">
        <v>0</v>
      </c>
      <c r="BL1060" s="140">
        <v>0</v>
      </c>
      <c r="BM1060" s="140">
        <v>0</v>
      </c>
      <c r="BN1060" s="140">
        <v>0</v>
      </c>
      <c r="BO1060" s="140">
        <v>0</v>
      </c>
      <c r="BQ1060" s="89"/>
      <c r="BU1060" s="89"/>
      <c r="BX1060" s="43">
        <v>10</v>
      </c>
      <c r="CD1060" s="90">
        <f t="shared" si="146"/>
        <v>0.66666666666666663</v>
      </c>
      <c r="CE1060" s="90">
        <f t="shared" si="146"/>
        <v>0.66666666666666663</v>
      </c>
      <c r="CF1060" s="90">
        <f t="shared" si="146"/>
        <v>0.66666666666666663</v>
      </c>
      <c r="CT1060" s="90">
        <f t="shared" si="144"/>
        <v>0.66666666666666663</v>
      </c>
      <c r="CU1060" s="90">
        <f t="shared" si="145"/>
        <v>2</v>
      </c>
    </row>
    <row r="1061" spans="1:99" ht="12" customHeight="1">
      <c r="A1061" s="43">
        <v>7187</v>
      </c>
      <c r="B1061" s="89" t="s">
        <v>2753</v>
      </c>
      <c r="C1061" s="89" t="s">
        <v>2840</v>
      </c>
      <c r="D1061" s="89" t="s">
        <v>2841</v>
      </c>
      <c r="F1061" s="43">
        <v>526782</v>
      </c>
      <c r="G1061" s="43">
        <v>176145</v>
      </c>
      <c r="H1061" s="89" t="s">
        <v>177</v>
      </c>
      <c r="K1061" s="140">
        <v>0</v>
      </c>
      <c r="L1061" s="140">
        <v>48</v>
      </c>
      <c r="M1061" s="140">
        <v>48</v>
      </c>
      <c r="N1061" s="140">
        <v>74</v>
      </c>
      <c r="O1061" s="140">
        <v>74</v>
      </c>
      <c r="P1061" s="43" t="s">
        <v>329</v>
      </c>
      <c r="Q1061" s="89" t="s">
        <v>2842</v>
      </c>
      <c r="R1061" s="43" t="s">
        <v>2725</v>
      </c>
      <c r="S1061" s="125">
        <v>43609</v>
      </c>
      <c r="V1061" s="43" t="s">
        <v>317</v>
      </c>
      <c r="X1061" s="43" t="s">
        <v>318</v>
      </c>
      <c r="Y1061" s="43" t="s">
        <v>361</v>
      </c>
      <c r="Z1061" s="43" t="s">
        <v>361</v>
      </c>
      <c r="AA1061" s="43" t="s">
        <v>320</v>
      </c>
      <c r="AB1061" s="144">
        <v>0</v>
      </c>
      <c r="AF1061" s="43" t="s">
        <v>75</v>
      </c>
      <c r="AG1061" s="43" t="s">
        <v>322</v>
      </c>
      <c r="AJ1061" s="140">
        <v>0</v>
      </c>
      <c r="AK1061" s="140">
        <v>0</v>
      </c>
      <c r="AL1061" s="140">
        <v>0</v>
      </c>
      <c r="AM1061" s="140">
        <v>0</v>
      </c>
      <c r="AN1061" s="140">
        <v>0</v>
      </c>
      <c r="AO1061" s="140">
        <v>11</v>
      </c>
      <c r="AP1061" s="140">
        <v>35</v>
      </c>
      <c r="AQ1061" s="140">
        <v>2</v>
      </c>
      <c r="AR1061" s="140">
        <v>0</v>
      </c>
      <c r="AS1061" s="140">
        <v>0</v>
      </c>
      <c r="AT1061" s="140">
        <v>0</v>
      </c>
      <c r="AU1061" s="140">
        <v>0</v>
      </c>
      <c r="AV1061" s="140">
        <v>11</v>
      </c>
      <c r="AW1061" s="140">
        <v>35</v>
      </c>
      <c r="AX1061" s="140">
        <v>2</v>
      </c>
      <c r="AY1061" s="140">
        <v>0</v>
      </c>
      <c r="AZ1061" s="140">
        <v>0</v>
      </c>
      <c r="BA1061" s="140">
        <v>0</v>
      </c>
      <c r="BB1061" s="140">
        <v>0</v>
      </c>
      <c r="BC1061" s="140">
        <v>0</v>
      </c>
      <c r="BD1061" s="140">
        <v>0</v>
      </c>
      <c r="BE1061" s="140">
        <v>0</v>
      </c>
      <c r="BF1061" s="140">
        <v>0</v>
      </c>
      <c r="BG1061" s="140">
        <v>0</v>
      </c>
      <c r="BH1061" s="140">
        <v>0</v>
      </c>
      <c r="BI1061" s="140">
        <v>0</v>
      </c>
      <c r="BJ1061" s="140">
        <v>0</v>
      </c>
      <c r="BK1061" s="140">
        <v>0</v>
      </c>
      <c r="BL1061" s="140">
        <v>0</v>
      </c>
      <c r="BM1061" s="140">
        <v>0</v>
      </c>
      <c r="BN1061" s="140">
        <v>0</v>
      </c>
      <c r="BO1061" s="140">
        <v>0</v>
      </c>
      <c r="BQ1061" s="89"/>
      <c r="BU1061" s="89"/>
      <c r="BX1061" s="43">
        <v>10</v>
      </c>
      <c r="CD1061" s="90">
        <f t="shared" si="146"/>
        <v>16</v>
      </c>
      <c r="CE1061" s="90">
        <f t="shared" si="146"/>
        <v>16</v>
      </c>
      <c r="CF1061" s="90">
        <f t="shared" si="146"/>
        <v>16</v>
      </c>
      <c r="CT1061" s="90">
        <f t="shared" si="144"/>
        <v>16</v>
      </c>
      <c r="CU1061" s="90">
        <f t="shared" si="145"/>
        <v>48</v>
      </c>
    </row>
    <row r="1062" spans="1:99" ht="12" customHeight="1">
      <c r="A1062" s="43">
        <v>7187</v>
      </c>
      <c r="B1062" s="89" t="s">
        <v>2753</v>
      </c>
      <c r="C1062" s="89" t="s">
        <v>2840</v>
      </c>
      <c r="D1062" s="89" t="s">
        <v>2841</v>
      </c>
      <c r="F1062" s="43">
        <v>526782</v>
      </c>
      <c r="G1062" s="43">
        <v>176145</v>
      </c>
      <c r="H1062" s="89" t="s">
        <v>177</v>
      </c>
      <c r="K1062" s="140">
        <v>0</v>
      </c>
      <c r="L1062" s="140">
        <v>26</v>
      </c>
      <c r="M1062" s="140">
        <v>26</v>
      </c>
      <c r="N1062" s="140">
        <v>74</v>
      </c>
      <c r="O1062" s="140">
        <v>74</v>
      </c>
      <c r="P1062" s="43" t="s">
        <v>329</v>
      </c>
      <c r="Q1062" s="89" t="s">
        <v>2842</v>
      </c>
      <c r="R1062" s="43" t="s">
        <v>2725</v>
      </c>
      <c r="S1062" s="125">
        <v>43609</v>
      </c>
      <c r="V1062" s="43" t="s">
        <v>317</v>
      </c>
      <c r="X1062" s="43" t="s">
        <v>318</v>
      </c>
      <c r="Y1062" s="43" t="s">
        <v>361</v>
      </c>
      <c r="Z1062" s="43" t="s">
        <v>361</v>
      </c>
      <c r="AA1062" s="43" t="s">
        <v>320</v>
      </c>
      <c r="AB1062" s="144">
        <v>0</v>
      </c>
      <c r="AF1062" s="43" t="s">
        <v>54</v>
      </c>
      <c r="AG1062" s="43" t="s">
        <v>1659</v>
      </c>
      <c r="AJ1062" s="140">
        <v>0</v>
      </c>
      <c r="AK1062" s="140">
        <v>0</v>
      </c>
      <c r="AL1062" s="140">
        <v>0</v>
      </c>
      <c r="AM1062" s="140">
        <v>0</v>
      </c>
      <c r="AN1062" s="140">
        <v>0</v>
      </c>
      <c r="AO1062" s="140">
        <v>0</v>
      </c>
      <c r="AP1062" s="140">
        <v>13</v>
      </c>
      <c r="AQ1062" s="140">
        <v>13</v>
      </c>
      <c r="AR1062" s="140">
        <v>0</v>
      </c>
      <c r="AS1062" s="140">
        <v>0</v>
      </c>
      <c r="AT1062" s="140">
        <v>0</v>
      </c>
      <c r="AU1062" s="140">
        <v>0</v>
      </c>
      <c r="AV1062" s="140">
        <v>0</v>
      </c>
      <c r="AW1062" s="140">
        <v>13</v>
      </c>
      <c r="AX1062" s="140">
        <v>13</v>
      </c>
      <c r="AY1062" s="140">
        <v>0</v>
      </c>
      <c r="AZ1062" s="140">
        <v>0</v>
      </c>
      <c r="BA1062" s="140">
        <v>0</v>
      </c>
      <c r="BB1062" s="140">
        <v>0</v>
      </c>
      <c r="BC1062" s="140">
        <v>0</v>
      </c>
      <c r="BD1062" s="140">
        <v>0</v>
      </c>
      <c r="BE1062" s="140">
        <v>0</v>
      </c>
      <c r="BF1062" s="140">
        <v>0</v>
      </c>
      <c r="BG1062" s="140">
        <v>0</v>
      </c>
      <c r="BH1062" s="140">
        <v>0</v>
      </c>
      <c r="BI1062" s="140">
        <v>0</v>
      </c>
      <c r="BJ1062" s="140">
        <v>0</v>
      </c>
      <c r="BK1062" s="140">
        <v>0</v>
      </c>
      <c r="BL1062" s="140">
        <v>0</v>
      </c>
      <c r="BM1062" s="140">
        <v>0</v>
      </c>
      <c r="BN1062" s="140">
        <v>0</v>
      </c>
      <c r="BO1062" s="140">
        <v>0</v>
      </c>
      <c r="BQ1062" s="89"/>
      <c r="BU1062" s="89"/>
      <c r="BX1062" s="43">
        <v>10</v>
      </c>
      <c r="CD1062" s="90">
        <f t="shared" si="146"/>
        <v>8.6666666666666661</v>
      </c>
      <c r="CE1062" s="90">
        <f t="shared" si="146"/>
        <v>8.6666666666666661</v>
      </c>
      <c r="CF1062" s="90">
        <f t="shared" si="146"/>
        <v>8.6666666666666661</v>
      </c>
      <c r="CT1062" s="90">
        <f t="shared" si="144"/>
        <v>8.6666666666666661</v>
      </c>
      <c r="CU1062" s="90">
        <f t="shared" si="145"/>
        <v>26</v>
      </c>
    </row>
    <row r="1063" spans="1:99" ht="12" customHeight="1">
      <c r="A1063" s="43">
        <v>7193</v>
      </c>
      <c r="B1063" s="89" t="s">
        <v>2753</v>
      </c>
      <c r="C1063" s="89" t="s">
        <v>2843</v>
      </c>
      <c r="D1063" s="89" t="s">
        <v>2844</v>
      </c>
      <c r="F1063" s="43">
        <v>524557</v>
      </c>
      <c r="G1063" s="43">
        <v>173303</v>
      </c>
      <c r="H1063" s="89" t="s">
        <v>180</v>
      </c>
      <c r="K1063" s="140">
        <v>1</v>
      </c>
      <c r="L1063" s="140">
        <v>2</v>
      </c>
      <c r="M1063" s="140">
        <v>1</v>
      </c>
      <c r="N1063" s="140">
        <v>2</v>
      </c>
      <c r="O1063" s="140">
        <v>1</v>
      </c>
      <c r="Q1063" s="89" t="s">
        <v>2845</v>
      </c>
      <c r="R1063" s="43" t="s">
        <v>2725</v>
      </c>
      <c r="S1063" s="125">
        <v>43809</v>
      </c>
      <c r="V1063" s="43" t="s">
        <v>317</v>
      </c>
      <c r="X1063" s="43" t="s">
        <v>318</v>
      </c>
      <c r="Y1063" s="43" t="s">
        <v>348</v>
      </c>
      <c r="Z1063" s="43" t="s">
        <v>320</v>
      </c>
      <c r="AA1063" s="43" t="s">
        <v>20</v>
      </c>
      <c r="AB1063" s="144">
        <v>8.79999995231628E-2</v>
      </c>
      <c r="AF1063" s="43" t="s">
        <v>75</v>
      </c>
      <c r="AG1063" s="43" t="s">
        <v>322</v>
      </c>
      <c r="AJ1063" s="140">
        <v>0</v>
      </c>
      <c r="AK1063" s="140">
        <v>0</v>
      </c>
      <c r="AL1063" s="140">
        <v>0</v>
      </c>
      <c r="AM1063" s="140">
        <v>0</v>
      </c>
      <c r="AN1063" s="140">
        <v>0</v>
      </c>
      <c r="AO1063" s="140">
        <v>0</v>
      </c>
      <c r="AP1063" s="140">
        <v>2</v>
      </c>
      <c r="AQ1063" s="140">
        <v>0</v>
      </c>
      <c r="AR1063" s="140">
        <v>0</v>
      </c>
      <c r="AS1063" s="140">
        <v>-1</v>
      </c>
      <c r="AT1063" s="140">
        <v>0</v>
      </c>
      <c r="AU1063" s="140">
        <v>0</v>
      </c>
      <c r="AV1063" s="140">
        <v>0</v>
      </c>
      <c r="AW1063" s="140">
        <v>2</v>
      </c>
      <c r="AX1063" s="140">
        <v>0</v>
      </c>
      <c r="AY1063" s="140">
        <v>0</v>
      </c>
      <c r="AZ1063" s="140">
        <v>0</v>
      </c>
      <c r="BA1063" s="140">
        <v>0</v>
      </c>
      <c r="BB1063" s="140">
        <v>0</v>
      </c>
      <c r="BC1063" s="140">
        <v>0</v>
      </c>
      <c r="BD1063" s="140">
        <v>0</v>
      </c>
      <c r="BE1063" s="140">
        <v>0</v>
      </c>
      <c r="BF1063" s="140">
        <v>0</v>
      </c>
      <c r="BG1063" s="140">
        <v>-1</v>
      </c>
      <c r="BH1063" s="140">
        <v>0</v>
      </c>
      <c r="BI1063" s="140">
        <v>0</v>
      </c>
      <c r="BJ1063" s="140">
        <v>0</v>
      </c>
      <c r="BK1063" s="140">
        <v>0</v>
      </c>
      <c r="BL1063" s="140">
        <v>0</v>
      </c>
      <c r="BM1063" s="140">
        <v>0</v>
      </c>
      <c r="BN1063" s="140">
        <v>0</v>
      </c>
      <c r="BO1063" s="140">
        <v>0</v>
      </c>
      <c r="BQ1063" s="89"/>
      <c r="BU1063" s="89"/>
      <c r="BX1063" s="43">
        <v>19</v>
      </c>
      <c r="CD1063" s="90">
        <f t="shared" si="146"/>
        <v>0.33333333333333331</v>
      </c>
      <c r="CE1063" s="90">
        <f t="shared" si="146"/>
        <v>0.33333333333333331</v>
      </c>
      <c r="CF1063" s="90">
        <f t="shared" si="146"/>
        <v>0.33333333333333331</v>
      </c>
      <c r="CT1063" s="90">
        <f t="shared" si="144"/>
        <v>0.33333333333333331</v>
      </c>
      <c r="CU1063" s="90">
        <f t="shared" si="145"/>
        <v>1</v>
      </c>
    </row>
    <row r="1064" spans="1:99" ht="12" customHeight="1">
      <c r="A1064" s="43">
        <v>7211</v>
      </c>
      <c r="B1064" s="89" t="s">
        <v>2753</v>
      </c>
      <c r="C1064" s="89" t="s">
        <v>2846</v>
      </c>
      <c r="D1064" s="89" t="s">
        <v>2615</v>
      </c>
      <c r="F1064" s="43">
        <v>527235</v>
      </c>
      <c r="G1064" s="43">
        <v>171597</v>
      </c>
      <c r="H1064" s="89" t="s">
        <v>141</v>
      </c>
      <c r="K1064" s="140">
        <v>1</v>
      </c>
      <c r="L1064" s="140">
        <v>3</v>
      </c>
      <c r="M1064" s="140">
        <v>2</v>
      </c>
      <c r="N1064" s="140">
        <v>3</v>
      </c>
      <c r="O1064" s="140">
        <v>2</v>
      </c>
      <c r="Q1064" s="89" t="s">
        <v>2847</v>
      </c>
      <c r="R1064" s="43" t="s">
        <v>2725</v>
      </c>
      <c r="S1064" s="125">
        <v>43900</v>
      </c>
      <c r="V1064" s="43" t="s">
        <v>317</v>
      </c>
      <c r="X1064" s="43" t="s">
        <v>318</v>
      </c>
      <c r="Y1064" s="43" t="s">
        <v>319</v>
      </c>
      <c r="Z1064" s="43" t="s">
        <v>320</v>
      </c>
      <c r="AA1064" s="43" t="s">
        <v>20</v>
      </c>
      <c r="AB1064" s="144">
        <v>1.9999999552965199E-2</v>
      </c>
      <c r="AF1064" s="43" t="s">
        <v>75</v>
      </c>
      <c r="AG1064" s="43" t="s">
        <v>322</v>
      </c>
      <c r="AJ1064" s="140">
        <v>0</v>
      </c>
      <c r="AK1064" s="140">
        <v>0</v>
      </c>
      <c r="AL1064" s="140">
        <v>0</v>
      </c>
      <c r="AM1064" s="140">
        <v>0</v>
      </c>
      <c r="AN1064" s="140">
        <v>0</v>
      </c>
      <c r="AO1064" s="140">
        <v>0</v>
      </c>
      <c r="AP1064" s="140">
        <v>2</v>
      </c>
      <c r="AQ1064" s="140">
        <v>0</v>
      </c>
      <c r="AR1064" s="140">
        <v>0</v>
      </c>
      <c r="AS1064" s="140">
        <v>0</v>
      </c>
      <c r="AT1064" s="140">
        <v>0</v>
      </c>
      <c r="AU1064" s="140">
        <v>0</v>
      </c>
      <c r="AV1064" s="140">
        <v>0</v>
      </c>
      <c r="AW1064" s="140">
        <v>2</v>
      </c>
      <c r="AX1064" s="140">
        <v>1</v>
      </c>
      <c r="AY1064" s="140">
        <v>0</v>
      </c>
      <c r="AZ1064" s="140">
        <v>0</v>
      </c>
      <c r="BA1064" s="140">
        <v>0</v>
      </c>
      <c r="BB1064" s="140">
        <v>0</v>
      </c>
      <c r="BC1064" s="140">
        <v>0</v>
      </c>
      <c r="BD1064" s="140">
        <v>0</v>
      </c>
      <c r="BE1064" s="140">
        <v>-1</v>
      </c>
      <c r="BF1064" s="140">
        <v>0</v>
      </c>
      <c r="BG1064" s="140">
        <v>0</v>
      </c>
      <c r="BH1064" s="140">
        <v>0</v>
      </c>
      <c r="BI1064" s="140">
        <v>0</v>
      </c>
      <c r="BJ1064" s="140">
        <v>0</v>
      </c>
      <c r="BK1064" s="140">
        <v>0</v>
      </c>
      <c r="BL1064" s="140">
        <v>0</v>
      </c>
      <c r="BM1064" s="140">
        <v>0</v>
      </c>
      <c r="BN1064" s="140">
        <v>0</v>
      </c>
      <c r="BO1064" s="140">
        <v>0</v>
      </c>
      <c r="BQ1064" s="89"/>
      <c r="BU1064" s="89"/>
      <c r="BX1064" s="43">
        <v>19</v>
      </c>
      <c r="CD1064" s="90">
        <f t="shared" si="146"/>
        <v>0.66666666666666663</v>
      </c>
      <c r="CE1064" s="90">
        <f t="shared" si="146"/>
        <v>0.66666666666666663</v>
      </c>
      <c r="CF1064" s="90">
        <f t="shared" si="146"/>
        <v>0.66666666666666663</v>
      </c>
      <c r="CT1064" s="90">
        <f t="shared" si="144"/>
        <v>0.66666666666666663</v>
      </c>
      <c r="CU1064" s="90">
        <f t="shared" si="145"/>
        <v>2</v>
      </c>
    </row>
    <row r="1065" spans="1:99" ht="12" customHeight="1">
      <c r="A1065" s="43">
        <v>7245</v>
      </c>
      <c r="B1065" s="89" t="s">
        <v>2753</v>
      </c>
      <c r="C1065" s="89" t="s">
        <v>2848</v>
      </c>
      <c r="D1065" s="89" t="s">
        <v>2639</v>
      </c>
      <c r="F1065" s="43">
        <v>528090</v>
      </c>
      <c r="G1065" s="43">
        <v>173486</v>
      </c>
      <c r="H1065" s="89" t="s">
        <v>173</v>
      </c>
      <c r="K1065" s="140">
        <v>1</v>
      </c>
      <c r="L1065" s="140">
        <v>2</v>
      </c>
      <c r="M1065" s="140">
        <v>1</v>
      </c>
      <c r="N1065" s="140">
        <v>2</v>
      </c>
      <c r="O1065" s="140">
        <v>1</v>
      </c>
      <c r="Q1065" s="89" t="s">
        <v>2849</v>
      </c>
      <c r="R1065" s="43" t="s">
        <v>2725</v>
      </c>
      <c r="S1065" s="125">
        <v>43809</v>
      </c>
      <c r="V1065" s="43" t="s">
        <v>317</v>
      </c>
      <c r="X1065" s="43" t="s">
        <v>318</v>
      </c>
      <c r="Y1065" s="43" t="s">
        <v>348</v>
      </c>
      <c r="Z1065" s="43" t="s">
        <v>320</v>
      </c>
      <c r="AA1065" s="43" t="s">
        <v>321</v>
      </c>
      <c r="AB1065" s="144">
        <v>8.0000003799796104E-3</v>
      </c>
      <c r="AF1065" s="43" t="s">
        <v>75</v>
      </c>
      <c r="AG1065" s="43" t="s">
        <v>322</v>
      </c>
      <c r="AJ1065" s="140">
        <v>0</v>
      </c>
      <c r="AK1065" s="140">
        <v>0</v>
      </c>
      <c r="AL1065" s="140">
        <v>0</v>
      </c>
      <c r="AM1065" s="140">
        <v>0</v>
      </c>
      <c r="AN1065" s="140">
        <v>0</v>
      </c>
      <c r="AO1065" s="140">
        <v>2</v>
      </c>
      <c r="AP1065" s="140">
        <v>-1</v>
      </c>
      <c r="AQ1065" s="140">
        <v>0</v>
      </c>
      <c r="AR1065" s="140">
        <v>0</v>
      </c>
      <c r="AS1065" s="140">
        <v>0</v>
      </c>
      <c r="AT1065" s="140">
        <v>0</v>
      </c>
      <c r="AU1065" s="140">
        <v>0</v>
      </c>
      <c r="AV1065" s="140">
        <v>2</v>
      </c>
      <c r="AW1065" s="140">
        <v>-1</v>
      </c>
      <c r="AX1065" s="140">
        <v>0</v>
      </c>
      <c r="AY1065" s="140">
        <v>0</v>
      </c>
      <c r="AZ1065" s="140">
        <v>0</v>
      </c>
      <c r="BA1065" s="140">
        <v>0</v>
      </c>
      <c r="BB1065" s="140">
        <v>0</v>
      </c>
      <c r="BC1065" s="140">
        <v>0</v>
      </c>
      <c r="BD1065" s="140">
        <v>0</v>
      </c>
      <c r="BE1065" s="140">
        <v>0</v>
      </c>
      <c r="BF1065" s="140">
        <v>0</v>
      </c>
      <c r="BG1065" s="140">
        <v>0</v>
      </c>
      <c r="BH1065" s="140">
        <v>0</v>
      </c>
      <c r="BI1065" s="140">
        <v>0</v>
      </c>
      <c r="BJ1065" s="140">
        <v>0</v>
      </c>
      <c r="BK1065" s="140">
        <v>0</v>
      </c>
      <c r="BL1065" s="140">
        <v>0</v>
      </c>
      <c r="BM1065" s="140">
        <v>0</v>
      </c>
      <c r="BN1065" s="140">
        <v>0</v>
      </c>
      <c r="BO1065" s="140">
        <v>0</v>
      </c>
      <c r="BQ1065" s="89"/>
      <c r="BU1065" s="89"/>
      <c r="BX1065" s="43">
        <v>19</v>
      </c>
      <c r="CD1065" s="90">
        <f t="shared" si="146"/>
        <v>0.33333333333333331</v>
      </c>
      <c r="CE1065" s="90">
        <f t="shared" si="146"/>
        <v>0.33333333333333331</v>
      </c>
      <c r="CF1065" s="90">
        <f t="shared" si="146"/>
        <v>0.33333333333333331</v>
      </c>
      <c r="CT1065" s="90">
        <f t="shared" si="144"/>
        <v>0.33333333333333331</v>
      </c>
      <c r="CU1065" s="90">
        <f t="shared" si="145"/>
        <v>1</v>
      </c>
    </row>
    <row r="1066" spans="1:99" ht="12" customHeight="1">
      <c r="A1066" s="43">
        <v>7248</v>
      </c>
      <c r="B1066" s="89" t="s">
        <v>2753</v>
      </c>
      <c r="C1066" s="89" t="s">
        <v>2850</v>
      </c>
      <c r="D1066" s="89" t="s">
        <v>2851</v>
      </c>
      <c r="F1066" s="43">
        <v>524095</v>
      </c>
      <c r="G1066" s="43">
        <v>175524</v>
      </c>
      <c r="H1066" s="89" t="s">
        <v>178</v>
      </c>
      <c r="K1066" s="140">
        <v>1</v>
      </c>
      <c r="L1066" s="140">
        <v>2</v>
      </c>
      <c r="M1066" s="140">
        <v>1</v>
      </c>
      <c r="N1066" s="140">
        <v>2</v>
      </c>
      <c r="O1066" s="140">
        <v>1</v>
      </c>
      <c r="Q1066" s="89" t="s">
        <v>2852</v>
      </c>
      <c r="R1066" s="43" t="s">
        <v>2725</v>
      </c>
      <c r="S1066" s="125">
        <v>43720</v>
      </c>
      <c r="V1066" s="43" t="s">
        <v>317</v>
      </c>
      <c r="X1066" s="43" t="s">
        <v>318</v>
      </c>
      <c r="Y1066" s="43" t="s">
        <v>348</v>
      </c>
      <c r="Z1066" s="43" t="s">
        <v>320</v>
      </c>
      <c r="AA1066" s="43" t="s">
        <v>321</v>
      </c>
      <c r="AB1066" s="144">
        <v>0</v>
      </c>
      <c r="AF1066" s="43" t="s">
        <v>75</v>
      </c>
      <c r="AG1066" s="43" t="s">
        <v>322</v>
      </c>
      <c r="AJ1066" s="140">
        <v>0</v>
      </c>
      <c r="AK1066" s="140">
        <v>0</v>
      </c>
      <c r="AL1066" s="140">
        <v>0</v>
      </c>
      <c r="AM1066" s="140">
        <v>0</v>
      </c>
      <c r="AN1066" s="140">
        <v>0</v>
      </c>
      <c r="AO1066" s="140">
        <v>2</v>
      </c>
      <c r="AP1066" s="140">
        <v>-1</v>
      </c>
      <c r="AQ1066" s="140">
        <v>0</v>
      </c>
      <c r="AR1066" s="140">
        <v>0</v>
      </c>
      <c r="AS1066" s="140">
        <v>0</v>
      </c>
      <c r="AT1066" s="140">
        <v>0</v>
      </c>
      <c r="AU1066" s="140">
        <v>0</v>
      </c>
      <c r="AV1066" s="140">
        <v>2</v>
      </c>
      <c r="AW1066" s="140">
        <v>-1</v>
      </c>
      <c r="AX1066" s="140">
        <v>0</v>
      </c>
      <c r="AY1066" s="140">
        <v>0</v>
      </c>
      <c r="AZ1066" s="140">
        <v>0</v>
      </c>
      <c r="BA1066" s="140">
        <v>0</v>
      </c>
      <c r="BB1066" s="140">
        <v>0</v>
      </c>
      <c r="BC1066" s="140">
        <v>0</v>
      </c>
      <c r="BD1066" s="140">
        <v>0</v>
      </c>
      <c r="BE1066" s="140">
        <v>0</v>
      </c>
      <c r="BF1066" s="140">
        <v>0</v>
      </c>
      <c r="BG1066" s="140">
        <v>0</v>
      </c>
      <c r="BH1066" s="140">
        <v>0</v>
      </c>
      <c r="BI1066" s="140">
        <v>0</v>
      </c>
      <c r="BJ1066" s="140">
        <v>0</v>
      </c>
      <c r="BK1066" s="140">
        <v>0</v>
      </c>
      <c r="BL1066" s="140">
        <v>0</v>
      </c>
      <c r="BM1066" s="140">
        <v>0</v>
      </c>
      <c r="BN1066" s="140">
        <v>0</v>
      </c>
      <c r="BO1066" s="140">
        <v>0</v>
      </c>
      <c r="BP1066" s="43" t="s">
        <v>140</v>
      </c>
      <c r="BQ1066" s="89"/>
      <c r="BU1066" s="89"/>
      <c r="BX1066" s="43">
        <v>19</v>
      </c>
      <c r="CD1066" s="90">
        <f t="shared" si="146"/>
        <v>0.33333333333333331</v>
      </c>
      <c r="CE1066" s="90">
        <f t="shared" si="146"/>
        <v>0.33333333333333331</v>
      </c>
      <c r="CF1066" s="90">
        <f t="shared" si="146"/>
        <v>0.33333333333333331</v>
      </c>
      <c r="CT1066" s="90">
        <f t="shared" si="144"/>
        <v>0.33333333333333331</v>
      </c>
      <c r="CU1066" s="90">
        <f t="shared" si="145"/>
        <v>1</v>
      </c>
    </row>
    <row r="1067" spans="1:99" ht="12" customHeight="1">
      <c r="A1067" s="43">
        <v>7274</v>
      </c>
      <c r="B1067" s="89" t="s">
        <v>2753</v>
      </c>
      <c r="C1067" s="89" t="s">
        <v>2853</v>
      </c>
      <c r="D1067" s="89" t="s">
        <v>2854</v>
      </c>
      <c r="F1067" s="43">
        <v>525930</v>
      </c>
      <c r="G1067" s="43">
        <v>173382</v>
      </c>
      <c r="H1067" s="89" t="s">
        <v>168</v>
      </c>
      <c r="K1067" s="140">
        <v>0</v>
      </c>
      <c r="L1067" s="140">
        <v>1</v>
      </c>
      <c r="M1067" s="140">
        <v>1</v>
      </c>
      <c r="N1067" s="140">
        <v>1</v>
      </c>
      <c r="O1067" s="140">
        <v>1</v>
      </c>
      <c r="Q1067" s="89" t="s">
        <v>2855</v>
      </c>
      <c r="R1067" s="43" t="s">
        <v>2778</v>
      </c>
      <c r="S1067" s="125">
        <v>43914</v>
      </c>
      <c r="V1067" s="43" t="s">
        <v>317</v>
      </c>
      <c r="X1067" s="43" t="s">
        <v>318</v>
      </c>
      <c r="Y1067" s="43" t="s">
        <v>336</v>
      </c>
      <c r="Z1067" s="43" t="s">
        <v>320</v>
      </c>
      <c r="AA1067" s="43" t="s">
        <v>30</v>
      </c>
      <c r="AB1067" s="144">
        <v>4.9999998882412902E-3</v>
      </c>
      <c r="AF1067" s="43" t="s">
        <v>75</v>
      </c>
      <c r="AG1067" s="43" t="s">
        <v>322</v>
      </c>
      <c r="AJ1067" s="140">
        <v>0</v>
      </c>
      <c r="AK1067" s="140">
        <v>0</v>
      </c>
      <c r="AL1067" s="140">
        <v>0</v>
      </c>
      <c r="AM1067" s="140">
        <v>0</v>
      </c>
      <c r="AN1067" s="140">
        <v>0</v>
      </c>
      <c r="AO1067" s="140">
        <v>1</v>
      </c>
      <c r="AP1067" s="140">
        <v>0</v>
      </c>
      <c r="AQ1067" s="140">
        <v>0</v>
      </c>
      <c r="AR1067" s="140">
        <v>0</v>
      </c>
      <c r="AS1067" s="140">
        <v>0</v>
      </c>
      <c r="AT1067" s="140">
        <v>0</v>
      </c>
      <c r="AU1067" s="140">
        <v>0</v>
      </c>
      <c r="AV1067" s="140">
        <v>1</v>
      </c>
      <c r="AW1067" s="140">
        <v>0</v>
      </c>
      <c r="AX1067" s="140">
        <v>0</v>
      </c>
      <c r="AY1067" s="140">
        <v>0</v>
      </c>
      <c r="AZ1067" s="140">
        <v>0</v>
      </c>
      <c r="BA1067" s="140">
        <v>0</v>
      </c>
      <c r="BB1067" s="140">
        <v>0</v>
      </c>
      <c r="BC1067" s="140">
        <v>0</v>
      </c>
      <c r="BD1067" s="140">
        <v>0</v>
      </c>
      <c r="BE1067" s="140">
        <v>0</v>
      </c>
      <c r="BF1067" s="140">
        <v>0</v>
      </c>
      <c r="BG1067" s="140">
        <v>0</v>
      </c>
      <c r="BH1067" s="140">
        <v>0</v>
      </c>
      <c r="BI1067" s="140">
        <v>0</v>
      </c>
      <c r="BJ1067" s="140">
        <v>0</v>
      </c>
      <c r="BK1067" s="140">
        <v>0</v>
      </c>
      <c r="BL1067" s="140">
        <v>0</v>
      </c>
      <c r="BM1067" s="140">
        <v>0</v>
      </c>
      <c r="BN1067" s="140">
        <v>0</v>
      </c>
      <c r="BO1067" s="140">
        <v>0</v>
      </c>
      <c r="BQ1067" s="89"/>
      <c r="BU1067" s="89"/>
      <c r="BW1067" s="43" t="s">
        <v>329</v>
      </c>
      <c r="BX1067" s="43">
        <v>19</v>
      </c>
      <c r="CD1067" s="90">
        <f t="shared" si="146"/>
        <v>0.33333333333333331</v>
      </c>
      <c r="CE1067" s="90">
        <f t="shared" si="146"/>
        <v>0.33333333333333331</v>
      </c>
      <c r="CF1067" s="90">
        <f t="shared" si="146"/>
        <v>0.33333333333333331</v>
      </c>
      <c r="CT1067" s="90">
        <f t="shared" si="144"/>
        <v>0.33333333333333331</v>
      </c>
      <c r="CU1067" s="90">
        <f t="shared" si="145"/>
        <v>1</v>
      </c>
    </row>
    <row r="1068" spans="1:99" ht="12" customHeight="1">
      <c r="A1068" s="43">
        <v>7295</v>
      </c>
      <c r="B1068" s="89" t="s">
        <v>2753</v>
      </c>
      <c r="C1068" s="89" t="s">
        <v>2856</v>
      </c>
      <c r="D1068" s="89" t="s">
        <v>2857</v>
      </c>
      <c r="F1068" s="43">
        <v>527820</v>
      </c>
      <c r="G1068" s="43">
        <v>170815</v>
      </c>
      <c r="H1068" s="89" t="s">
        <v>172</v>
      </c>
      <c r="K1068" s="140">
        <v>0</v>
      </c>
      <c r="L1068" s="140">
        <v>1</v>
      </c>
      <c r="M1068" s="140">
        <v>1</v>
      </c>
      <c r="N1068" s="140">
        <v>2</v>
      </c>
      <c r="O1068" s="140">
        <v>1</v>
      </c>
      <c r="Q1068" s="89" t="s">
        <v>2858</v>
      </c>
      <c r="R1068" s="43" t="s">
        <v>2725</v>
      </c>
      <c r="S1068" s="125">
        <v>43893</v>
      </c>
      <c r="V1068" s="43" t="s">
        <v>317</v>
      </c>
      <c r="X1068" s="43" t="s">
        <v>318</v>
      </c>
      <c r="Y1068" s="43" t="s">
        <v>319</v>
      </c>
      <c r="Z1068" s="43" t="s">
        <v>320</v>
      </c>
      <c r="AA1068" s="43" t="s">
        <v>340</v>
      </c>
      <c r="AB1068" s="144">
        <v>8.0000003799796104E-3</v>
      </c>
      <c r="AF1068" s="43" t="s">
        <v>75</v>
      </c>
      <c r="AG1068" s="43" t="s">
        <v>322</v>
      </c>
      <c r="AJ1068" s="140">
        <v>0</v>
      </c>
      <c r="AK1068" s="140">
        <v>0</v>
      </c>
      <c r="AL1068" s="140">
        <v>0</v>
      </c>
      <c r="AM1068" s="140">
        <v>0</v>
      </c>
      <c r="AN1068" s="140">
        <v>0</v>
      </c>
      <c r="AO1068" s="140">
        <v>0</v>
      </c>
      <c r="AP1068" s="140">
        <v>1</v>
      </c>
      <c r="AQ1068" s="140">
        <v>0</v>
      </c>
      <c r="AR1068" s="140">
        <v>0</v>
      </c>
      <c r="AS1068" s="140">
        <v>0</v>
      </c>
      <c r="AT1068" s="140">
        <v>0</v>
      </c>
      <c r="AU1068" s="140">
        <v>0</v>
      </c>
      <c r="AV1068" s="140">
        <v>0</v>
      </c>
      <c r="AW1068" s="140">
        <v>1</v>
      </c>
      <c r="AX1068" s="140">
        <v>0</v>
      </c>
      <c r="AY1068" s="140">
        <v>0</v>
      </c>
      <c r="AZ1068" s="140">
        <v>0</v>
      </c>
      <c r="BA1068" s="140">
        <v>0</v>
      </c>
      <c r="BB1068" s="140">
        <v>0</v>
      </c>
      <c r="BC1068" s="140">
        <v>0</v>
      </c>
      <c r="BD1068" s="140">
        <v>0</v>
      </c>
      <c r="BE1068" s="140">
        <v>0</v>
      </c>
      <c r="BF1068" s="140">
        <v>0</v>
      </c>
      <c r="BG1068" s="140">
        <v>0</v>
      </c>
      <c r="BH1068" s="140">
        <v>0</v>
      </c>
      <c r="BI1068" s="140">
        <v>0</v>
      </c>
      <c r="BJ1068" s="140">
        <v>0</v>
      </c>
      <c r="BK1068" s="140">
        <v>0</v>
      </c>
      <c r="BL1068" s="140">
        <v>0</v>
      </c>
      <c r="BM1068" s="140">
        <v>0</v>
      </c>
      <c r="BN1068" s="140">
        <v>0</v>
      </c>
      <c r="BO1068" s="140">
        <v>0</v>
      </c>
      <c r="BQ1068" s="89"/>
      <c r="BU1068" s="89"/>
      <c r="BX1068" s="43">
        <v>19</v>
      </c>
      <c r="CD1068" s="90">
        <f t="shared" si="146"/>
        <v>0.33333333333333331</v>
      </c>
      <c r="CE1068" s="90">
        <f t="shared" si="146"/>
        <v>0.33333333333333331</v>
      </c>
      <c r="CF1068" s="90">
        <f t="shared" si="146"/>
        <v>0.33333333333333331</v>
      </c>
      <c r="CT1068" s="90">
        <f t="shared" si="144"/>
        <v>0.33333333333333331</v>
      </c>
      <c r="CU1068" s="90">
        <f t="shared" si="145"/>
        <v>1</v>
      </c>
    </row>
    <row r="1069" spans="1:99" ht="12" customHeight="1">
      <c r="A1069" s="43">
        <v>7295</v>
      </c>
      <c r="B1069" s="89" t="s">
        <v>2753</v>
      </c>
      <c r="C1069" s="89" t="s">
        <v>2856</v>
      </c>
      <c r="D1069" s="89" t="s">
        <v>2857</v>
      </c>
      <c r="F1069" s="43">
        <v>527820</v>
      </c>
      <c r="G1069" s="43">
        <v>170815</v>
      </c>
      <c r="H1069" s="89" t="s">
        <v>172</v>
      </c>
      <c r="K1069" s="140">
        <v>1</v>
      </c>
      <c r="L1069" s="140">
        <v>1</v>
      </c>
      <c r="M1069" s="140">
        <v>0</v>
      </c>
      <c r="N1069" s="140">
        <v>2</v>
      </c>
      <c r="O1069" s="140">
        <v>1</v>
      </c>
      <c r="Q1069" s="89" t="s">
        <v>2858</v>
      </c>
      <c r="R1069" s="43" t="s">
        <v>2725</v>
      </c>
      <c r="S1069" s="125">
        <v>43893</v>
      </c>
      <c r="V1069" s="43" t="s">
        <v>317</v>
      </c>
      <c r="X1069" s="43" t="s">
        <v>318</v>
      </c>
      <c r="Y1069" s="43" t="s">
        <v>319</v>
      </c>
      <c r="Z1069" s="43" t="s">
        <v>320</v>
      </c>
      <c r="AA1069" s="43" t="s">
        <v>321</v>
      </c>
      <c r="AB1069" s="144">
        <v>4.9999998882412902E-3</v>
      </c>
      <c r="AF1069" s="43" t="s">
        <v>75</v>
      </c>
      <c r="AG1069" s="43" t="s">
        <v>322</v>
      </c>
      <c r="AJ1069" s="140">
        <v>0</v>
      </c>
      <c r="AK1069" s="140">
        <v>0</v>
      </c>
      <c r="AL1069" s="140">
        <v>0</v>
      </c>
      <c r="AM1069" s="140">
        <v>0</v>
      </c>
      <c r="AN1069" s="140">
        <v>0</v>
      </c>
      <c r="AO1069" s="140">
        <v>1</v>
      </c>
      <c r="AP1069" s="140">
        <v>0</v>
      </c>
      <c r="AQ1069" s="140">
        <v>-1</v>
      </c>
      <c r="AR1069" s="140">
        <v>0</v>
      </c>
      <c r="AS1069" s="140">
        <v>0</v>
      </c>
      <c r="AT1069" s="140">
        <v>0</v>
      </c>
      <c r="AU1069" s="140">
        <v>0</v>
      </c>
      <c r="AV1069" s="140">
        <v>1</v>
      </c>
      <c r="AW1069" s="140">
        <v>0</v>
      </c>
      <c r="AX1069" s="140">
        <v>-1</v>
      </c>
      <c r="AY1069" s="140">
        <v>0</v>
      </c>
      <c r="AZ1069" s="140">
        <v>0</v>
      </c>
      <c r="BA1069" s="140">
        <v>0</v>
      </c>
      <c r="BB1069" s="140">
        <v>0</v>
      </c>
      <c r="BC1069" s="140">
        <v>0</v>
      </c>
      <c r="BD1069" s="140">
        <v>0</v>
      </c>
      <c r="BE1069" s="140">
        <v>0</v>
      </c>
      <c r="BF1069" s="140">
        <v>0</v>
      </c>
      <c r="BG1069" s="140">
        <v>0</v>
      </c>
      <c r="BH1069" s="140">
        <v>0</v>
      </c>
      <c r="BI1069" s="140">
        <v>0</v>
      </c>
      <c r="BJ1069" s="140">
        <v>0</v>
      </c>
      <c r="BK1069" s="140">
        <v>0</v>
      </c>
      <c r="BL1069" s="140">
        <v>0</v>
      </c>
      <c r="BM1069" s="140">
        <v>0</v>
      </c>
      <c r="BN1069" s="140">
        <v>0</v>
      </c>
      <c r="BO1069" s="140">
        <v>0</v>
      </c>
      <c r="BQ1069" s="89"/>
      <c r="BU1069" s="89"/>
      <c r="BX1069" s="43">
        <v>19</v>
      </c>
      <c r="CD1069" s="90">
        <f t="shared" si="146"/>
        <v>0</v>
      </c>
      <c r="CE1069" s="90">
        <f t="shared" si="146"/>
        <v>0</v>
      </c>
      <c r="CF1069" s="90">
        <f t="shared" si="146"/>
        <v>0</v>
      </c>
      <c r="CT1069" s="90">
        <f t="shared" si="144"/>
        <v>0</v>
      </c>
      <c r="CU1069" s="90">
        <f t="shared" si="145"/>
        <v>0</v>
      </c>
    </row>
    <row r="1070" spans="1:99" ht="12" customHeight="1">
      <c r="A1070" s="43">
        <v>7299</v>
      </c>
      <c r="B1070" s="89" t="s">
        <v>2753</v>
      </c>
      <c r="C1070" s="89" t="s">
        <v>2859</v>
      </c>
      <c r="D1070" s="89" t="s">
        <v>2860</v>
      </c>
      <c r="F1070" s="43">
        <v>524756</v>
      </c>
      <c r="G1070" s="43">
        <v>173258</v>
      </c>
      <c r="H1070" s="89" t="s">
        <v>176</v>
      </c>
      <c r="K1070" s="140">
        <v>0</v>
      </c>
      <c r="L1070" s="140">
        <v>5</v>
      </c>
      <c r="M1070" s="140">
        <v>5</v>
      </c>
      <c r="N1070" s="140">
        <v>5</v>
      </c>
      <c r="O1070" s="140">
        <v>5</v>
      </c>
      <c r="Q1070" s="89" t="s">
        <v>2861</v>
      </c>
      <c r="R1070" s="43" t="s">
        <v>2725</v>
      </c>
      <c r="S1070" s="125">
        <v>43790</v>
      </c>
      <c r="V1070" s="43" t="s">
        <v>317</v>
      </c>
      <c r="X1070" s="43" t="s">
        <v>318</v>
      </c>
      <c r="Y1070" s="43" t="s">
        <v>336</v>
      </c>
      <c r="Z1070" s="43" t="s">
        <v>320</v>
      </c>
      <c r="AA1070" s="43" t="s">
        <v>33</v>
      </c>
      <c r="AB1070" s="144">
        <v>1.4000000432133701E-2</v>
      </c>
      <c r="AF1070" s="43" t="s">
        <v>75</v>
      </c>
      <c r="AG1070" s="43" t="s">
        <v>322</v>
      </c>
      <c r="AJ1070" s="140">
        <v>0</v>
      </c>
      <c r="AK1070" s="140">
        <v>0</v>
      </c>
      <c r="AL1070" s="140">
        <v>0</v>
      </c>
      <c r="AM1070" s="140">
        <v>0</v>
      </c>
      <c r="AN1070" s="140">
        <v>1</v>
      </c>
      <c r="AO1070" s="140">
        <v>1</v>
      </c>
      <c r="AP1070" s="140">
        <v>2</v>
      </c>
      <c r="AQ1070" s="140">
        <v>1</v>
      </c>
      <c r="AR1070" s="140">
        <v>0</v>
      </c>
      <c r="AS1070" s="140">
        <v>0</v>
      </c>
      <c r="AT1070" s="140">
        <v>0</v>
      </c>
      <c r="AU1070" s="140">
        <v>1</v>
      </c>
      <c r="AV1070" s="140">
        <v>1</v>
      </c>
      <c r="AW1070" s="140">
        <v>2</v>
      </c>
      <c r="AX1070" s="140">
        <v>1</v>
      </c>
      <c r="AY1070" s="140">
        <v>0</v>
      </c>
      <c r="AZ1070" s="140">
        <v>0</v>
      </c>
      <c r="BA1070" s="140">
        <v>0</v>
      </c>
      <c r="BB1070" s="140">
        <v>0</v>
      </c>
      <c r="BC1070" s="140">
        <v>0</v>
      </c>
      <c r="BD1070" s="140">
        <v>0</v>
      </c>
      <c r="BE1070" s="140">
        <v>0</v>
      </c>
      <c r="BF1070" s="140">
        <v>0</v>
      </c>
      <c r="BG1070" s="140">
        <v>0</v>
      </c>
      <c r="BH1070" s="140">
        <v>0</v>
      </c>
      <c r="BI1070" s="140">
        <v>0</v>
      </c>
      <c r="BJ1070" s="140">
        <v>0</v>
      </c>
      <c r="BK1070" s="140">
        <v>0</v>
      </c>
      <c r="BL1070" s="140">
        <v>0</v>
      </c>
      <c r="BM1070" s="140">
        <v>0</v>
      </c>
      <c r="BN1070" s="140">
        <v>0</v>
      </c>
      <c r="BO1070" s="140">
        <v>0</v>
      </c>
      <c r="BQ1070" s="89"/>
      <c r="BU1070" s="89"/>
      <c r="BX1070" s="43">
        <v>19</v>
      </c>
      <c r="CD1070" s="90">
        <f t="shared" si="146"/>
        <v>1.6666666666666667</v>
      </c>
      <c r="CE1070" s="90">
        <f t="shared" si="146"/>
        <v>1.6666666666666667</v>
      </c>
      <c r="CF1070" s="90">
        <f t="shared" si="146"/>
        <v>1.6666666666666667</v>
      </c>
      <c r="CT1070" s="90">
        <f t="shared" si="144"/>
        <v>1.6666666666666667</v>
      </c>
      <c r="CU1070" s="90">
        <f t="shared" si="145"/>
        <v>5</v>
      </c>
    </row>
    <row r="1071" spans="1:99" ht="12" customHeight="1">
      <c r="A1071" s="43">
        <v>7304</v>
      </c>
      <c r="B1071" s="89" t="s">
        <v>2753</v>
      </c>
      <c r="C1071" s="89" t="s">
        <v>2862</v>
      </c>
      <c r="D1071" s="89" t="s">
        <v>2863</v>
      </c>
      <c r="E1071" s="89" t="s">
        <v>964</v>
      </c>
      <c r="F1071" s="43">
        <v>522152</v>
      </c>
      <c r="G1071" s="43">
        <v>173834</v>
      </c>
      <c r="H1071" s="89" t="s">
        <v>149</v>
      </c>
      <c r="K1071" s="140">
        <v>0</v>
      </c>
      <c r="L1071" s="140">
        <v>230</v>
      </c>
      <c r="M1071" s="140">
        <v>230</v>
      </c>
      <c r="N1071" s="140">
        <v>1103</v>
      </c>
      <c r="O1071" s="140">
        <v>815</v>
      </c>
      <c r="P1071" s="43" t="s">
        <v>329</v>
      </c>
      <c r="Q1071" s="89" t="s">
        <v>2864</v>
      </c>
      <c r="R1071" s="43" t="s">
        <v>2865</v>
      </c>
      <c r="S1071" s="125">
        <v>43623</v>
      </c>
      <c r="V1071" s="43" t="s">
        <v>317</v>
      </c>
      <c r="X1071" s="43" t="s">
        <v>318</v>
      </c>
      <c r="Y1071" s="43" t="s">
        <v>361</v>
      </c>
      <c r="Z1071" s="43" t="s">
        <v>361</v>
      </c>
      <c r="AA1071" s="43" t="s">
        <v>320</v>
      </c>
      <c r="AB1071" s="144">
        <v>0.83600002527236905</v>
      </c>
      <c r="AF1071" s="43" t="s">
        <v>75</v>
      </c>
      <c r="AG1071" s="43" t="s">
        <v>322</v>
      </c>
      <c r="AH1071" s="43" t="s">
        <v>2866</v>
      </c>
      <c r="AJ1071" s="140">
        <v>0</v>
      </c>
      <c r="AL1071" s="140">
        <v>0</v>
      </c>
      <c r="AN1071" s="140">
        <v>0</v>
      </c>
      <c r="AO1071" s="140">
        <v>55</v>
      </c>
      <c r="AP1071" s="140">
        <v>163</v>
      </c>
      <c r="AQ1071" s="140">
        <v>12</v>
      </c>
      <c r="AR1071" s="140">
        <v>0</v>
      </c>
      <c r="AS1071" s="140">
        <v>0</v>
      </c>
      <c r="AT1071" s="140">
        <v>0</v>
      </c>
      <c r="AU1071" s="140">
        <v>0</v>
      </c>
      <c r="AV1071" s="140">
        <v>55</v>
      </c>
      <c r="AW1071" s="140">
        <v>163</v>
      </c>
      <c r="AX1071" s="140">
        <v>12</v>
      </c>
      <c r="AY1071" s="140">
        <v>0</v>
      </c>
      <c r="AZ1071" s="140">
        <v>0</v>
      </c>
      <c r="BA1071" s="140">
        <v>0</v>
      </c>
      <c r="BB1071" s="140">
        <v>0</v>
      </c>
      <c r="BC1071" s="140">
        <v>0</v>
      </c>
      <c r="BD1071" s="140">
        <v>0</v>
      </c>
      <c r="BE1071" s="140">
        <v>0</v>
      </c>
      <c r="BF1071" s="140">
        <v>0</v>
      </c>
      <c r="BG1071" s="140">
        <v>0</v>
      </c>
      <c r="BH1071" s="140">
        <v>0</v>
      </c>
      <c r="BI1071" s="140">
        <v>0</v>
      </c>
      <c r="BJ1071" s="140">
        <v>0</v>
      </c>
      <c r="BK1071" s="140">
        <v>0</v>
      </c>
      <c r="BL1071" s="140">
        <v>0</v>
      </c>
      <c r="BM1071" s="140">
        <v>0</v>
      </c>
      <c r="BN1071" s="140">
        <v>0</v>
      </c>
      <c r="BO1071" s="140">
        <v>0</v>
      </c>
      <c r="BQ1071" s="89"/>
      <c r="BU1071" s="89"/>
      <c r="BX1071" s="43">
        <v>7</v>
      </c>
      <c r="CG1071" s="90">
        <f>M1071</f>
        <v>230</v>
      </c>
      <c r="CT1071" s="90">
        <f t="shared" si="144"/>
        <v>0</v>
      </c>
      <c r="CU1071" s="90">
        <f t="shared" si="145"/>
        <v>230</v>
      </c>
    </row>
    <row r="1072" spans="1:99" ht="12" customHeight="1">
      <c r="A1072" s="43">
        <v>7304</v>
      </c>
      <c r="B1072" s="89" t="s">
        <v>2753</v>
      </c>
      <c r="C1072" s="89" t="s">
        <v>2862</v>
      </c>
      <c r="D1072" s="89" t="s">
        <v>2863</v>
      </c>
      <c r="E1072" s="89" t="s">
        <v>2867</v>
      </c>
      <c r="F1072" s="43">
        <v>522152</v>
      </c>
      <c r="G1072" s="43">
        <v>173834</v>
      </c>
      <c r="H1072" s="89" t="s">
        <v>149</v>
      </c>
      <c r="K1072" s="140">
        <v>0</v>
      </c>
      <c r="L1072" s="140">
        <v>107</v>
      </c>
      <c r="M1072" s="140">
        <v>107</v>
      </c>
      <c r="N1072" s="140">
        <v>1103</v>
      </c>
      <c r="O1072" s="140">
        <v>815</v>
      </c>
      <c r="P1072" s="43" t="s">
        <v>329</v>
      </c>
      <c r="Q1072" s="89" t="s">
        <v>2864</v>
      </c>
      <c r="R1072" s="43" t="s">
        <v>2865</v>
      </c>
      <c r="S1072" s="125">
        <v>43623</v>
      </c>
      <c r="V1072" s="43" t="s">
        <v>317</v>
      </c>
      <c r="X1072" s="43" t="s">
        <v>318</v>
      </c>
      <c r="Y1072" s="43" t="s">
        <v>361</v>
      </c>
      <c r="Z1072" s="43" t="s">
        <v>361</v>
      </c>
      <c r="AA1072" s="43" t="s">
        <v>320</v>
      </c>
      <c r="AB1072" s="144">
        <v>0.38899999856948902</v>
      </c>
      <c r="AF1072" s="43" t="s">
        <v>75</v>
      </c>
      <c r="AG1072" s="43" t="s">
        <v>322</v>
      </c>
      <c r="AH1072" s="43" t="s">
        <v>2866</v>
      </c>
      <c r="AJ1072" s="140">
        <v>0</v>
      </c>
      <c r="AL1072" s="140">
        <v>0</v>
      </c>
      <c r="AN1072" s="140">
        <v>0</v>
      </c>
      <c r="AO1072" s="140">
        <v>32</v>
      </c>
      <c r="AP1072" s="140">
        <v>75</v>
      </c>
      <c r="AQ1072" s="140">
        <v>0</v>
      </c>
      <c r="AR1072" s="140">
        <v>0</v>
      </c>
      <c r="AS1072" s="140">
        <v>0</v>
      </c>
      <c r="AT1072" s="140">
        <v>0</v>
      </c>
      <c r="AU1072" s="140">
        <v>0</v>
      </c>
      <c r="AV1072" s="140">
        <v>32</v>
      </c>
      <c r="AW1072" s="140">
        <v>75</v>
      </c>
      <c r="AX1072" s="140">
        <v>0</v>
      </c>
      <c r="AY1072" s="140">
        <v>0</v>
      </c>
      <c r="AZ1072" s="140">
        <v>0</v>
      </c>
      <c r="BA1072" s="140">
        <v>0</v>
      </c>
      <c r="BB1072" s="140">
        <v>0</v>
      </c>
      <c r="BC1072" s="140">
        <v>0</v>
      </c>
      <c r="BD1072" s="140">
        <v>0</v>
      </c>
      <c r="BE1072" s="140">
        <v>0</v>
      </c>
      <c r="BF1072" s="140">
        <v>0</v>
      </c>
      <c r="BG1072" s="140">
        <v>0</v>
      </c>
      <c r="BH1072" s="140">
        <v>0</v>
      </c>
      <c r="BI1072" s="140">
        <v>0</v>
      </c>
      <c r="BJ1072" s="140">
        <v>0</v>
      </c>
      <c r="BK1072" s="140">
        <v>0</v>
      </c>
      <c r="BL1072" s="140">
        <v>0</v>
      </c>
      <c r="BM1072" s="140">
        <v>0</v>
      </c>
      <c r="BN1072" s="140">
        <v>0</v>
      </c>
      <c r="BO1072" s="140">
        <v>0</v>
      </c>
      <c r="BQ1072" s="89"/>
      <c r="BU1072" s="89"/>
      <c r="BX1072" s="43">
        <v>7</v>
      </c>
      <c r="CG1072" s="90">
        <f>M1072</f>
        <v>107</v>
      </c>
      <c r="CT1072" s="90">
        <f t="shared" si="144"/>
        <v>0</v>
      </c>
      <c r="CU1072" s="90">
        <f t="shared" si="145"/>
        <v>107</v>
      </c>
    </row>
    <row r="1073" spans="1:99" ht="12" customHeight="1">
      <c r="A1073" s="43">
        <v>7304</v>
      </c>
      <c r="B1073" s="89" t="s">
        <v>2753</v>
      </c>
      <c r="C1073" s="89" t="s">
        <v>2862</v>
      </c>
      <c r="D1073" s="89" t="s">
        <v>2863</v>
      </c>
      <c r="E1073" s="89" t="s">
        <v>2868</v>
      </c>
      <c r="F1073" s="43">
        <v>522152</v>
      </c>
      <c r="G1073" s="43">
        <v>173834</v>
      </c>
      <c r="H1073" s="89" t="s">
        <v>149</v>
      </c>
      <c r="K1073" s="140">
        <v>0</v>
      </c>
      <c r="L1073" s="140">
        <v>121</v>
      </c>
      <c r="M1073" s="140">
        <v>121</v>
      </c>
      <c r="N1073" s="140">
        <v>1103</v>
      </c>
      <c r="O1073" s="140">
        <v>815</v>
      </c>
      <c r="P1073" s="43" t="s">
        <v>329</v>
      </c>
      <c r="Q1073" s="89" t="s">
        <v>2864</v>
      </c>
      <c r="R1073" s="43" t="s">
        <v>2865</v>
      </c>
      <c r="S1073" s="125">
        <v>43623</v>
      </c>
      <c r="V1073" s="43" t="s">
        <v>317</v>
      </c>
      <c r="X1073" s="43" t="s">
        <v>318</v>
      </c>
      <c r="Y1073" s="43" t="s">
        <v>361</v>
      </c>
      <c r="Z1073" s="43" t="s">
        <v>361</v>
      </c>
      <c r="AA1073" s="43" t="s">
        <v>320</v>
      </c>
      <c r="AB1073" s="144">
        <v>0.43999999761581399</v>
      </c>
      <c r="AF1073" s="43" t="s">
        <v>75</v>
      </c>
      <c r="AG1073" s="43" t="s">
        <v>322</v>
      </c>
      <c r="AH1073" s="43" t="s">
        <v>2866</v>
      </c>
      <c r="AJ1073" s="140">
        <v>0</v>
      </c>
      <c r="AL1073" s="140">
        <v>0</v>
      </c>
      <c r="AN1073" s="140">
        <v>0</v>
      </c>
      <c r="AO1073" s="140">
        <v>37</v>
      </c>
      <c r="AP1073" s="140">
        <v>84</v>
      </c>
      <c r="AQ1073" s="140">
        <v>0</v>
      </c>
      <c r="AR1073" s="140">
        <v>0</v>
      </c>
      <c r="AS1073" s="140">
        <v>0</v>
      </c>
      <c r="AT1073" s="140">
        <v>0</v>
      </c>
      <c r="AU1073" s="140">
        <v>0</v>
      </c>
      <c r="AV1073" s="140">
        <v>37</v>
      </c>
      <c r="AW1073" s="140">
        <v>84</v>
      </c>
      <c r="AX1073" s="140">
        <v>0</v>
      </c>
      <c r="AY1073" s="140">
        <v>0</v>
      </c>
      <c r="AZ1073" s="140">
        <v>0</v>
      </c>
      <c r="BA1073" s="140">
        <v>0</v>
      </c>
      <c r="BB1073" s="140">
        <v>0</v>
      </c>
      <c r="BC1073" s="140">
        <v>0</v>
      </c>
      <c r="BD1073" s="140">
        <v>0</v>
      </c>
      <c r="BE1073" s="140">
        <v>0</v>
      </c>
      <c r="BF1073" s="140">
        <v>0</v>
      </c>
      <c r="BG1073" s="140">
        <v>0</v>
      </c>
      <c r="BH1073" s="140">
        <v>0</v>
      </c>
      <c r="BI1073" s="140">
        <v>0</v>
      </c>
      <c r="BJ1073" s="140">
        <v>0</v>
      </c>
      <c r="BK1073" s="140">
        <v>0</v>
      </c>
      <c r="BL1073" s="140">
        <v>0</v>
      </c>
      <c r="BM1073" s="140">
        <v>0</v>
      </c>
      <c r="BN1073" s="140">
        <v>0</v>
      </c>
      <c r="BO1073" s="140">
        <v>0</v>
      </c>
      <c r="BQ1073" s="89"/>
      <c r="BU1073" s="89"/>
      <c r="BX1073" s="43">
        <v>7</v>
      </c>
      <c r="CG1073" s="90">
        <f>M1073</f>
        <v>121</v>
      </c>
      <c r="CT1073" s="90">
        <f t="shared" si="144"/>
        <v>0</v>
      </c>
      <c r="CU1073" s="90">
        <f t="shared" si="145"/>
        <v>121</v>
      </c>
    </row>
    <row r="1074" spans="1:99" ht="12" customHeight="1">
      <c r="A1074" s="43">
        <v>7304</v>
      </c>
      <c r="B1074" s="89" t="s">
        <v>2753</v>
      </c>
      <c r="C1074" s="89" t="s">
        <v>2862</v>
      </c>
      <c r="D1074" s="89" t="s">
        <v>2863</v>
      </c>
      <c r="E1074" s="89" t="s">
        <v>2869</v>
      </c>
      <c r="F1074" s="43">
        <v>522152</v>
      </c>
      <c r="G1074" s="43">
        <v>173834</v>
      </c>
      <c r="H1074" s="89" t="s">
        <v>149</v>
      </c>
      <c r="K1074" s="140">
        <v>0</v>
      </c>
      <c r="L1074" s="140">
        <v>40</v>
      </c>
      <c r="M1074" s="140">
        <v>40</v>
      </c>
      <c r="N1074" s="140">
        <v>1103</v>
      </c>
      <c r="O1074" s="140">
        <v>815</v>
      </c>
      <c r="P1074" s="43" t="s">
        <v>329</v>
      </c>
      <c r="Q1074" s="89" t="s">
        <v>2864</v>
      </c>
      <c r="R1074" s="43" t="s">
        <v>2865</v>
      </c>
      <c r="S1074" s="125">
        <v>43623</v>
      </c>
      <c r="V1074" s="43" t="s">
        <v>317</v>
      </c>
      <c r="X1074" s="43" t="s">
        <v>318</v>
      </c>
      <c r="Y1074" s="43" t="s">
        <v>361</v>
      </c>
      <c r="Z1074" s="43" t="s">
        <v>361</v>
      </c>
      <c r="AA1074" s="43" t="s">
        <v>320</v>
      </c>
      <c r="AB1074" s="144">
        <v>0.144999995827675</v>
      </c>
      <c r="AF1074" s="43" t="s">
        <v>75</v>
      </c>
      <c r="AG1074" s="43" t="s">
        <v>322</v>
      </c>
      <c r="AH1074" s="43" t="s">
        <v>2866</v>
      </c>
      <c r="AJ1074" s="140">
        <v>0</v>
      </c>
      <c r="AL1074" s="140">
        <v>0</v>
      </c>
      <c r="AN1074" s="140">
        <v>0</v>
      </c>
      <c r="AO1074" s="140">
        <v>20</v>
      </c>
      <c r="AP1074" s="140">
        <v>20</v>
      </c>
      <c r="AQ1074" s="140">
        <v>0</v>
      </c>
      <c r="AR1074" s="140">
        <v>0</v>
      </c>
      <c r="AS1074" s="140">
        <v>0</v>
      </c>
      <c r="AT1074" s="140">
        <v>0</v>
      </c>
      <c r="AU1074" s="140">
        <v>0</v>
      </c>
      <c r="AV1074" s="140">
        <v>20</v>
      </c>
      <c r="AW1074" s="140">
        <v>20</v>
      </c>
      <c r="AX1074" s="140">
        <v>0</v>
      </c>
      <c r="AY1074" s="140">
        <v>0</v>
      </c>
      <c r="AZ1074" s="140">
        <v>0</v>
      </c>
      <c r="BA1074" s="140">
        <v>0</v>
      </c>
      <c r="BB1074" s="140">
        <v>0</v>
      </c>
      <c r="BC1074" s="140">
        <v>0</v>
      </c>
      <c r="BD1074" s="140">
        <v>0</v>
      </c>
      <c r="BE1074" s="140">
        <v>0</v>
      </c>
      <c r="BF1074" s="140">
        <v>0</v>
      </c>
      <c r="BG1074" s="140">
        <v>0</v>
      </c>
      <c r="BH1074" s="140">
        <v>0</v>
      </c>
      <c r="BI1074" s="140">
        <v>0</v>
      </c>
      <c r="BJ1074" s="140">
        <v>0</v>
      </c>
      <c r="BK1074" s="140">
        <v>0</v>
      </c>
      <c r="BL1074" s="140">
        <v>0</v>
      </c>
      <c r="BM1074" s="140">
        <v>0</v>
      </c>
      <c r="BN1074" s="140">
        <v>0</v>
      </c>
      <c r="BO1074" s="140">
        <v>0</v>
      </c>
      <c r="BQ1074" s="89"/>
      <c r="BU1074" s="89"/>
      <c r="BX1074" s="43">
        <v>7</v>
      </c>
      <c r="CE1074" s="90">
        <f>M1074</f>
        <v>40</v>
      </c>
      <c r="CT1074" s="90">
        <f t="shared" si="144"/>
        <v>0</v>
      </c>
      <c r="CU1074" s="90">
        <f t="shared" si="145"/>
        <v>40</v>
      </c>
    </row>
    <row r="1075" spans="1:99" ht="12" customHeight="1">
      <c r="A1075" s="43">
        <v>7304</v>
      </c>
      <c r="B1075" s="89" t="s">
        <v>2753</v>
      </c>
      <c r="C1075" s="89" t="s">
        <v>2862</v>
      </c>
      <c r="D1075" s="89" t="s">
        <v>2863</v>
      </c>
      <c r="E1075" s="89" t="s">
        <v>2870</v>
      </c>
      <c r="F1075" s="43">
        <v>522152</v>
      </c>
      <c r="G1075" s="43">
        <v>173834</v>
      </c>
      <c r="H1075" s="89" t="s">
        <v>149</v>
      </c>
      <c r="K1075" s="140">
        <v>0</v>
      </c>
      <c r="L1075" s="140">
        <v>111</v>
      </c>
      <c r="M1075" s="140">
        <v>111</v>
      </c>
      <c r="N1075" s="140">
        <v>1103</v>
      </c>
      <c r="O1075" s="140">
        <v>815</v>
      </c>
      <c r="P1075" s="43" t="s">
        <v>329</v>
      </c>
      <c r="Q1075" s="89" t="s">
        <v>2864</v>
      </c>
      <c r="R1075" s="43" t="s">
        <v>2865</v>
      </c>
      <c r="S1075" s="125">
        <v>43623</v>
      </c>
      <c r="V1075" s="43" t="s">
        <v>317</v>
      </c>
      <c r="X1075" s="43" t="s">
        <v>318</v>
      </c>
      <c r="Y1075" s="43" t="s">
        <v>361</v>
      </c>
      <c r="Z1075" s="43" t="s">
        <v>361</v>
      </c>
      <c r="AA1075" s="43" t="s">
        <v>320</v>
      </c>
      <c r="AB1075" s="144">
        <v>0.402999997138977</v>
      </c>
      <c r="AF1075" s="43" t="s">
        <v>55</v>
      </c>
      <c r="AG1075" s="43" t="s">
        <v>438</v>
      </c>
      <c r="AH1075" s="43" t="s">
        <v>2866</v>
      </c>
      <c r="AJ1075" s="140">
        <v>0</v>
      </c>
      <c r="AL1075" s="140">
        <v>0</v>
      </c>
      <c r="AN1075" s="140">
        <v>0</v>
      </c>
      <c r="AO1075" s="140">
        <v>18</v>
      </c>
      <c r="AP1075" s="140">
        <v>33</v>
      </c>
      <c r="AQ1075" s="140">
        <v>35</v>
      </c>
      <c r="AR1075" s="140">
        <v>25</v>
      </c>
      <c r="AS1075" s="140">
        <v>0</v>
      </c>
      <c r="AT1075" s="140">
        <v>0</v>
      </c>
      <c r="AU1075" s="140">
        <v>0</v>
      </c>
      <c r="AV1075" s="140">
        <v>18</v>
      </c>
      <c r="AW1075" s="140">
        <v>33</v>
      </c>
      <c r="AX1075" s="140">
        <v>35</v>
      </c>
      <c r="AY1075" s="140">
        <v>25</v>
      </c>
      <c r="AZ1075" s="140">
        <v>0</v>
      </c>
      <c r="BA1075" s="140">
        <v>0</v>
      </c>
      <c r="BB1075" s="140">
        <v>0</v>
      </c>
      <c r="BC1075" s="140">
        <v>0</v>
      </c>
      <c r="BD1075" s="140">
        <v>0</v>
      </c>
      <c r="BE1075" s="140">
        <v>0</v>
      </c>
      <c r="BF1075" s="140">
        <v>0</v>
      </c>
      <c r="BG1075" s="140">
        <v>0</v>
      </c>
      <c r="BH1075" s="140">
        <v>0</v>
      </c>
      <c r="BI1075" s="140">
        <v>0</v>
      </c>
      <c r="BJ1075" s="140">
        <v>0</v>
      </c>
      <c r="BK1075" s="140">
        <v>0</v>
      </c>
      <c r="BL1075" s="140">
        <v>0</v>
      </c>
      <c r="BM1075" s="140">
        <v>0</v>
      </c>
      <c r="BN1075" s="140">
        <v>0</v>
      </c>
      <c r="BO1075" s="140">
        <v>0</v>
      </c>
      <c r="BQ1075" s="89"/>
      <c r="BU1075" s="89"/>
      <c r="BX1075" s="43">
        <v>7</v>
      </c>
      <c r="CG1075" s="90">
        <f>M1075</f>
        <v>111</v>
      </c>
      <c r="CT1075" s="90">
        <f t="shared" si="144"/>
        <v>0</v>
      </c>
      <c r="CU1075" s="90">
        <f t="shared" si="145"/>
        <v>111</v>
      </c>
    </row>
    <row r="1076" spans="1:99" ht="12" customHeight="1">
      <c r="A1076" s="43">
        <v>7304</v>
      </c>
      <c r="B1076" s="89" t="s">
        <v>2753</v>
      </c>
      <c r="C1076" s="89" t="s">
        <v>2862</v>
      </c>
      <c r="D1076" s="89" t="s">
        <v>2863</v>
      </c>
      <c r="E1076" s="89" t="s">
        <v>2870</v>
      </c>
      <c r="F1076" s="43">
        <v>522152</v>
      </c>
      <c r="G1076" s="43">
        <v>173834</v>
      </c>
      <c r="H1076" s="89" t="s">
        <v>149</v>
      </c>
      <c r="K1076" s="140">
        <v>0</v>
      </c>
      <c r="L1076" s="140">
        <v>45</v>
      </c>
      <c r="M1076" s="140">
        <v>45</v>
      </c>
      <c r="N1076" s="140">
        <v>1103</v>
      </c>
      <c r="O1076" s="140">
        <v>815</v>
      </c>
      <c r="P1076" s="43" t="s">
        <v>329</v>
      </c>
      <c r="Q1076" s="89" t="s">
        <v>2864</v>
      </c>
      <c r="R1076" s="43" t="s">
        <v>2865</v>
      </c>
      <c r="S1076" s="125">
        <v>43623</v>
      </c>
      <c r="V1076" s="43" t="s">
        <v>317</v>
      </c>
      <c r="X1076" s="43" t="s">
        <v>318</v>
      </c>
      <c r="Y1076" s="43" t="s">
        <v>361</v>
      </c>
      <c r="Z1076" s="43" t="s">
        <v>361</v>
      </c>
      <c r="AA1076" s="43" t="s">
        <v>320</v>
      </c>
      <c r="AB1076" s="144">
        <v>0.164000004529953</v>
      </c>
      <c r="AF1076" s="43" t="s">
        <v>54</v>
      </c>
      <c r="AG1076" s="43" t="s">
        <v>1659</v>
      </c>
      <c r="AH1076" s="43" t="s">
        <v>2866</v>
      </c>
      <c r="AJ1076" s="140">
        <v>0</v>
      </c>
      <c r="AL1076" s="140">
        <v>0</v>
      </c>
      <c r="AN1076" s="140">
        <v>0</v>
      </c>
      <c r="AO1076" s="140">
        <v>1</v>
      </c>
      <c r="AP1076" s="140">
        <v>6</v>
      </c>
      <c r="AQ1076" s="140">
        <v>38</v>
      </c>
      <c r="AR1076" s="140">
        <v>0</v>
      </c>
      <c r="AS1076" s="140">
        <v>0</v>
      </c>
      <c r="AT1076" s="140">
        <v>0</v>
      </c>
      <c r="AU1076" s="140">
        <v>0</v>
      </c>
      <c r="AV1076" s="140">
        <v>1</v>
      </c>
      <c r="AW1076" s="140">
        <v>6</v>
      </c>
      <c r="AX1076" s="140">
        <v>38</v>
      </c>
      <c r="AY1076" s="140">
        <v>0</v>
      </c>
      <c r="AZ1076" s="140">
        <v>0</v>
      </c>
      <c r="BA1076" s="140">
        <v>0</v>
      </c>
      <c r="BB1076" s="140">
        <v>0</v>
      </c>
      <c r="BC1076" s="140">
        <v>0</v>
      </c>
      <c r="BD1076" s="140">
        <v>0</v>
      </c>
      <c r="BE1076" s="140">
        <v>0</v>
      </c>
      <c r="BF1076" s="140">
        <v>0</v>
      </c>
      <c r="BG1076" s="140">
        <v>0</v>
      </c>
      <c r="BH1076" s="140">
        <v>0</v>
      </c>
      <c r="BI1076" s="140">
        <v>0</v>
      </c>
      <c r="BJ1076" s="140">
        <v>0</v>
      </c>
      <c r="BK1076" s="140">
        <v>0</v>
      </c>
      <c r="BL1076" s="140">
        <v>0</v>
      </c>
      <c r="BM1076" s="140">
        <v>0</v>
      </c>
      <c r="BN1076" s="140">
        <v>0</v>
      </c>
      <c r="BO1076" s="140">
        <v>0</v>
      </c>
      <c r="BQ1076" s="89"/>
      <c r="BU1076" s="89"/>
      <c r="BX1076" s="43">
        <v>7</v>
      </c>
      <c r="CG1076" s="90">
        <f>M1076</f>
        <v>45</v>
      </c>
      <c r="CT1076" s="90">
        <f t="shared" si="144"/>
        <v>0</v>
      </c>
      <c r="CU1076" s="90">
        <f t="shared" si="145"/>
        <v>45</v>
      </c>
    </row>
    <row r="1077" spans="1:99" ht="12" customHeight="1">
      <c r="A1077" s="43">
        <v>7304</v>
      </c>
      <c r="B1077" s="89" t="s">
        <v>2753</v>
      </c>
      <c r="C1077" s="89" t="s">
        <v>2862</v>
      </c>
      <c r="D1077" s="89" t="s">
        <v>2863</v>
      </c>
      <c r="E1077" s="89" t="s">
        <v>2871</v>
      </c>
      <c r="F1077" s="43">
        <v>522152</v>
      </c>
      <c r="G1077" s="43">
        <v>173834</v>
      </c>
      <c r="H1077" s="89" t="s">
        <v>149</v>
      </c>
      <c r="K1077" s="140">
        <v>0</v>
      </c>
      <c r="L1077" s="140">
        <v>349</v>
      </c>
      <c r="M1077" s="140">
        <v>349</v>
      </c>
      <c r="N1077" s="140">
        <v>1103</v>
      </c>
      <c r="O1077" s="140">
        <v>815</v>
      </c>
      <c r="P1077" s="43" t="s">
        <v>329</v>
      </c>
      <c r="Q1077" s="89" t="s">
        <v>2864</v>
      </c>
      <c r="R1077" s="43" t="s">
        <v>2865</v>
      </c>
      <c r="S1077" s="125">
        <v>43623</v>
      </c>
      <c r="V1077" s="43" t="s">
        <v>317</v>
      </c>
      <c r="X1077" s="43" t="s">
        <v>318</v>
      </c>
      <c r="Y1077" s="43" t="s">
        <v>361</v>
      </c>
      <c r="Z1077" s="43" t="s">
        <v>361</v>
      </c>
      <c r="AA1077" s="43" t="s">
        <v>320</v>
      </c>
      <c r="AB1077" s="144">
        <v>1.26800000667572</v>
      </c>
      <c r="AF1077" s="43" t="s">
        <v>75</v>
      </c>
      <c r="AG1077" s="43" t="s">
        <v>322</v>
      </c>
      <c r="AH1077" s="43" t="s">
        <v>2866</v>
      </c>
      <c r="AJ1077" s="140">
        <v>0</v>
      </c>
      <c r="AL1077" s="140">
        <v>0</v>
      </c>
      <c r="AN1077" s="140">
        <v>0</v>
      </c>
      <c r="AO1077" s="140">
        <v>0</v>
      </c>
      <c r="AP1077" s="140">
        <v>0</v>
      </c>
      <c r="AQ1077" s="140">
        <v>0</v>
      </c>
      <c r="AR1077" s="140">
        <v>0</v>
      </c>
      <c r="AS1077" s="140">
        <v>0</v>
      </c>
      <c r="AT1077" s="140">
        <v>349</v>
      </c>
      <c r="AU1077" s="140">
        <v>0</v>
      </c>
      <c r="AV1077" s="140">
        <v>0</v>
      </c>
      <c r="AW1077" s="140">
        <v>0</v>
      </c>
      <c r="AX1077" s="140">
        <v>0</v>
      </c>
      <c r="AY1077" s="140">
        <v>0</v>
      </c>
      <c r="AZ1077" s="140">
        <v>0</v>
      </c>
      <c r="BA1077" s="140">
        <v>349</v>
      </c>
      <c r="BB1077" s="140">
        <v>0</v>
      </c>
      <c r="BC1077" s="140">
        <v>0</v>
      </c>
      <c r="BD1077" s="140">
        <v>0</v>
      </c>
      <c r="BE1077" s="140">
        <v>0</v>
      </c>
      <c r="BF1077" s="140">
        <v>0</v>
      </c>
      <c r="BG1077" s="140">
        <v>0</v>
      </c>
      <c r="BH1077" s="140">
        <v>0</v>
      </c>
      <c r="BI1077" s="140">
        <v>0</v>
      </c>
      <c r="BJ1077" s="140">
        <v>0</v>
      </c>
      <c r="BK1077" s="140">
        <v>0</v>
      </c>
      <c r="BL1077" s="140">
        <v>0</v>
      </c>
      <c r="BM1077" s="140">
        <v>0</v>
      </c>
      <c r="BN1077" s="140">
        <v>0</v>
      </c>
      <c r="BO1077" s="140">
        <v>0</v>
      </c>
      <c r="BQ1077" s="89"/>
      <c r="BU1077" s="89"/>
      <c r="BX1077" s="43">
        <v>7</v>
      </c>
      <c r="CJ1077" s="90">
        <f>M1077</f>
        <v>349</v>
      </c>
      <c r="CT1077" s="90">
        <f t="shared" si="144"/>
        <v>0</v>
      </c>
      <c r="CU1077" s="90">
        <f t="shared" si="145"/>
        <v>0</v>
      </c>
    </row>
    <row r="1078" spans="1:99" ht="12" customHeight="1">
      <c r="A1078" s="43">
        <v>7304</v>
      </c>
      <c r="B1078" s="89" t="s">
        <v>2753</v>
      </c>
      <c r="C1078" s="89" t="s">
        <v>2862</v>
      </c>
      <c r="D1078" s="89" t="s">
        <v>2863</v>
      </c>
      <c r="E1078" s="89" t="s">
        <v>2871</v>
      </c>
      <c r="F1078" s="43">
        <v>522152</v>
      </c>
      <c r="G1078" s="43">
        <v>173834</v>
      </c>
      <c r="H1078" s="89" t="s">
        <v>149</v>
      </c>
      <c r="K1078" s="140">
        <v>0</v>
      </c>
      <c r="L1078" s="140">
        <v>77</v>
      </c>
      <c r="M1078" s="140">
        <v>77</v>
      </c>
      <c r="N1078" s="140">
        <v>1103</v>
      </c>
      <c r="O1078" s="140">
        <v>815</v>
      </c>
      <c r="P1078" s="43" t="s">
        <v>329</v>
      </c>
      <c r="Q1078" s="89" t="s">
        <v>2864</v>
      </c>
      <c r="R1078" s="43" t="s">
        <v>2865</v>
      </c>
      <c r="S1078" s="125">
        <v>43623</v>
      </c>
      <c r="V1078" s="43" t="s">
        <v>317</v>
      </c>
      <c r="X1078" s="43" t="s">
        <v>318</v>
      </c>
      <c r="Y1078" s="43" t="s">
        <v>361</v>
      </c>
      <c r="Z1078" s="43" t="s">
        <v>361</v>
      </c>
      <c r="AA1078" s="43" t="s">
        <v>320</v>
      </c>
      <c r="AB1078" s="144">
        <v>0.28000000119209301</v>
      </c>
      <c r="AF1078" s="43" t="s">
        <v>55</v>
      </c>
      <c r="AG1078" s="43" t="s">
        <v>438</v>
      </c>
      <c r="AH1078" s="43" t="s">
        <v>2866</v>
      </c>
      <c r="AJ1078" s="140">
        <v>0</v>
      </c>
      <c r="AL1078" s="140">
        <v>0</v>
      </c>
      <c r="AN1078" s="140">
        <v>0</v>
      </c>
      <c r="AO1078" s="140">
        <v>12</v>
      </c>
      <c r="AP1078" s="140">
        <v>23</v>
      </c>
      <c r="AQ1078" s="140">
        <v>42</v>
      </c>
      <c r="AR1078" s="140">
        <v>0</v>
      </c>
      <c r="AS1078" s="140">
        <v>0</v>
      </c>
      <c r="AT1078" s="140">
        <v>0</v>
      </c>
      <c r="AU1078" s="140">
        <v>0</v>
      </c>
      <c r="AV1078" s="140">
        <v>12</v>
      </c>
      <c r="AW1078" s="140">
        <v>23</v>
      </c>
      <c r="AX1078" s="140">
        <v>42</v>
      </c>
      <c r="AY1078" s="140">
        <v>0</v>
      </c>
      <c r="AZ1078" s="140">
        <v>0</v>
      </c>
      <c r="BA1078" s="140">
        <v>0</v>
      </c>
      <c r="BB1078" s="140">
        <v>0</v>
      </c>
      <c r="BC1078" s="140">
        <v>0</v>
      </c>
      <c r="BD1078" s="140">
        <v>0</v>
      </c>
      <c r="BE1078" s="140">
        <v>0</v>
      </c>
      <c r="BF1078" s="140">
        <v>0</v>
      </c>
      <c r="BG1078" s="140">
        <v>0</v>
      </c>
      <c r="BH1078" s="140">
        <v>0</v>
      </c>
      <c r="BI1078" s="140">
        <v>0</v>
      </c>
      <c r="BJ1078" s="140">
        <v>0</v>
      </c>
      <c r="BK1078" s="140">
        <v>0</v>
      </c>
      <c r="BL1078" s="140">
        <v>0</v>
      </c>
      <c r="BM1078" s="140">
        <v>0</v>
      </c>
      <c r="BN1078" s="140">
        <v>0</v>
      </c>
      <c r="BO1078" s="140">
        <v>0</v>
      </c>
      <c r="BQ1078" s="89"/>
      <c r="BU1078" s="89"/>
      <c r="BX1078" s="43">
        <v>7</v>
      </c>
      <c r="CJ1078" s="90">
        <f>M1078</f>
        <v>77</v>
      </c>
      <c r="CT1078" s="90">
        <f t="shared" si="144"/>
        <v>0</v>
      </c>
      <c r="CU1078" s="90">
        <f t="shared" si="145"/>
        <v>0</v>
      </c>
    </row>
    <row r="1079" spans="1:99" ht="12" customHeight="1">
      <c r="A1079" s="43">
        <v>7304</v>
      </c>
      <c r="B1079" s="89" t="s">
        <v>2753</v>
      </c>
      <c r="C1079" s="89" t="s">
        <v>2862</v>
      </c>
      <c r="D1079" s="89" t="s">
        <v>2863</v>
      </c>
      <c r="E1079" s="89" t="s">
        <v>2871</v>
      </c>
      <c r="F1079" s="43">
        <v>522152</v>
      </c>
      <c r="G1079" s="43">
        <v>173834</v>
      </c>
      <c r="H1079" s="89" t="s">
        <v>149</v>
      </c>
      <c r="K1079" s="140">
        <v>0</v>
      </c>
      <c r="L1079" s="140">
        <v>23</v>
      </c>
      <c r="M1079" s="140">
        <v>23</v>
      </c>
      <c r="N1079" s="140">
        <v>1103</v>
      </c>
      <c r="O1079" s="140">
        <v>815</v>
      </c>
      <c r="P1079" s="43" t="s">
        <v>329</v>
      </c>
      <c r="Q1079" s="89" t="s">
        <v>2864</v>
      </c>
      <c r="R1079" s="43" t="s">
        <v>2865</v>
      </c>
      <c r="S1079" s="125">
        <v>43623</v>
      </c>
      <c r="V1079" s="43" t="s">
        <v>317</v>
      </c>
      <c r="X1079" s="43" t="s">
        <v>318</v>
      </c>
      <c r="Y1079" s="43" t="s">
        <v>361</v>
      </c>
      <c r="Z1079" s="43" t="s">
        <v>361</v>
      </c>
      <c r="AA1079" s="43" t="s">
        <v>320</v>
      </c>
      <c r="AB1079" s="144">
        <v>0.28000000119209301</v>
      </c>
      <c r="AF1079" s="43" t="s">
        <v>54</v>
      </c>
      <c r="AG1079" s="43" t="s">
        <v>1659</v>
      </c>
      <c r="AH1079" s="43" t="s">
        <v>2866</v>
      </c>
      <c r="AJ1079" s="140">
        <v>0</v>
      </c>
      <c r="AL1079" s="140">
        <v>0</v>
      </c>
      <c r="AN1079" s="140">
        <v>0</v>
      </c>
      <c r="AO1079" s="140">
        <v>0</v>
      </c>
      <c r="AP1079" s="140">
        <v>0</v>
      </c>
      <c r="AQ1079" s="140">
        <v>0</v>
      </c>
      <c r="AR1079" s="140">
        <v>0</v>
      </c>
      <c r="AS1079" s="140">
        <v>0</v>
      </c>
      <c r="AT1079" s="140">
        <v>23</v>
      </c>
      <c r="AU1079" s="140">
        <v>0</v>
      </c>
      <c r="AV1079" s="140">
        <v>0</v>
      </c>
      <c r="AW1079" s="140">
        <v>0</v>
      </c>
      <c r="AX1079" s="140">
        <v>0</v>
      </c>
      <c r="AY1079" s="140">
        <v>0</v>
      </c>
      <c r="AZ1079" s="140">
        <v>0</v>
      </c>
      <c r="BA1079" s="140">
        <v>23</v>
      </c>
      <c r="BB1079" s="140">
        <v>0</v>
      </c>
      <c r="BC1079" s="140">
        <v>0</v>
      </c>
      <c r="BD1079" s="140">
        <v>0</v>
      </c>
      <c r="BE1079" s="140">
        <v>0</v>
      </c>
      <c r="BF1079" s="140">
        <v>0</v>
      </c>
      <c r="BG1079" s="140">
        <v>0</v>
      </c>
      <c r="BH1079" s="140">
        <v>0</v>
      </c>
      <c r="BI1079" s="140">
        <v>0</v>
      </c>
      <c r="BJ1079" s="140">
        <v>0</v>
      </c>
      <c r="BK1079" s="140">
        <v>0</v>
      </c>
      <c r="BL1079" s="140">
        <v>0</v>
      </c>
      <c r="BM1079" s="140">
        <v>0</v>
      </c>
      <c r="BN1079" s="140">
        <v>0</v>
      </c>
      <c r="BO1079" s="140">
        <v>0</v>
      </c>
      <c r="BQ1079" s="89"/>
      <c r="BU1079" s="89"/>
      <c r="BX1079" s="43">
        <v>7</v>
      </c>
      <c r="CJ1079" s="90">
        <f>M1079</f>
        <v>23</v>
      </c>
      <c r="CT1079" s="90">
        <f t="shared" si="144"/>
        <v>0</v>
      </c>
      <c r="CU1079" s="90">
        <f t="shared" si="145"/>
        <v>0</v>
      </c>
    </row>
    <row r="1080" spans="1:99" ht="12" customHeight="1">
      <c r="A1080" s="43">
        <v>7304</v>
      </c>
      <c r="B1080" s="89" t="s">
        <v>2753</v>
      </c>
      <c r="C1080" s="89" t="s">
        <v>2862</v>
      </c>
      <c r="D1080" s="89" t="s">
        <v>2863</v>
      </c>
      <c r="E1080" s="89" t="s">
        <v>2601</v>
      </c>
      <c r="F1080" s="43">
        <v>522152</v>
      </c>
      <c r="G1080" s="43">
        <v>173834</v>
      </c>
      <c r="H1080" s="89" t="s">
        <v>149</v>
      </c>
      <c r="K1080" s="140">
        <v>130</v>
      </c>
      <c r="L1080" s="140">
        <v>0</v>
      </c>
      <c r="M1080" s="140">
        <v>-130</v>
      </c>
      <c r="N1080" s="140">
        <v>1103</v>
      </c>
      <c r="O1080" s="140">
        <v>815</v>
      </c>
      <c r="P1080" s="43" t="s">
        <v>329</v>
      </c>
      <c r="Q1080" s="89" t="s">
        <v>2864</v>
      </c>
      <c r="R1080" s="43" t="s">
        <v>2865</v>
      </c>
      <c r="S1080" s="125">
        <v>43623</v>
      </c>
      <c r="V1080" s="43" t="s">
        <v>317</v>
      </c>
      <c r="X1080" s="43" t="s">
        <v>318</v>
      </c>
      <c r="Y1080" s="43" t="s">
        <v>361</v>
      </c>
      <c r="Z1080" s="43" t="s">
        <v>361</v>
      </c>
      <c r="AA1080" s="43" t="s">
        <v>320</v>
      </c>
      <c r="AB1080" s="144">
        <v>0</v>
      </c>
      <c r="AF1080" s="43" t="s">
        <v>75</v>
      </c>
      <c r="AG1080" s="43" t="s">
        <v>322</v>
      </c>
      <c r="AH1080" s="43" t="s">
        <v>2866</v>
      </c>
      <c r="AJ1080" s="140">
        <v>0</v>
      </c>
      <c r="AL1080" s="140">
        <v>0</v>
      </c>
      <c r="AN1080" s="140">
        <v>0</v>
      </c>
      <c r="AO1080" s="140">
        <v>-4</v>
      </c>
      <c r="AP1080" s="140">
        <v>-8</v>
      </c>
      <c r="AQ1080" s="140">
        <v>-118</v>
      </c>
      <c r="AR1080" s="140">
        <v>0</v>
      </c>
      <c r="AS1080" s="140">
        <v>0</v>
      </c>
      <c r="AT1080" s="140">
        <v>0</v>
      </c>
      <c r="AU1080" s="140">
        <v>0</v>
      </c>
      <c r="AV1080" s="140">
        <v>-4</v>
      </c>
      <c r="AW1080" s="140">
        <v>-8</v>
      </c>
      <c r="AX1080" s="140">
        <v>-118</v>
      </c>
      <c r="AY1080" s="140">
        <v>0</v>
      </c>
      <c r="AZ1080" s="140">
        <v>0</v>
      </c>
      <c r="BA1080" s="140">
        <v>0</v>
      </c>
      <c r="BB1080" s="140">
        <v>0</v>
      </c>
      <c r="BC1080" s="140">
        <v>0</v>
      </c>
      <c r="BD1080" s="140">
        <v>0</v>
      </c>
      <c r="BE1080" s="140">
        <v>0</v>
      </c>
      <c r="BF1080" s="140">
        <v>0</v>
      </c>
      <c r="BG1080" s="140">
        <v>0</v>
      </c>
      <c r="BH1080" s="140">
        <v>0</v>
      </c>
      <c r="BI1080" s="140">
        <v>0</v>
      </c>
      <c r="BJ1080" s="140">
        <v>0</v>
      </c>
      <c r="BK1080" s="140">
        <v>0</v>
      </c>
      <c r="BL1080" s="140">
        <v>0</v>
      </c>
      <c r="BM1080" s="140">
        <v>0</v>
      </c>
      <c r="BN1080" s="140">
        <v>0</v>
      </c>
      <c r="BO1080" s="140">
        <v>0</v>
      </c>
      <c r="BQ1080" s="89"/>
      <c r="BU1080" s="89"/>
      <c r="BX1080" s="43">
        <v>7</v>
      </c>
      <c r="CG1080" s="90">
        <f>M1080</f>
        <v>-130</v>
      </c>
      <c r="CT1080" s="90">
        <f t="shared" si="144"/>
        <v>0</v>
      </c>
      <c r="CU1080" s="90">
        <f t="shared" si="145"/>
        <v>-130</v>
      </c>
    </row>
    <row r="1081" spans="1:99" ht="12" customHeight="1">
      <c r="A1081" s="43">
        <v>7304</v>
      </c>
      <c r="B1081" s="89" t="s">
        <v>2753</v>
      </c>
      <c r="C1081" s="89" t="s">
        <v>2862</v>
      </c>
      <c r="D1081" s="89" t="s">
        <v>2863</v>
      </c>
      <c r="E1081" s="89" t="s">
        <v>2601</v>
      </c>
      <c r="F1081" s="43">
        <v>522152</v>
      </c>
      <c r="G1081" s="43">
        <v>173834</v>
      </c>
      <c r="H1081" s="89" t="s">
        <v>149</v>
      </c>
      <c r="K1081" s="140">
        <v>158</v>
      </c>
      <c r="L1081" s="140">
        <v>0</v>
      </c>
      <c r="M1081" s="140">
        <v>-158</v>
      </c>
      <c r="N1081" s="140">
        <v>1103</v>
      </c>
      <c r="O1081" s="140">
        <v>815</v>
      </c>
      <c r="P1081" s="43" t="s">
        <v>329</v>
      </c>
      <c r="Q1081" s="89" t="s">
        <v>2864</v>
      </c>
      <c r="R1081" s="43" t="s">
        <v>2865</v>
      </c>
      <c r="S1081" s="125">
        <v>43623</v>
      </c>
      <c r="V1081" s="43" t="s">
        <v>317</v>
      </c>
      <c r="X1081" s="43" t="s">
        <v>318</v>
      </c>
      <c r="Y1081" s="43" t="s">
        <v>361</v>
      </c>
      <c r="Z1081" s="43" t="s">
        <v>361</v>
      </c>
      <c r="AA1081" s="43" t="s">
        <v>320</v>
      </c>
      <c r="AB1081" s="144">
        <v>0</v>
      </c>
      <c r="AF1081" s="43" t="s">
        <v>55</v>
      </c>
      <c r="AG1081" s="43" t="s">
        <v>438</v>
      </c>
      <c r="AH1081" s="43" t="s">
        <v>2866</v>
      </c>
      <c r="AJ1081" s="140">
        <v>0</v>
      </c>
      <c r="AL1081" s="140">
        <v>0</v>
      </c>
      <c r="AN1081" s="140">
        <v>0</v>
      </c>
      <c r="AO1081" s="140">
        <v>-20</v>
      </c>
      <c r="AP1081" s="140">
        <v>-34</v>
      </c>
      <c r="AQ1081" s="140">
        <v>-103</v>
      </c>
      <c r="AR1081" s="140">
        <v>0</v>
      </c>
      <c r="AS1081" s="140">
        <v>-1</v>
      </c>
      <c r="AT1081" s="140">
        <v>0</v>
      </c>
      <c r="AU1081" s="140">
        <v>0</v>
      </c>
      <c r="AV1081" s="140">
        <v>-20</v>
      </c>
      <c r="AW1081" s="140">
        <v>-34</v>
      </c>
      <c r="AX1081" s="140">
        <v>-103</v>
      </c>
      <c r="AY1081" s="140">
        <v>0</v>
      </c>
      <c r="AZ1081" s="140">
        <v>-1</v>
      </c>
      <c r="BA1081" s="140">
        <v>0</v>
      </c>
      <c r="BB1081" s="140">
        <v>0</v>
      </c>
      <c r="BC1081" s="140">
        <v>0</v>
      </c>
      <c r="BD1081" s="140">
        <v>0</v>
      </c>
      <c r="BE1081" s="140">
        <v>0</v>
      </c>
      <c r="BF1081" s="140">
        <v>0</v>
      </c>
      <c r="BG1081" s="140">
        <v>0</v>
      </c>
      <c r="BH1081" s="140">
        <v>0</v>
      </c>
      <c r="BI1081" s="140">
        <v>0</v>
      </c>
      <c r="BJ1081" s="140">
        <v>0</v>
      </c>
      <c r="BK1081" s="140">
        <v>0</v>
      </c>
      <c r="BL1081" s="140">
        <v>0</v>
      </c>
      <c r="BM1081" s="140">
        <v>0</v>
      </c>
      <c r="BN1081" s="140">
        <v>0</v>
      </c>
      <c r="BO1081" s="140">
        <v>0</v>
      </c>
      <c r="BQ1081" s="89"/>
      <c r="BU1081" s="89"/>
      <c r="BX1081" s="43">
        <v>7</v>
      </c>
      <c r="CG1081" s="90">
        <f>M1081</f>
        <v>-158</v>
      </c>
      <c r="CT1081" s="90">
        <f t="shared" si="144"/>
        <v>0</v>
      </c>
      <c r="CU1081" s="90">
        <f t="shared" si="145"/>
        <v>-158</v>
      </c>
    </row>
    <row r="1082" spans="1:99" ht="12" customHeight="1">
      <c r="A1082" s="43">
        <v>7305</v>
      </c>
      <c r="B1082" s="89" t="s">
        <v>2753</v>
      </c>
      <c r="C1082" s="89" t="s">
        <v>2872</v>
      </c>
      <c r="D1082" s="89" t="s">
        <v>2873</v>
      </c>
      <c r="F1082" s="43">
        <v>529000</v>
      </c>
      <c r="G1082" s="43">
        <v>173317</v>
      </c>
      <c r="H1082" s="89" t="s">
        <v>138</v>
      </c>
      <c r="K1082" s="140">
        <v>0</v>
      </c>
      <c r="L1082" s="140">
        <v>1</v>
      </c>
      <c r="M1082" s="140">
        <v>1</v>
      </c>
      <c r="N1082" s="140">
        <v>1</v>
      </c>
      <c r="O1082" s="140">
        <v>1</v>
      </c>
      <c r="Q1082" s="89" t="s">
        <v>2874</v>
      </c>
      <c r="R1082" s="43" t="s">
        <v>2725</v>
      </c>
      <c r="S1082" s="125">
        <v>43896</v>
      </c>
      <c r="V1082" s="43" t="s">
        <v>317</v>
      </c>
      <c r="X1082" s="43" t="s">
        <v>318</v>
      </c>
      <c r="Y1082" s="43" t="s">
        <v>319</v>
      </c>
      <c r="Z1082" s="43" t="s">
        <v>320</v>
      </c>
      <c r="AA1082" s="43" t="s">
        <v>30</v>
      </c>
      <c r="AB1082" s="144">
        <v>9.9999997764825804E-3</v>
      </c>
      <c r="AF1082" s="43" t="s">
        <v>75</v>
      </c>
      <c r="AG1082" s="43" t="s">
        <v>322</v>
      </c>
      <c r="AJ1082" s="140">
        <v>0</v>
      </c>
      <c r="AK1082" s="140">
        <v>0</v>
      </c>
      <c r="AL1082" s="140">
        <v>0</v>
      </c>
      <c r="AM1082" s="140">
        <v>0</v>
      </c>
      <c r="AN1082" s="140">
        <v>0</v>
      </c>
      <c r="AO1082" s="140">
        <v>0</v>
      </c>
      <c r="AP1082" s="140">
        <v>1</v>
      </c>
      <c r="AQ1082" s="140">
        <v>0</v>
      </c>
      <c r="AR1082" s="140">
        <v>0</v>
      </c>
      <c r="AS1082" s="140">
        <v>0</v>
      </c>
      <c r="AT1082" s="140">
        <v>0</v>
      </c>
      <c r="AU1082" s="140">
        <v>0</v>
      </c>
      <c r="AV1082" s="140">
        <v>0</v>
      </c>
      <c r="AW1082" s="140">
        <v>1</v>
      </c>
      <c r="AX1082" s="140">
        <v>0</v>
      </c>
      <c r="AY1082" s="140">
        <v>0</v>
      </c>
      <c r="AZ1082" s="140">
        <v>0</v>
      </c>
      <c r="BA1082" s="140">
        <v>0</v>
      </c>
      <c r="BB1082" s="140">
        <v>0</v>
      </c>
      <c r="BC1082" s="140">
        <v>0</v>
      </c>
      <c r="BD1082" s="140">
        <v>0</v>
      </c>
      <c r="BE1082" s="140">
        <v>0</v>
      </c>
      <c r="BF1082" s="140">
        <v>0</v>
      </c>
      <c r="BG1082" s="140">
        <v>0</v>
      </c>
      <c r="BH1082" s="140">
        <v>0</v>
      </c>
      <c r="BI1082" s="140">
        <v>0</v>
      </c>
      <c r="BJ1082" s="140">
        <v>0</v>
      </c>
      <c r="BK1082" s="140">
        <v>0</v>
      </c>
      <c r="BL1082" s="140">
        <v>0</v>
      </c>
      <c r="BM1082" s="140">
        <v>0</v>
      </c>
      <c r="BN1082" s="140">
        <v>0</v>
      </c>
      <c r="BO1082" s="140">
        <v>0</v>
      </c>
      <c r="BQ1082" s="89"/>
      <c r="BU1082" s="89"/>
      <c r="BX1082" s="43">
        <v>19</v>
      </c>
      <c r="CD1082" s="90">
        <f t="shared" ref="CD1082:CF1103" si="147">$M1082/3</f>
        <v>0.33333333333333331</v>
      </c>
      <c r="CE1082" s="90">
        <f t="shared" si="147"/>
        <v>0.33333333333333331</v>
      </c>
      <c r="CF1082" s="90">
        <f t="shared" si="147"/>
        <v>0.33333333333333331</v>
      </c>
      <c r="CT1082" s="90">
        <f t="shared" si="144"/>
        <v>0.33333333333333331</v>
      </c>
      <c r="CU1082" s="90">
        <f t="shared" si="145"/>
        <v>1</v>
      </c>
    </row>
    <row r="1083" spans="1:99" ht="12" customHeight="1">
      <c r="A1083" s="43">
        <v>7308</v>
      </c>
      <c r="B1083" s="89" t="s">
        <v>2753</v>
      </c>
      <c r="C1083" s="89" t="s">
        <v>2875</v>
      </c>
      <c r="D1083" s="89" t="s">
        <v>2876</v>
      </c>
      <c r="F1083" s="43">
        <v>528024</v>
      </c>
      <c r="G1083" s="43">
        <v>170867</v>
      </c>
      <c r="H1083" s="89" t="s">
        <v>172</v>
      </c>
      <c r="K1083" s="140">
        <v>0</v>
      </c>
      <c r="L1083" s="140">
        <v>1</v>
      </c>
      <c r="M1083" s="140">
        <v>1</v>
      </c>
      <c r="N1083" s="140">
        <v>1</v>
      </c>
      <c r="O1083" s="140">
        <v>1</v>
      </c>
      <c r="Q1083" s="89" t="s">
        <v>2877</v>
      </c>
      <c r="R1083" s="43" t="s">
        <v>2725</v>
      </c>
      <c r="S1083" s="125">
        <v>43894</v>
      </c>
      <c r="V1083" s="43" t="s">
        <v>317</v>
      </c>
      <c r="X1083" s="43" t="s">
        <v>318</v>
      </c>
      <c r="Y1083" s="43" t="s">
        <v>319</v>
      </c>
      <c r="Z1083" s="43" t="s">
        <v>320</v>
      </c>
      <c r="AA1083" s="43" t="s">
        <v>30</v>
      </c>
      <c r="AB1083" s="144">
        <v>4.0000001899898104E-3</v>
      </c>
      <c r="AF1083" s="43" t="s">
        <v>75</v>
      </c>
      <c r="AG1083" s="43" t="s">
        <v>322</v>
      </c>
      <c r="AJ1083" s="140">
        <v>0</v>
      </c>
      <c r="AK1083" s="140">
        <v>0</v>
      </c>
      <c r="AL1083" s="140">
        <v>0</v>
      </c>
      <c r="AM1083" s="140">
        <v>0</v>
      </c>
      <c r="AN1083" s="140">
        <v>0</v>
      </c>
      <c r="AO1083" s="140">
        <v>1</v>
      </c>
      <c r="AP1083" s="140">
        <v>0</v>
      </c>
      <c r="AQ1083" s="140">
        <v>0</v>
      </c>
      <c r="AR1083" s="140">
        <v>0</v>
      </c>
      <c r="AS1083" s="140">
        <v>0</v>
      </c>
      <c r="AT1083" s="140">
        <v>0</v>
      </c>
      <c r="AU1083" s="140">
        <v>0</v>
      </c>
      <c r="AV1083" s="140">
        <v>1</v>
      </c>
      <c r="AW1083" s="140">
        <v>0</v>
      </c>
      <c r="AX1083" s="140">
        <v>0</v>
      </c>
      <c r="AY1083" s="140">
        <v>0</v>
      </c>
      <c r="AZ1083" s="140">
        <v>0</v>
      </c>
      <c r="BA1083" s="140">
        <v>0</v>
      </c>
      <c r="BB1083" s="140">
        <v>0</v>
      </c>
      <c r="BC1083" s="140">
        <v>0</v>
      </c>
      <c r="BD1083" s="140">
        <v>0</v>
      </c>
      <c r="BE1083" s="140">
        <v>0</v>
      </c>
      <c r="BF1083" s="140">
        <v>0</v>
      </c>
      <c r="BG1083" s="140">
        <v>0</v>
      </c>
      <c r="BH1083" s="140">
        <v>0</v>
      </c>
      <c r="BI1083" s="140">
        <v>0</v>
      </c>
      <c r="BJ1083" s="140">
        <v>0</v>
      </c>
      <c r="BK1083" s="140">
        <v>0</v>
      </c>
      <c r="BL1083" s="140">
        <v>0</v>
      </c>
      <c r="BM1083" s="140">
        <v>0</v>
      </c>
      <c r="BN1083" s="140">
        <v>0</v>
      </c>
      <c r="BO1083" s="140">
        <v>0</v>
      </c>
      <c r="BQ1083" s="89"/>
      <c r="BU1083" s="89"/>
      <c r="BX1083" s="43">
        <v>19</v>
      </c>
      <c r="CD1083" s="90">
        <f t="shared" si="147"/>
        <v>0.33333333333333331</v>
      </c>
      <c r="CE1083" s="90">
        <f t="shared" si="147"/>
        <v>0.33333333333333331</v>
      </c>
      <c r="CF1083" s="90">
        <f t="shared" si="147"/>
        <v>0.33333333333333331</v>
      </c>
      <c r="CT1083" s="90">
        <f t="shared" si="144"/>
        <v>0.33333333333333331</v>
      </c>
      <c r="CU1083" s="90">
        <f t="shared" si="145"/>
        <v>1</v>
      </c>
    </row>
    <row r="1084" spans="1:99" ht="12" customHeight="1">
      <c r="A1084" s="43">
        <v>7322</v>
      </c>
      <c r="B1084" s="89" t="s">
        <v>2753</v>
      </c>
      <c r="C1084" s="89" t="s">
        <v>2878</v>
      </c>
      <c r="D1084" s="89" t="s">
        <v>2879</v>
      </c>
      <c r="F1084" s="43">
        <v>527361</v>
      </c>
      <c r="G1084" s="43">
        <v>174688</v>
      </c>
      <c r="H1084" s="89" t="s">
        <v>174</v>
      </c>
      <c r="K1084" s="140">
        <v>1</v>
      </c>
      <c r="L1084" s="140">
        <v>2</v>
      </c>
      <c r="M1084" s="140">
        <v>1</v>
      </c>
      <c r="N1084" s="140">
        <v>3</v>
      </c>
      <c r="O1084" s="140">
        <v>1</v>
      </c>
      <c r="Q1084" s="89" t="s">
        <v>2880</v>
      </c>
      <c r="R1084" s="43" t="s">
        <v>2725</v>
      </c>
      <c r="S1084" s="125">
        <v>43844</v>
      </c>
      <c r="V1084" s="43" t="s">
        <v>317</v>
      </c>
      <c r="X1084" s="43" t="s">
        <v>318</v>
      </c>
      <c r="Y1084" s="43" t="s">
        <v>319</v>
      </c>
      <c r="Z1084" s="43" t="s">
        <v>320</v>
      </c>
      <c r="AA1084" s="43" t="s">
        <v>340</v>
      </c>
      <c r="AB1084" s="144">
        <v>9.9999997764825804E-3</v>
      </c>
      <c r="AF1084" s="43" t="s">
        <v>75</v>
      </c>
      <c r="AG1084" s="43" t="s">
        <v>322</v>
      </c>
      <c r="AJ1084" s="140">
        <v>0</v>
      </c>
      <c r="AK1084" s="140">
        <v>0</v>
      </c>
      <c r="AL1084" s="140">
        <v>0</v>
      </c>
      <c r="AM1084" s="140">
        <v>0</v>
      </c>
      <c r="AN1084" s="140">
        <v>0</v>
      </c>
      <c r="AO1084" s="140">
        <v>-1</v>
      </c>
      <c r="AP1084" s="140">
        <v>1</v>
      </c>
      <c r="AQ1084" s="140">
        <v>1</v>
      </c>
      <c r="AR1084" s="140">
        <v>0</v>
      </c>
      <c r="AS1084" s="140">
        <v>0</v>
      </c>
      <c r="AT1084" s="140">
        <v>0</v>
      </c>
      <c r="AU1084" s="140">
        <v>0</v>
      </c>
      <c r="AV1084" s="140">
        <v>-1</v>
      </c>
      <c r="AW1084" s="140">
        <v>1</v>
      </c>
      <c r="AX1084" s="140">
        <v>1</v>
      </c>
      <c r="AY1084" s="140">
        <v>0</v>
      </c>
      <c r="AZ1084" s="140">
        <v>0</v>
      </c>
      <c r="BA1084" s="140">
        <v>0</v>
      </c>
      <c r="BB1084" s="140">
        <v>0</v>
      </c>
      <c r="BC1084" s="140">
        <v>0</v>
      </c>
      <c r="BD1084" s="140">
        <v>0</v>
      </c>
      <c r="BE1084" s="140">
        <v>0</v>
      </c>
      <c r="BF1084" s="140">
        <v>0</v>
      </c>
      <c r="BG1084" s="140">
        <v>0</v>
      </c>
      <c r="BH1084" s="140">
        <v>0</v>
      </c>
      <c r="BI1084" s="140">
        <v>0</v>
      </c>
      <c r="BJ1084" s="140">
        <v>0</v>
      </c>
      <c r="BK1084" s="140">
        <v>0</v>
      </c>
      <c r="BL1084" s="140">
        <v>0</v>
      </c>
      <c r="BM1084" s="140">
        <v>0</v>
      </c>
      <c r="BN1084" s="140">
        <v>0</v>
      </c>
      <c r="BO1084" s="140">
        <v>0</v>
      </c>
      <c r="BU1084" s="89"/>
      <c r="BX1084" s="43">
        <v>19</v>
      </c>
      <c r="CD1084" s="90">
        <f t="shared" si="147"/>
        <v>0.33333333333333331</v>
      </c>
      <c r="CE1084" s="90">
        <f t="shared" si="147"/>
        <v>0.33333333333333331</v>
      </c>
      <c r="CF1084" s="90">
        <f t="shared" si="147"/>
        <v>0.33333333333333331</v>
      </c>
      <c r="CT1084" s="90">
        <f t="shared" si="144"/>
        <v>0.33333333333333331</v>
      </c>
      <c r="CU1084" s="90">
        <f t="shared" si="145"/>
        <v>1</v>
      </c>
    </row>
    <row r="1085" spans="1:99" ht="12" customHeight="1">
      <c r="A1085" s="43">
        <v>7322</v>
      </c>
      <c r="B1085" s="89" t="s">
        <v>2753</v>
      </c>
      <c r="C1085" s="89" t="s">
        <v>2878</v>
      </c>
      <c r="D1085" s="89" t="s">
        <v>2879</v>
      </c>
      <c r="F1085" s="43">
        <v>527361</v>
      </c>
      <c r="G1085" s="43">
        <v>174688</v>
      </c>
      <c r="H1085" s="89" t="s">
        <v>174</v>
      </c>
      <c r="K1085" s="140">
        <v>1</v>
      </c>
      <c r="L1085" s="140">
        <v>1</v>
      </c>
      <c r="M1085" s="140">
        <v>0</v>
      </c>
      <c r="N1085" s="140">
        <v>3</v>
      </c>
      <c r="O1085" s="140">
        <v>1</v>
      </c>
      <c r="Q1085" s="89" t="s">
        <v>2880</v>
      </c>
      <c r="R1085" s="43" t="s">
        <v>2725</v>
      </c>
      <c r="S1085" s="125">
        <v>43844</v>
      </c>
      <c r="V1085" s="43" t="s">
        <v>317</v>
      </c>
      <c r="X1085" s="43" t="s">
        <v>318</v>
      </c>
      <c r="Y1085" s="43" t="s">
        <v>319</v>
      </c>
      <c r="Z1085" s="43" t="s">
        <v>320</v>
      </c>
      <c r="AA1085" s="43" t="s">
        <v>321</v>
      </c>
      <c r="AB1085" s="144">
        <v>2.0000000949949E-3</v>
      </c>
      <c r="AF1085" s="43" t="s">
        <v>75</v>
      </c>
      <c r="AG1085" s="43" t="s">
        <v>322</v>
      </c>
      <c r="AJ1085" s="140">
        <v>0</v>
      </c>
      <c r="AK1085" s="140">
        <v>0</v>
      </c>
      <c r="AL1085" s="140">
        <v>0</v>
      </c>
      <c r="AM1085" s="140">
        <v>0</v>
      </c>
      <c r="AN1085" s="140">
        <v>0</v>
      </c>
      <c r="AO1085" s="140">
        <v>1</v>
      </c>
      <c r="AP1085" s="140">
        <v>-1</v>
      </c>
      <c r="AQ1085" s="140">
        <v>0</v>
      </c>
      <c r="AR1085" s="140">
        <v>0</v>
      </c>
      <c r="AS1085" s="140">
        <v>0</v>
      </c>
      <c r="AT1085" s="140">
        <v>0</v>
      </c>
      <c r="AU1085" s="140">
        <v>0</v>
      </c>
      <c r="AV1085" s="140">
        <v>1</v>
      </c>
      <c r="AW1085" s="140">
        <v>-1</v>
      </c>
      <c r="AX1085" s="140">
        <v>0</v>
      </c>
      <c r="AY1085" s="140">
        <v>0</v>
      </c>
      <c r="AZ1085" s="140">
        <v>0</v>
      </c>
      <c r="BA1085" s="140">
        <v>0</v>
      </c>
      <c r="BB1085" s="140">
        <v>0</v>
      </c>
      <c r="BC1085" s="140">
        <v>0</v>
      </c>
      <c r="BD1085" s="140">
        <v>0</v>
      </c>
      <c r="BE1085" s="140">
        <v>0</v>
      </c>
      <c r="BF1085" s="140">
        <v>0</v>
      </c>
      <c r="BG1085" s="140">
        <v>0</v>
      </c>
      <c r="BH1085" s="140">
        <v>0</v>
      </c>
      <c r="BI1085" s="140">
        <v>0</v>
      </c>
      <c r="BJ1085" s="140">
        <v>0</v>
      </c>
      <c r="BK1085" s="140">
        <v>0</v>
      </c>
      <c r="BL1085" s="140">
        <v>0</v>
      </c>
      <c r="BM1085" s="140">
        <v>0</v>
      </c>
      <c r="BN1085" s="140">
        <v>0</v>
      </c>
      <c r="BO1085" s="140">
        <v>0</v>
      </c>
      <c r="BU1085" s="89"/>
      <c r="BX1085" s="43">
        <v>19</v>
      </c>
      <c r="CD1085" s="90">
        <f t="shared" si="147"/>
        <v>0</v>
      </c>
      <c r="CE1085" s="90">
        <f t="shared" si="147"/>
        <v>0</v>
      </c>
      <c r="CF1085" s="90">
        <f t="shared" si="147"/>
        <v>0</v>
      </c>
      <c r="CT1085" s="90">
        <f t="shared" si="144"/>
        <v>0</v>
      </c>
      <c r="CU1085" s="90">
        <f t="shared" si="145"/>
        <v>0</v>
      </c>
    </row>
    <row r="1086" spans="1:99" ht="12" customHeight="1">
      <c r="A1086" s="43">
        <v>7324</v>
      </c>
      <c r="B1086" s="89" t="s">
        <v>2753</v>
      </c>
      <c r="C1086" s="89" t="s">
        <v>2881</v>
      </c>
      <c r="D1086" s="89" t="s">
        <v>2882</v>
      </c>
      <c r="F1086" s="43">
        <v>525232</v>
      </c>
      <c r="G1086" s="43">
        <v>174667</v>
      </c>
      <c r="H1086" s="89" t="s">
        <v>170</v>
      </c>
      <c r="K1086" s="140">
        <v>1</v>
      </c>
      <c r="L1086" s="140">
        <v>4</v>
      </c>
      <c r="M1086" s="140">
        <v>3</v>
      </c>
      <c r="N1086" s="140">
        <v>7</v>
      </c>
      <c r="O1086" s="140">
        <v>6</v>
      </c>
      <c r="Q1086" s="89" t="s">
        <v>2883</v>
      </c>
      <c r="R1086" s="43" t="s">
        <v>2725</v>
      </c>
      <c r="S1086" s="125">
        <v>43851</v>
      </c>
      <c r="V1086" s="43" t="s">
        <v>317</v>
      </c>
      <c r="X1086" s="43" t="s">
        <v>318</v>
      </c>
      <c r="Y1086" s="43" t="s">
        <v>319</v>
      </c>
      <c r="Z1086" s="43" t="s">
        <v>320</v>
      </c>
      <c r="AA1086" s="43" t="s">
        <v>321</v>
      </c>
      <c r="AB1086" s="144">
        <v>1.4000000432133701E-2</v>
      </c>
      <c r="AF1086" s="43" t="s">
        <v>75</v>
      </c>
      <c r="AG1086" s="43" t="s">
        <v>322</v>
      </c>
      <c r="AJ1086" s="140">
        <v>0</v>
      </c>
      <c r="AK1086" s="140">
        <v>0</v>
      </c>
      <c r="AL1086" s="140">
        <v>0</v>
      </c>
      <c r="AM1086" s="140">
        <v>0</v>
      </c>
      <c r="AN1086" s="140">
        <v>0</v>
      </c>
      <c r="AO1086" s="140">
        <v>3</v>
      </c>
      <c r="AP1086" s="140">
        <v>1</v>
      </c>
      <c r="AQ1086" s="140">
        <v>0</v>
      </c>
      <c r="AR1086" s="140">
        <v>0</v>
      </c>
      <c r="AS1086" s="140">
        <v>0</v>
      </c>
      <c r="AT1086" s="140">
        <v>-1</v>
      </c>
      <c r="AU1086" s="140">
        <v>0</v>
      </c>
      <c r="AV1086" s="140">
        <v>3</v>
      </c>
      <c r="AW1086" s="140">
        <v>1</v>
      </c>
      <c r="AX1086" s="140">
        <v>0</v>
      </c>
      <c r="AY1086" s="140">
        <v>0</v>
      </c>
      <c r="AZ1086" s="140">
        <v>0</v>
      </c>
      <c r="BA1086" s="140">
        <v>-1</v>
      </c>
      <c r="BB1086" s="140">
        <v>0</v>
      </c>
      <c r="BC1086" s="140">
        <v>0</v>
      </c>
      <c r="BD1086" s="140">
        <v>0</v>
      </c>
      <c r="BE1086" s="140">
        <v>0</v>
      </c>
      <c r="BF1086" s="140">
        <v>0</v>
      </c>
      <c r="BG1086" s="140">
        <v>0</v>
      </c>
      <c r="BH1086" s="140">
        <v>0</v>
      </c>
      <c r="BI1086" s="140">
        <v>0</v>
      </c>
      <c r="BJ1086" s="140">
        <v>0</v>
      </c>
      <c r="BK1086" s="140">
        <v>0</v>
      </c>
      <c r="BL1086" s="140">
        <v>0</v>
      </c>
      <c r="BM1086" s="140">
        <v>0</v>
      </c>
      <c r="BN1086" s="140">
        <v>0</v>
      </c>
      <c r="BO1086" s="140">
        <v>0</v>
      </c>
      <c r="BU1086" s="89"/>
      <c r="BX1086" s="43">
        <v>19</v>
      </c>
      <c r="CD1086" s="90">
        <f t="shared" si="147"/>
        <v>1</v>
      </c>
      <c r="CE1086" s="90">
        <f t="shared" si="147"/>
        <v>1</v>
      </c>
      <c r="CF1086" s="90">
        <f t="shared" si="147"/>
        <v>1</v>
      </c>
      <c r="CT1086" s="90">
        <f t="shared" si="144"/>
        <v>1</v>
      </c>
      <c r="CU1086" s="90">
        <f t="shared" si="145"/>
        <v>3</v>
      </c>
    </row>
    <row r="1087" spans="1:99" ht="12" customHeight="1">
      <c r="A1087" s="43">
        <v>7324</v>
      </c>
      <c r="B1087" s="89" t="s">
        <v>2753</v>
      </c>
      <c r="C1087" s="89" t="s">
        <v>2881</v>
      </c>
      <c r="D1087" s="89" t="s">
        <v>2882</v>
      </c>
      <c r="F1087" s="43">
        <v>525232</v>
      </c>
      <c r="G1087" s="43">
        <v>174667</v>
      </c>
      <c r="H1087" s="89" t="s">
        <v>170</v>
      </c>
      <c r="K1087" s="140">
        <v>0</v>
      </c>
      <c r="L1087" s="140">
        <v>2</v>
      </c>
      <c r="M1087" s="140">
        <v>2</v>
      </c>
      <c r="N1087" s="140">
        <v>7</v>
      </c>
      <c r="O1087" s="140">
        <v>6</v>
      </c>
      <c r="Q1087" s="89" t="s">
        <v>2883</v>
      </c>
      <c r="R1087" s="43" t="s">
        <v>2725</v>
      </c>
      <c r="S1087" s="125">
        <v>43851</v>
      </c>
      <c r="V1087" s="43" t="s">
        <v>317</v>
      </c>
      <c r="X1087" s="43" t="s">
        <v>318</v>
      </c>
      <c r="Y1087" s="43" t="s">
        <v>319</v>
      </c>
      <c r="Z1087" s="43" t="s">
        <v>320</v>
      </c>
      <c r="AA1087" s="43" t="s">
        <v>36</v>
      </c>
      <c r="AB1087" s="144">
        <v>7.0000002160668399E-3</v>
      </c>
      <c r="AF1087" s="43" t="s">
        <v>75</v>
      </c>
      <c r="AG1087" s="43" t="s">
        <v>322</v>
      </c>
      <c r="AJ1087" s="140">
        <v>0</v>
      </c>
      <c r="AK1087" s="140">
        <v>0</v>
      </c>
      <c r="AL1087" s="140">
        <v>0</v>
      </c>
      <c r="AM1087" s="140">
        <v>0</v>
      </c>
      <c r="AN1087" s="140">
        <v>0</v>
      </c>
      <c r="AO1087" s="140">
        <v>1</v>
      </c>
      <c r="AP1087" s="140">
        <v>1</v>
      </c>
      <c r="AQ1087" s="140">
        <v>0</v>
      </c>
      <c r="AR1087" s="140">
        <v>0</v>
      </c>
      <c r="AS1087" s="140">
        <v>0</v>
      </c>
      <c r="AT1087" s="140">
        <v>0</v>
      </c>
      <c r="AU1087" s="140">
        <v>0</v>
      </c>
      <c r="AV1087" s="140">
        <v>1</v>
      </c>
      <c r="AW1087" s="140">
        <v>1</v>
      </c>
      <c r="AX1087" s="140">
        <v>0</v>
      </c>
      <c r="AY1087" s="140">
        <v>0</v>
      </c>
      <c r="AZ1087" s="140">
        <v>0</v>
      </c>
      <c r="BA1087" s="140">
        <v>0</v>
      </c>
      <c r="BB1087" s="140">
        <v>0</v>
      </c>
      <c r="BC1087" s="140">
        <v>0</v>
      </c>
      <c r="BD1087" s="140">
        <v>0</v>
      </c>
      <c r="BE1087" s="140">
        <v>0</v>
      </c>
      <c r="BF1087" s="140">
        <v>0</v>
      </c>
      <c r="BG1087" s="140">
        <v>0</v>
      </c>
      <c r="BH1087" s="140">
        <v>0</v>
      </c>
      <c r="BI1087" s="140">
        <v>0</v>
      </c>
      <c r="BJ1087" s="140">
        <v>0</v>
      </c>
      <c r="BK1087" s="140">
        <v>0</v>
      </c>
      <c r="BL1087" s="140">
        <v>0</v>
      </c>
      <c r="BM1087" s="140">
        <v>0</v>
      </c>
      <c r="BN1087" s="140">
        <v>0</v>
      </c>
      <c r="BO1087" s="140">
        <v>0</v>
      </c>
      <c r="BU1087" s="89"/>
      <c r="BX1087" s="43">
        <v>19</v>
      </c>
      <c r="CD1087" s="90">
        <f t="shared" si="147"/>
        <v>0.66666666666666663</v>
      </c>
      <c r="CE1087" s="90">
        <f t="shared" si="147"/>
        <v>0.66666666666666663</v>
      </c>
      <c r="CF1087" s="90">
        <f t="shared" si="147"/>
        <v>0.66666666666666663</v>
      </c>
      <c r="CT1087" s="90">
        <f t="shared" si="144"/>
        <v>0.66666666666666663</v>
      </c>
      <c r="CU1087" s="90">
        <f t="shared" si="145"/>
        <v>2</v>
      </c>
    </row>
    <row r="1088" spans="1:99" ht="12" customHeight="1">
      <c r="A1088" s="43">
        <v>7324</v>
      </c>
      <c r="B1088" s="89" t="s">
        <v>2753</v>
      </c>
      <c r="C1088" s="89" t="s">
        <v>2881</v>
      </c>
      <c r="D1088" s="89" t="s">
        <v>2882</v>
      </c>
      <c r="F1088" s="43">
        <v>525232</v>
      </c>
      <c r="G1088" s="43">
        <v>174667</v>
      </c>
      <c r="H1088" s="89" t="s">
        <v>170</v>
      </c>
      <c r="K1088" s="140">
        <v>0</v>
      </c>
      <c r="L1088" s="140">
        <v>1</v>
      </c>
      <c r="M1088" s="140">
        <v>1</v>
      </c>
      <c r="N1088" s="140">
        <v>7</v>
      </c>
      <c r="O1088" s="140">
        <v>6</v>
      </c>
      <c r="Q1088" s="89" t="s">
        <v>2883</v>
      </c>
      <c r="R1088" s="43" t="s">
        <v>2725</v>
      </c>
      <c r="S1088" s="125">
        <v>43851</v>
      </c>
      <c r="V1088" s="43" t="s">
        <v>317</v>
      </c>
      <c r="X1088" s="43" t="s">
        <v>318</v>
      </c>
      <c r="Y1088" s="43" t="s">
        <v>319</v>
      </c>
      <c r="Z1088" s="43" t="s">
        <v>320</v>
      </c>
      <c r="AA1088" s="43" t="s">
        <v>340</v>
      </c>
      <c r="AB1088" s="144">
        <v>4.0000001899898104E-3</v>
      </c>
      <c r="AF1088" s="43" t="s">
        <v>75</v>
      </c>
      <c r="AG1088" s="43" t="s">
        <v>322</v>
      </c>
      <c r="AJ1088" s="140">
        <v>0</v>
      </c>
      <c r="AK1088" s="140">
        <v>0</v>
      </c>
      <c r="AL1088" s="140">
        <v>0</v>
      </c>
      <c r="AM1088" s="140">
        <v>0</v>
      </c>
      <c r="AN1088" s="140">
        <v>0</v>
      </c>
      <c r="AO1088" s="140">
        <v>1</v>
      </c>
      <c r="AP1088" s="140">
        <v>0</v>
      </c>
      <c r="AQ1088" s="140">
        <v>0</v>
      </c>
      <c r="AR1088" s="140">
        <v>0</v>
      </c>
      <c r="AS1088" s="140">
        <v>0</v>
      </c>
      <c r="AT1088" s="140">
        <v>0</v>
      </c>
      <c r="AU1088" s="140">
        <v>0</v>
      </c>
      <c r="AV1088" s="140">
        <v>1</v>
      </c>
      <c r="AW1088" s="140">
        <v>0</v>
      </c>
      <c r="AX1088" s="140">
        <v>0</v>
      </c>
      <c r="AY1088" s="140">
        <v>0</v>
      </c>
      <c r="AZ1088" s="140">
        <v>0</v>
      </c>
      <c r="BA1088" s="140">
        <v>0</v>
      </c>
      <c r="BB1088" s="140">
        <v>0</v>
      </c>
      <c r="BC1088" s="140">
        <v>0</v>
      </c>
      <c r="BD1088" s="140">
        <v>0</v>
      </c>
      <c r="BE1088" s="140">
        <v>0</v>
      </c>
      <c r="BF1088" s="140">
        <v>0</v>
      </c>
      <c r="BG1088" s="140">
        <v>0</v>
      </c>
      <c r="BH1088" s="140">
        <v>0</v>
      </c>
      <c r="BI1088" s="140">
        <v>0</v>
      </c>
      <c r="BJ1088" s="140">
        <v>0</v>
      </c>
      <c r="BK1088" s="140">
        <v>0</v>
      </c>
      <c r="BL1088" s="140">
        <v>0</v>
      </c>
      <c r="BM1088" s="140">
        <v>0</v>
      </c>
      <c r="BN1088" s="140">
        <v>0</v>
      </c>
      <c r="BO1088" s="140">
        <v>0</v>
      </c>
      <c r="BU1088" s="89"/>
      <c r="BX1088" s="43">
        <v>19</v>
      </c>
      <c r="CD1088" s="90">
        <f t="shared" si="147"/>
        <v>0.33333333333333331</v>
      </c>
      <c r="CE1088" s="90">
        <f t="shared" si="147"/>
        <v>0.33333333333333331</v>
      </c>
      <c r="CF1088" s="90">
        <f t="shared" si="147"/>
        <v>0.33333333333333331</v>
      </c>
      <c r="CT1088" s="90">
        <f t="shared" si="144"/>
        <v>0.33333333333333331</v>
      </c>
      <c r="CU1088" s="90">
        <f t="shared" si="145"/>
        <v>1</v>
      </c>
    </row>
    <row r="1089" spans="1:99" ht="12" customHeight="1">
      <c r="A1089" s="43">
        <v>7327</v>
      </c>
      <c r="B1089" s="89" t="s">
        <v>2753</v>
      </c>
      <c r="C1089" s="89" t="s">
        <v>2884</v>
      </c>
      <c r="D1089" s="89" t="s">
        <v>2885</v>
      </c>
      <c r="F1089" s="43">
        <v>527931</v>
      </c>
      <c r="G1089" s="43">
        <v>174869</v>
      </c>
      <c r="H1089" s="89" t="s">
        <v>174</v>
      </c>
      <c r="K1089" s="140">
        <v>0</v>
      </c>
      <c r="L1089" s="140">
        <v>1</v>
      </c>
      <c r="M1089" s="140">
        <v>1</v>
      </c>
      <c r="N1089" s="140">
        <v>1</v>
      </c>
      <c r="O1089" s="140">
        <v>1</v>
      </c>
      <c r="Q1089" s="89" t="s">
        <v>2886</v>
      </c>
      <c r="R1089" s="43" t="s">
        <v>2725</v>
      </c>
      <c r="S1089" s="125">
        <v>43854</v>
      </c>
      <c r="V1089" s="43" t="s">
        <v>317</v>
      </c>
      <c r="X1089" s="43" t="s">
        <v>318</v>
      </c>
      <c r="Y1089" s="43" t="s">
        <v>361</v>
      </c>
      <c r="Z1089" s="43" t="s">
        <v>320</v>
      </c>
      <c r="AA1089" s="43" t="s">
        <v>353</v>
      </c>
      <c r="AB1089" s="144">
        <v>1.2000000104308101E-2</v>
      </c>
      <c r="AF1089" s="43" t="s">
        <v>75</v>
      </c>
      <c r="AG1089" s="43" t="s">
        <v>322</v>
      </c>
      <c r="AJ1089" s="140">
        <v>0</v>
      </c>
      <c r="AK1089" s="140">
        <v>0</v>
      </c>
      <c r="AL1089" s="140">
        <v>0</v>
      </c>
      <c r="AM1089" s="140">
        <v>0</v>
      </c>
      <c r="AN1089" s="140">
        <v>0</v>
      </c>
      <c r="AO1089" s="140">
        <v>1</v>
      </c>
      <c r="AP1089" s="140">
        <v>0</v>
      </c>
      <c r="AQ1089" s="140">
        <v>0</v>
      </c>
      <c r="AR1089" s="140">
        <v>0</v>
      </c>
      <c r="AS1089" s="140">
        <v>0</v>
      </c>
      <c r="AT1089" s="140">
        <v>0</v>
      </c>
      <c r="AU1089" s="140">
        <v>0</v>
      </c>
      <c r="AV1089" s="140">
        <v>0</v>
      </c>
      <c r="AW1089" s="140">
        <v>0</v>
      </c>
      <c r="AX1089" s="140">
        <v>0</v>
      </c>
      <c r="AY1089" s="140">
        <v>0</v>
      </c>
      <c r="AZ1089" s="140">
        <v>0</v>
      </c>
      <c r="BA1089" s="140">
        <v>0</v>
      </c>
      <c r="BB1089" s="140">
        <v>0</v>
      </c>
      <c r="BC1089" s="140">
        <v>1</v>
      </c>
      <c r="BD1089" s="140">
        <v>0</v>
      </c>
      <c r="BE1089" s="140">
        <v>0</v>
      </c>
      <c r="BF1089" s="140">
        <v>0</v>
      </c>
      <c r="BG1089" s="140">
        <v>0</v>
      </c>
      <c r="BH1089" s="140">
        <v>0</v>
      </c>
      <c r="BI1089" s="140">
        <v>0</v>
      </c>
      <c r="BJ1089" s="140">
        <v>0</v>
      </c>
      <c r="BK1089" s="140">
        <v>0</v>
      </c>
      <c r="BL1089" s="140">
        <v>0</v>
      </c>
      <c r="BM1089" s="140">
        <v>0</v>
      </c>
      <c r="BN1089" s="140">
        <v>0</v>
      </c>
      <c r="BO1089" s="140">
        <v>0</v>
      </c>
      <c r="BU1089" s="89"/>
      <c r="BX1089" s="43">
        <v>10</v>
      </c>
      <c r="CD1089" s="90">
        <f t="shared" si="147"/>
        <v>0.33333333333333331</v>
      </c>
      <c r="CE1089" s="90">
        <f t="shared" si="147"/>
        <v>0.33333333333333331</v>
      </c>
      <c r="CF1089" s="90">
        <f t="shared" si="147"/>
        <v>0.33333333333333331</v>
      </c>
      <c r="CT1089" s="90">
        <f t="shared" si="144"/>
        <v>0.33333333333333331</v>
      </c>
      <c r="CU1089" s="90">
        <f t="shared" si="145"/>
        <v>1</v>
      </c>
    </row>
    <row r="1090" spans="1:99" ht="12" customHeight="1">
      <c r="A1090" s="43">
        <v>7336</v>
      </c>
      <c r="B1090" s="89" t="s">
        <v>2753</v>
      </c>
      <c r="C1090" s="89" t="s">
        <v>2887</v>
      </c>
      <c r="D1090" s="89" t="s">
        <v>2888</v>
      </c>
      <c r="F1090" s="43">
        <v>526970</v>
      </c>
      <c r="G1090" s="43">
        <v>175172</v>
      </c>
      <c r="H1090" s="89" t="s">
        <v>170</v>
      </c>
      <c r="K1090" s="140">
        <v>1</v>
      </c>
      <c r="L1090" s="140">
        <v>2</v>
      </c>
      <c r="M1090" s="140">
        <v>1</v>
      </c>
      <c r="N1090" s="140">
        <v>4</v>
      </c>
      <c r="O1090" s="140">
        <v>3</v>
      </c>
      <c r="Q1090" s="89" t="s">
        <v>2889</v>
      </c>
      <c r="R1090" s="43" t="s">
        <v>2725</v>
      </c>
      <c r="S1090" s="125">
        <v>43875</v>
      </c>
      <c r="V1090" s="43" t="s">
        <v>317</v>
      </c>
      <c r="X1090" s="43" t="s">
        <v>318</v>
      </c>
      <c r="Y1090" s="43" t="s">
        <v>319</v>
      </c>
      <c r="Z1090" s="43" t="s">
        <v>320</v>
      </c>
      <c r="AA1090" s="43" t="s">
        <v>321</v>
      </c>
      <c r="AB1090" s="144">
        <v>6.0000000521540598E-3</v>
      </c>
      <c r="AF1090" s="43" t="s">
        <v>75</v>
      </c>
      <c r="AG1090" s="43" t="s">
        <v>322</v>
      </c>
      <c r="AJ1090" s="140">
        <v>0</v>
      </c>
      <c r="AK1090" s="140">
        <v>0</v>
      </c>
      <c r="AL1090" s="140">
        <v>0</v>
      </c>
      <c r="AM1090" s="140">
        <v>0</v>
      </c>
      <c r="AN1090" s="140">
        <v>1</v>
      </c>
      <c r="AO1090" s="140">
        <v>-1</v>
      </c>
      <c r="AP1090" s="140">
        <v>1</v>
      </c>
      <c r="AQ1090" s="140">
        <v>0</v>
      </c>
      <c r="AR1090" s="140">
        <v>0</v>
      </c>
      <c r="AS1090" s="140">
        <v>0</v>
      </c>
      <c r="AT1090" s="140">
        <v>0</v>
      </c>
      <c r="AU1090" s="140">
        <v>1</v>
      </c>
      <c r="AV1090" s="140">
        <v>-1</v>
      </c>
      <c r="AW1090" s="140">
        <v>1</v>
      </c>
      <c r="AX1090" s="140">
        <v>0</v>
      </c>
      <c r="AY1090" s="140">
        <v>0</v>
      </c>
      <c r="AZ1090" s="140">
        <v>0</v>
      </c>
      <c r="BA1090" s="140">
        <v>0</v>
      </c>
      <c r="BB1090" s="140">
        <v>0</v>
      </c>
      <c r="BC1090" s="140">
        <v>0</v>
      </c>
      <c r="BD1090" s="140">
        <v>0</v>
      </c>
      <c r="BE1090" s="140">
        <v>0</v>
      </c>
      <c r="BF1090" s="140">
        <v>0</v>
      </c>
      <c r="BG1090" s="140">
        <v>0</v>
      </c>
      <c r="BH1090" s="140">
        <v>0</v>
      </c>
      <c r="BI1090" s="140">
        <v>0</v>
      </c>
      <c r="BJ1090" s="140">
        <v>0</v>
      </c>
      <c r="BK1090" s="140">
        <v>0</v>
      </c>
      <c r="BL1090" s="140">
        <v>0</v>
      </c>
      <c r="BM1090" s="140">
        <v>0</v>
      </c>
      <c r="BN1090" s="140">
        <v>0</v>
      </c>
      <c r="BO1090" s="140">
        <v>0</v>
      </c>
      <c r="BU1090" s="89"/>
      <c r="BX1090" s="43">
        <v>19</v>
      </c>
      <c r="CD1090" s="90">
        <f t="shared" si="147"/>
        <v>0.33333333333333331</v>
      </c>
      <c r="CE1090" s="90">
        <f t="shared" si="147"/>
        <v>0.33333333333333331</v>
      </c>
      <c r="CF1090" s="90">
        <f t="shared" si="147"/>
        <v>0.33333333333333331</v>
      </c>
      <c r="CT1090" s="90">
        <f t="shared" ref="CT1090:CT1153" si="148">SUM(BZ1090:CD1090)</f>
        <v>0.33333333333333331</v>
      </c>
      <c r="CU1090" s="90">
        <f t="shared" ref="CU1090:CU1153" si="149">SUM(BZ1090:CI1090)</f>
        <v>1</v>
      </c>
    </row>
    <row r="1091" spans="1:99" ht="12" customHeight="1">
      <c r="A1091" s="43">
        <v>7336</v>
      </c>
      <c r="B1091" s="89" t="s">
        <v>2753</v>
      </c>
      <c r="C1091" s="89" t="s">
        <v>2887</v>
      </c>
      <c r="D1091" s="89" t="s">
        <v>2888</v>
      </c>
      <c r="F1091" s="43">
        <v>526970</v>
      </c>
      <c r="G1091" s="43">
        <v>175172</v>
      </c>
      <c r="H1091" s="89" t="s">
        <v>170</v>
      </c>
      <c r="K1091" s="140">
        <v>0</v>
      </c>
      <c r="L1091" s="140">
        <v>1</v>
      </c>
      <c r="M1091" s="140">
        <v>1</v>
      </c>
      <c r="N1091" s="140">
        <v>4</v>
      </c>
      <c r="O1091" s="140">
        <v>3</v>
      </c>
      <c r="Q1091" s="89" t="s">
        <v>2889</v>
      </c>
      <c r="R1091" s="43" t="s">
        <v>2725</v>
      </c>
      <c r="S1091" s="125">
        <v>43875</v>
      </c>
      <c r="V1091" s="43" t="s">
        <v>317</v>
      </c>
      <c r="X1091" s="43" t="s">
        <v>318</v>
      </c>
      <c r="Y1091" s="43" t="s">
        <v>319</v>
      </c>
      <c r="Z1091" s="43" t="s">
        <v>320</v>
      </c>
      <c r="AA1091" s="43" t="s">
        <v>30</v>
      </c>
      <c r="AB1091" s="144">
        <v>6.0000000521540598E-3</v>
      </c>
      <c r="AF1091" s="43" t="s">
        <v>75</v>
      </c>
      <c r="AG1091" s="43" t="s">
        <v>322</v>
      </c>
      <c r="AJ1091" s="140">
        <v>0</v>
      </c>
      <c r="AK1091" s="140">
        <v>0</v>
      </c>
      <c r="AL1091" s="140">
        <v>0</v>
      </c>
      <c r="AM1091" s="140">
        <v>0</v>
      </c>
      <c r="AN1091" s="140">
        <v>0</v>
      </c>
      <c r="AO1091" s="140">
        <v>0</v>
      </c>
      <c r="AP1091" s="140">
        <v>1</v>
      </c>
      <c r="AQ1091" s="140">
        <v>0</v>
      </c>
      <c r="AR1091" s="140">
        <v>0</v>
      </c>
      <c r="AS1091" s="140">
        <v>0</v>
      </c>
      <c r="AT1091" s="140">
        <v>0</v>
      </c>
      <c r="AU1091" s="140">
        <v>0</v>
      </c>
      <c r="AV1091" s="140">
        <v>0</v>
      </c>
      <c r="AW1091" s="140">
        <v>1</v>
      </c>
      <c r="AX1091" s="140">
        <v>0</v>
      </c>
      <c r="AY1091" s="140">
        <v>0</v>
      </c>
      <c r="AZ1091" s="140">
        <v>0</v>
      </c>
      <c r="BA1091" s="140">
        <v>0</v>
      </c>
      <c r="BB1091" s="140">
        <v>0</v>
      </c>
      <c r="BC1091" s="140">
        <v>0</v>
      </c>
      <c r="BD1091" s="140">
        <v>0</v>
      </c>
      <c r="BE1091" s="140">
        <v>0</v>
      </c>
      <c r="BF1091" s="140">
        <v>0</v>
      </c>
      <c r="BG1091" s="140">
        <v>0</v>
      </c>
      <c r="BH1091" s="140">
        <v>0</v>
      </c>
      <c r="BI1091" s="140">
        <v>0</v>
      </c>
      <c r="BJ1091" s="140">
        <v>0</v>
      </c>
      <c r="BK1091" s="140">
        <v>0</v>
      </c>
      <c r="BL1091" s="140">
        <v>0</v>
      </c>
      <c r="BM1091" s="140">
        <v>0</v>
      </c>
      <c r="BN1091" s="140">
        <v>0</v>
      </c>
      <c r="BO1091" s="140">
        <v>0</v>
      </c>
      <c r="BU1091" s="89"/>
      <c r="BX1091" s="43">
        <v>19</v>
      </c>
      <c r="CD1091" s="90">
        <f t="shared" si="147"/>
        <v>0.33333333333333331</v>
      </c>
      <c r="CE1091" s="90">
        <f t="shared" si="147"/>
        <v>0.33333333333333331</v>
      </c>
      <c r="CF1091" s="90">
        <f t="shared" si="147"/>
        <v>0.33333333333333331</v>
      </c>
      <c r="CT1091" s="90">
        <f t="shared" si="148"/>
        <v>0.33333333333333331</v>
      </c>
      <c r="CU1091" s="90">
        <f t="shared" si="149"/>
        <v>1</v>
      </c>
    </row>
    <row r="1092" spans="1:99" ht="12" customHeight="1">
      <c r="A1092" s="43">
        <v>7336</v>
      </c>
      <c r="B1092" s="89" t="s">
        <v>2753</v>
      </c>
      <c r="C1092" s="89" t="s">
        <v>2887</v>
      </c>
      <c r="D1092" s="89" t="s">
        <v>2888</v>
      </c>
      <c r="F1092" s="43">
        <v>526970</v>
      </c>
      <c r="G1092" s="43">
        <v>175172</v>
      </c>
      <c r="H1092" s="89" t="s">
        <v>170</v>
      </c>
      <c r="K1092" s="140">
        <v>0</v>
      </c>
      <c r="L1092" s="140">
        <v>1</v>
      </c>
      <c r="M1092" s="140">
        <v>1</v>
      </c>
      <c r="N1092" s="140">
        <v>4</v>
      </c>
      <c r="O1092" s="140">
        <v>3</v>
      </c>
      <c r="Q1092" s="89" t="s">
        <v>2889</v>
      </c>
      <c r="R1092" s="43" t="s">
        <v>2725</v>
      </c>
      <c r="S1092" s="125">
        <v>43875</v>
      </c>
      <c r="V1092" s="43" t="s">
        <v>317</v>
      </c>
      <c r="X1092" s="43" t="s">
        <v>318</v>
      </c>
      <c r="Y1092" s="43" t="s">
        <v>319</v>
      </c>
      <c r="Z1092" s="43" t="s">
        <v>320</v>
      </c>
      <c r="AA1092" s="43" t="s">
        <v>340</v>
      </c>
      <c r="AB1092" s="144">
        <v>3.0000000260770299E-3</v>
      </c>
      <c r="AF1092" s="43" t="s">
        <v>75</v>
      </c>
      <c r="AG1092" s="43" t="s">
        <v>322</v>
      </c>
      <c r="AJ1092" s="140">
        <v>0</v>
      </c>
      <c r="AK1092" s="140">
        <v>0</v>
      </c>
      <c r="AL1092" s="140">
        <v>0</v>
      </c>
      <c r="AM1092" s="140">
        <v>0</v>
      </c>
      <c r="AN1092" s="140">
        <v>0</v>
      </c>
      <c r="AO1092" s="140">
        <v>1</v>
      </c>
      <c r="AP1092" s="140">
        <v>0</v>
      </c>
      <c r="AQ1092" s="140">
        <v>0</v>
      </c>
      <c r="AR1092" s="140">
        <v>0</v>
      </c>
      <c r="AS1092" s="140">
        <v>0</v>
      </c>
      <c r="AT1092" s="140">
        <v>0</v>
      </c>
      <c r="AU1092" s="140">
        <v>0</v>
      </c>
      <c r="AV1092" s="140">
        <v>1</v>
      </c>
      <c r="AW1092" s="140">
        <v>0</v>
      </c>
      <c r="AX1092" s="140">
        <v>0</v>
      </c>
      <c r="AY1092" s="140">
        <v>0</v>
      </c>
      <c r="AZ1092" s="140">
        <v>0</v>
      </c>
      <c r="BA1092" s="140">
        <v>0</v>
      </c>
      <c r="BB1092" s="140">
        <v>0</v>
      </c>
      <c r="BC1092" s="140">
        <v>0</v>
      </c>
      <c r="BD1092" s="140">
        <v>0</v>
      </c>
      <c r="BE1092" s="140">
        <v>0</v>
      </c>
      <c r="BF1092" s="140">
        <v>0</v>
      </c>
      <c r="BG1092" s="140">
        <v>0</v>
      </c>
      <c r="BH1092" s="140">
        <v>0</v>
      </c>
      <c r="BI1092" s="140">
        <v>0</v>
      </c>
      <c r="BJ1092" s="140">
        <v>0</v>
      </c>
      <c r="BK1092" s="140">
        <v>0</v>
      </c>
      <c r="BL1092" s="140">
        <v>0</v>
      </c>
      <c r="BM1092" s="140">
        <v>0</v>
      </c>
      <c r="BN1092" s="140">
        <v>0</v>
      </c>
      <c r="BO1092" s="140">
        <v>0</v>
      </c>
      <c r="BQ1092" s="89"/>
      <c r="BU1092" s="89"/>
      <c r="BX1092" s="43">
        <v>19</v>
      </c>
      <c r="CD1092" s="90">
        <f t="shared" si="147"/>
        <v>0.33333333333333331</v>
      </c>
      <c r="CE1092" s="90">
        <f t="shared" si="147"/>
        <v>0.33333333333333331</v>
      </c>
      <c r="CF1092" s="90">
        <f t="shared" si="147"/>
        <v>0.33333333333333331</v>
      </c>
      <c r="CT1092" s="90">
        <f t="shared" si="148"/>
        <v>0.33333333333333331</v>
      </c>
      <c r="CU1092" s="90">
        <f t="shared" si="149"/>
        <v>1</v>
      </c>
    </row>
    <row r="1093" spans="1:99" ht="12" customHeight="1">
      <c r="A1093" s="43">
        <v>7340</v>
      </c>
      <c r="B1093" s="89" t="s">
        <v>2753</v>
      </c>
      <c r="C1093" s="89" t="s">
        <v>2890</v>
      </c>
      <c r="D1093" s="89" t="s">
        <v>2891</v>
      </c>
      <c r="F1093" s="43">
        <v>528330</v>
      </c>
      <c r="G1093" s="43">
        <v>175742</v>
      </c>
      <c r="H1093" s="89" t="s">
        <v>175</v>
      </c>
      <c r="K1093" s="140">
        <v>0</v>
      </c>
      <c r="L1093" s="140">
        <v>1</v>
      </c>
      <c r="M1093" s="140">
        <v>1</v>
      </c>
      <c r="N1093" s="140">
        <v>1</v>
      </c>
      <c r="O1093" s="140">
        <v>1</v>
      </c>
      <c r="Q1093" s="89" t="s">
        <v>2892</v>
      </c>
      <c r="R1093" s="43" t="s">
        <v>2725</v>
      </c>
      <c r="S1093" s="125">
        <v>43874</v>
      </c>
      <c r="V1093" s="43" t="s">
        <v>317</v>
      </c>
      <c r="X1093" s="43" t="s">
        <v>318</v>
      </c>
      <c r="Y1093" s="43" t="s">
        <v>319</v>
      </c>
      <c r="Z1093" s="43" t="s">
        <v>2893</v>
      </c>
      <c r="AA1093" s="43" t="s">
        <v>36</v>
      </c>
      <c r="AB1093" s="144">
        <v>4.0000001899898104E-3</v>
      </c>
      <c r="AF1093" s="43" t="s">
        <v>75</v>
      </c>
      <c r="AG1093" s="43" t="s">
        <v>322</v>
      </c>
      <c r="AJ1093" s="140">
        <v>0</v>
      </c>
      <c r="AK1093" s="140">
        <v>0</v>
      </c>
      <c r="AL1093" s="140">
        <v>0</v>
      </c>
      <c r="AM1093" s="140">
        <v>0</v>
      </c>
      <c r="AN1093" s="140">
        <v>0</v>
      </c>
      <c r="AO1093" s="140">
        <v>1</v>
      </c>
      <c r="AP1093" s="140">
        <v>0</v>
      </c>
      <c r="AQ1093" s="140">
        <v>0</v>
      </c>
      <c r="AR1093" s="140">
        <v>0</v>
      </c>
      <c r="AS1093" s="140">
        <v>0</v>
      </c>
      <c r="AT1093" s="140">
        <v>0</v>
      </c>
      <c r="AU1093" s="140">
        <v>0</v>
      </c>
      <c r="AV1093" s="140">
        <v>1</v>
      </c>
      <c r="AW1093" s="140">
        <v>0</v>
      </c>
      <c r="AX1093" s="140">
        <v>0</v>
      </c>
      <c r="AY1093" s="140">
        <v>0</v>
      </c>
      <c r="AZ1093" s="140">
        <v>0</v>
      </c>
      <c r="BA1093" s="140">
        <v>0</v>
      </c>
      <c r="BB1093" s="140">
        <v>0</v>
      </c>
      <c r="BC1093" s="140">
        <v>0</v>
      </c>
      <c r="BD1093" s="140">
        <v>0</v>
      </c>
      <c r="BE1093" s="140">
        <v>0</v>
      </c>
      <c r="BF1093" s="140">
        <v>0</v>
      </c>
      <c r="BG1093" s="140">
        <v>0</v>
      </c>
      <c r="BH1093" s="140">
        <v>0</v>
      </c>
      <c r="BI1093" s="140">
        <v>0</v>
      </c>
      <c r="BJ1093" s="140">
        <v>0</v>
      </c>
      <c r="BK1093" s="140">
        <v>0</v>
      </c>
      <c r="BL1093" s="140">
        <v>0</v>
      </c>
      <c r="BM1093" s="140">
        <v>0</v>
      </c>
      <c r="BN1093" s="140">
        <v>0</v>
      </c>
      <c r="BO1093" s="140">
        <v>0</v>
      </c>
      <c r="BQ1093" s="89"/>
      <c r="BU1093" s="89"/>
      <c r="BX1093" s="43">
        <v>19</v>
      </c>
      <c r="CD1093" s="90">
        <f t="shared" si="147"/>
        <v>0.33333333333333331</v>
      </c>
      <c r="CE1093" s="90">
        <f t="shared" si="147"/>
        <v>0.33333333333333331</v>
      </c>
      <c r="CF1093" s="90">
        <f t="shared" si="147"/>
        <v>0.33333333333333331</v>
      </c>
      <c r="CT1093" s="90">
        <f t="shared" si="148"/>
        <v>0.33333333333333331</v>
      </c>
      <c r="CU1093" s="90">
        <f t="shared" si="149"/>
        <v>1</v>
      </c>
    </row>
    <row r="1094" spans="1:99" ht="12" customHeight="1">
      <c r="A1094" s="43">
        <v>7350</v>
      </c>
      <c r="B1094" s="89" t="s">
        <v>2753</v>
      </c>
      <c r="C1094" s="89" t="s">
        <v>2894</v>
      </c>
      <c r="D1094" s="89" t="s">
        <v>2895</v>
      </c>
      <c r="E1094" s="89" t="s">
        <v>2896</v>
      </c>
      <c r="F1094" s="43">
        <v>529158</v>
      </c>
      <c r="G1094" s="43">
        <v>172857</v>
      </c>
      <c r="H1094" s="89" t="s">
        <v>167</v>
      </c>
      <c r="K1094" s="140">
        <v>0</v>
      </c>
      <c r="L1094" s="140">
        <v>1</v>
      </c>
      <c r="M1094" s="140">
        <v>1</v>
      </c>
      <c r="N1094" s="140">
        <v>2</v>
      </c>
      <c r="O1094" s="140">
        <v>2</v>
      </c>
      <c r="Q1094" s="89" t="s">
        <v>2897</v>
      </c>
      <c r="R1094" s="43" t="s">
        <v>2725</v>
      </c>
      <c r="S1094" s="125">
        <v>43888</v>
      </c>
      <c r="V1094" s="43" t="s">
        <v>317</v>
      </c>
      <c r="X1094" s="43" t="s">
        <v>318</v>
      </c>
      <c r="Y1094" s="43" t="s">
        <v>336</v>
      </c>
      <c r="Z1094" s="43" t="s">
        <v>320</v>
      </c>
      <c r="AA1094" s="43" t="s">
        <v>36</v>
      </c>
      <c r="AB1094" s="144">
        <v>2.0999999716877899E-2</v>
      </c>
      <c r="AF1094" s="43" t="s">
        <v>75</v>
      </c>
      <c r="AG1094" s="43" t="s">
        <v>322</v>
      </c>
      <c r="AJ1094" s="140">
        <v>0</v>
      </c>
      <c r="AK1094" s="140">
        <v>0</v>
      </c>
      <c r="AL1094" s="140">
        <v>0</v>
      </c>
      <c r="AM1094" s="140">
        <v>0</v>
      </c>
      <c r="AN1094" s="140">
        <v>0</v>
      </c>
      <c r="AO1094" s="140">
        <v>0</v>
      </c>
      <c r="AP1094" s="140">
        <v>1</v>
      </c>
      <c r="AQ1094" s="140">
        <v>0</v>
      </c>
      <c r="AR1094" s="140">
        <v>0</v>
      </c>
      <c r="AS1094" s="140">
        <v>0</v>
      </c>
      <c r="AT1094" s="140">
        <v>0</v>
      </c>
      <c r="AU1094" s="140">
        <v>0</v>
      </c>
      <c r="AV1094" s="140">
        <v>0</v>
      </c>
      <c r="AW1094" s="140">
        <v>0</v>
      </c>
      <c r="AX1094" s="140">
        <v>0</v>
      </c>
      <c r="AY1094" s="140">
        <v>0</v>
      </c>
      <c r="AZ1094" s="140">
        <v>0</v>
      </c>
      <c r="BA1094" s="140">
        <v>0</v>
      </c>
      <c r="BB1094" s="140">
        <v>0</v>
      </c>
      <c r="BC1094" s="140">
        <v>0</v>
      </c>
      <c r="BD1094" s="140">
        <v>1</v>
      </c>
      <c r="BE1094" s="140">
        <v>0</v>
      </c>
      <c r="BF1094" s="140">
        <v>0</v>
      </c>
      <c r="BG1094" s="140">
        <v>0</v>
      </c>
      <c r="BH1094" s="140">
        <v>0</v>
      </c>
      <c r="BI1094" s="140">
        <v>0</v>
      </c>
      <c r="BJ1094" s="140">
        <v>0</v>
      </c>
      <c r="BK1094" s="140">
        <v>0</v>
      </c>
      <c r="BL1094" s="140">
        <v>0</v>
      </c>
      <c r="BM1094" s="140">
        <v>0</v>
      </c>
      <c r="BN1094" s="140">
        <v>0</v>
      </c>
      <c r="BO1094" s="140">
        <v>0</v>
      </c>
      <c r="BQ1094" s="89"/>
      <c r="BU1094" s="89"/>
      <c r="BX1094" s="43">
        <v>19</v>
      </c>
      <c r="CD1094" s="90">
        <f t="shared" si="147"/>
        <v>0.33333333333333331</v>
      </c>
      <c r="CE1094" s="90">
        <f t="shared" si="147"/>
        <v>0.33333333333333331</v>
      </c>
      <c r="CF1094" s="90">
        <f t="shared" si="147"/>
        <v>0.33333333333333331</v>
      </c>
      <c r="CT1094" s="90">
        <f t="shared" si="148"/>
        <v>0.33333333333333331</v>
      </c>
      <c r="CU1094" s="90">
        <f t="shared" si="149"/>
        <v>1</v>
      </c>
    </row>
    <row r="1095" spans="1:99" ht="12" customHeight="1">
      <c r="A1095" s="43">
        <v>7350</v>
      </c>
      <c r="B1095" s="89" t="s">
        <v>2753</v>
      </c>
      <c r="C1095" s="89" t="s">
        <v>2894</v>
      </c>
      <c r="D1095" s="89" t="s">
        <v>2895</v>
      </c>
      <c r="E1095" s="89" t="s">
        <v>2898</v>
      </c>
      <c r="F1095" s="43">
        <v>529158</v>
      </c>
      <c r="G1095" s="43">
        <v>172857</v>
      </c>
      <c r="H1095" s="89" t="s">
        <v>167</v>
      </c>
      <c r="K1095" s="140">
        <v>0</v>
      </c>
      <c r="L1095" s="140">
        <v>1</v>
      </c>
      <c r="M1095" s="140">
        <v>1</v>
      </c>
      <c r="N1095" s="140">
        <v>2</v>
      </c>
      <c r="O1095" s="140">
        <v>2</v>
      </c>
      <c r="Q1095" s="89" t="s">
        <v>2897</v>
      </c>
      <c r="R1095" s="43" t="s">
        <v>2725</v>
      </c>
      <c r="S1095" s="125">
        <v>43888</v>
      </c>
      <c r="V1095" s="43" t="s">
        <v>317</v>
      </c>
      <c r="X1095" s="43" t="s">
        <v>318</v>
      </c>
      <c r="Y1095" s="43" t="s">
        <v>336</v>
      </c>
      <c r="Z1095" s="43" t="s">
        <v>320</v>
      </c>
      <c r="AA1095" s="43" t="s">
        <v>36</v>
      </c>
      <c r="AB1095" s="144">
        <v>1.7999999225139601E-2</v>
      </c>
      <c r="AF1095" s="43" t="s">
        <v>75</v>
      </c>
      <c r="AG1095" s="43" t="s">
        <v>322</v>
      </c>
      <c r="AJ1095" s="140">
        <v>0</v>
      </c>
      <c r="AK1095" s="140">
        <v>0</v>
      </c>
      <c r="AL1095" s="140">
        <v>0</v>
      </c>
      <c r="AM1095" s="140">
        <v>0</v>
      </c>
      <c r="AN1095" s="140">
        <v>0</v>
      </c>
      <c r="AO1095" s="140">
        <v>0</v>
      </c>
      <c r="AP1095" s="140">
        <v>1</v>
      </c>
      <c r="AQ1095" s="140">
        <v>0</v>
      </c>
      <c r="AR1095" s="140">
        <v>0</v>
      </c>
      <c r="AS1095" s="140">
        <v>0</v>
      </c>
      <c r="AT1095" s="140">
        <v>0</v>
      </c>
      <c r="AU1095" s="140">
        <v>0</v>
      </c>
      <c r="AV1095" s="140">
        <v>0</v>
      </c>
      <c r="AW1095" s="140">
        <v>0</v>
      </c>
      <c r="AX1095" s="140">
        <v>0</v>
      </c>
      <c r="AY1095" s="140">
        <v>0</v>
      </c>
      <c r="AZ1095" s="140">
        <v>0</v>
      </c>
      <c r="BA1095" s="140">
        <v>0</v>
      </c>
      <c r="BB1095" s="140">
        <v>0</v>
      </c>
      <c r="BC1095" s="140">
        <v>0</v>
      </c>
      <c r="BD1095" s="140">
        <v>1</v>
      </c>
      <c r="BE1095" s="140">
        <v>0</v>
      </c>
      <c r="BF1095" s="140">
        <v>0</v>
      </c>
      <c r="BG1095" s="140">
        <v>0</v>
      </c>
      <c r="BH1095" s="140">
        <v>0</v>
      </c>
      <c r="BI1095" s="140">
        <v>0</v>
      </c>
      <c r="BJ1095" s="140">
        <v>0</v>
      </c>
      <c r="BK1095" s="140">
        <v>0</v>
      </c>
      <c r="BL1095" s="140">
        <v>0</v>
      </c>
      <c r="BM1095" s="140">
        <v>0</v>
      </c>
      <c r="BN1095" s="140">
        <v>0</v>
      </c>
      <c r="BO1095" s="140">
        <v>0</v>
      </c>
      <c r="BQ1095" s="89"/>
      <c r="BU1095" s="89"/>
      <c r="BX1095" s="43">
        <v>19</v>
      </c>
      <c r="CD1095" s="90">
        <f t="shared" si="147"/>
        <v>0.33333333333333331</v>
      </c>
      <c r="CE1095" s="90">
        <f t="shared" si="147"/>
        <v>0.33333333333333331</v>
      </c>
      <c r="CF1095" s="90">
        <f t="shared" si="147"/>
        <v>0.33333333333333331</v>
      </c>
      <c r="CT1095" s="90">
        <f t="shared" si="148"/>
        <v>0.33333333333333331</v>
      </c>
      <c r="CU1095" s="90">
        <f t="shared" si="149"/>
        <v>1</v>
      </c>
    </row>
    <row r="1096" spans="1:99" ht="12" customHeight="1">
      <c r="A1096" s="43">
        <v>7351</v>
      </c>
      <c r="B1096" s="89" t="s">
        <v>2753</v>
      </c>
      <c r="C1096" s="89" t="s">
        <v>2899</v>
      </c>
      <c r="D1096" s="89" t="s">
        <v>2900</v>
      </c>
      <c r="F1096" s="43">
        <v>527510</v>
      </c>
      <c r="G1096" s="43">
        <v>171246</v>
      </c>
      <c r="H1096" s="89" t="s">
        <v>172</v>
      </c>
      <c r="K1096" s="140">
        <v>0</v>
      </c>
      <c r="L1096" s="140">
        <v>1</v>
      </c>
      <c r="M1096" s="140">
        <v>1</v>
      </c>
      <c r="N1096" s="140">
        <v>1</v>
      </c>
      <c r="O1096" s="140">
        <v>1</v>
      </c>
      <c r="Q1096" s="89" t="s">
        <v>2901</v>
      </c>
      <c r="R1096" s="43" t="s">
        <v>2725</v>
      </c>
      <c r="S1096" s="125">
        <v>43887</v>
      </c>
      <c r="V1096" s="43" t="s">
        <v>317</v>
      </c>
      <c r="X1096" s="43" t="s">
        <v>318</v>
      </c>
      <c r="Y1096" s="43" t="s">
        <v>379</v>
      </c>
      <c r="Z1096" s="43" t="s">
        <v>320</v>
      </c>
      <c r="AA1096" s="43" t="s">
        <v>340</v>
      </c>
      <c r="AB1096" s="144">
        <v>6.0000000521540598E-3</v>
      </c>
      <c r="AF1096" s="43" t="s">
        <v>75</v>
      </c>
      <c r="AG1096" s="43" t="s">
        <v>322</v>
      </c>
      <c r="AJ1096" s="140">
        <v>0</v>
      </c>
      <c r="AK1096" s="140">
        <v>0</v>
      </c>
      <c r="AL1096" s="140">
        <v>0</v>
      </c>
      <c r="AM1096" s="140">
        <v>0</v>
      </c>
      <c r="AN1096" s="140">
        <v>0</v>
      </c>
      <c r="AO1096" s="140">
        <v>1</v>
      </c>
      <c r="AP1096" s="140">
        <v>0</v>
      </c>
      <c r="AQ1096" s="140">
        <v>0</v>
      </c>
      <c r="AR1096" s="140">
        <v>0</v>
      </c>
      <c r="AS1096" s="140">
        <v>0</v>
      </c>
      <c r="AT1096" s="140">
        <v>0</v>
      </c>
      <c r="AU1096" s="140">
        <v>0</v>
      </c>
      <c r="AV1096" s="140">
        <v>1</v>
      </c>
      <c r="AW1096" s="140">
        <v>0</v>
      </c>
      <c r="AX1096" s="140">
        <v>0</v>
      </c>
      <c r="AY1096" s="140">
        <v>0</v>
      </c>
      <c r="AZ1096" s="140">
        <v>0</v>
      </c>
      <c r="BA1096" s="140">
        <v>0</v>
      </c>
      <c r="BB1096" s="140">
        <v>0</v>
      </c>
      <c r="BC1096" s="140">
        <v>0</v>
      </c>
      <c r="BD1096" s="140">
        <v>0</v>
      </c>
      <c r="BE1096" s="140">
        <v>0</v>
      </c>
      <c r="BF1096" s="140">
        <v>0</v>
      </c>
      <c r="BG1096" s="140">
        <v>0</v>
      </c>
      <c r="BH1096" s="140">
        <v>0</v>
      </c>
      <c r="BI1096" s="140">
        <v>0</v>
      </c>
      <c r="BJ1096" s="140">
        <v>0</v>
      </c>
      <c r="BK1096" s="140">
        <v>0</v>
      </c>
      <c r="BL1096" s="140">
        <v>0</v>
      </c>
      <c r="BM1096" s="140">
        <v>0</v>
      </c>
      <c r="BN1096" s="140">
        <v>0</v>
      </c>
      <c r="BO1096" s="140">
        <v>0</v>
      </c>
      <c r="BQ1096" s="89"/>
      <c r="BU1096" s="89"/>
      <c r="BX1096" s="43">
        <v>19</v>
      </c>
      <c r="CD1096" s="90">
        <f t="shared" si="147"/>
        <v>0.33333333333333331</v>
      </c>
      <c r="CE1096" s="90">
        <f t="shared" si="147"/>
        <v>0.33333333333333331</v>
      </c>
      <c r="CF1096" s="90">
        <f t="shared" si="147"/>
        <v>0.33333333333333331</v>
      </c>
      <c r="CT1096" s="90">
        <f t="shared" si="148"/>
        <v>0.33333333333333331</v>
      </c>
      <c r="CU1096" s="90">
        <f t="shared" si="149"/>
        <v>1</v>
      </c>
    </row>
    <row r="1097" spans="1:99" ht="12" customHeight="1">
      <c r="A1097" s="43">
        <v>7354</v>
      </c>
      <c r="B1097" s="89" t="s">
        <v>2753</v>
      </c>
      <c r="C1097" s="89" t="s">
        <v>2902</v>
      </c>
      <c r="D1097" s="89" t="s">
        <v>2903</v>
      </c>
      <c r="F1097" s="43">
        <v>528432</v>
      </c>
      <c r="G1097" s="43">
        <v>173696</v>
      </c>
      <c r="H1097" s="89" t="s">
        <v>138</v>
      </c>
      <c r="K1097" s="140">
        <v>2</v>
      </c>
      <c r="L1097" s="140">
        <v>3</v>
      </c>
      <c r="M1097" s="140">
        <v>1</v>
      </c>
      <c r="N1097" s="140">
        <v>3</v>
      </c>
      <c r="O1097" s="140">
        <v>1</v>
      </c>
      <c r="Q1097" s="89" t="s">
        <v>2904</v>
      </c>
      <c r="R1097" s="43" t="s">
        <v>2725</v>
      </c>
      <c r="S1097" s="125">
        <v>43896</v>
      </c>
      <c r="V1097" s="43" t="s">
        <v>317</v>
      </c>
      <c r="X1097" s="43" t="s">
        <v>318</v>
      </c>
      <c r="Y1097" s="43" t="s">
        <v>319</v>
      </c>
      <c r="Z1097" s="43" t="s">
        <v>320</v>
      </c>
      <c r="AA1097" s="43" t="s">
        <v>340</v>
      </c>
      <c r="AB1097" s="144">
        <v>8.9999996125698107E-3</v>
      </c>
      <c r="AF1097" s="43" t="s">
        <v>75</v>
      </c>
      <c r="AG1097" s="43" t="s">
        <v>322</v>
      </c>
      <c r="AJ1097" s="140">
        <v>0</v>
      </c>
      <c r="AK1097" s="140">
        <v>0</v>
      </c>
      <c r="AL1097" s="140">
        <v>0</v>
      </c>
      <c r="AM1097" s="140">
        <v>0</v>
      </c>
      <c r="AN1097" s="140">
        <v>0</v>
      </c>
      <c r="AO1097" s="140">
        <v>1</v>
      </c>
      <c r="AP1097" s="140">
        <v>0</v>
      </c>
      <c r="AQ1097" s="140">
        <v>0</v>
      </c>
      <c r="AR1097" s="140">
        <v>0</v>
      </c>
      <c r="AS1097" s="140">
        <v>0</v>
      </c>
      <c r="AT1097" s="140">
        <v>0</v>
      </c>
      <c r="AU1097" s="140">
        <v>0</v>
      </c>
      <c r="AV1097" s="140">
        <v>1</v>
      </c>
      <c r="AW1097" s="140">
        <v>0</v>
      </c>
      <c r="AX1097" s="140">
        <v>0</v>
      </c>
      <c r="AY1097" s="140">
        <v>0</v>
      </c>
      <c r="AZ1097" s="140">
        <v>0</v>
      </c>
      <c r="BA1097" s="140">
        <v>0</v>
      </c>
      <c r="BB1097" s="140">
        <v>0</v>
      </c>
      <c r="BC1097" s="140">
        <v>0</v>
      </c>
      <c r="BD1097" s="140">
        <v>0</v>
      </c>
      <c r="BE1097" s="140">
        <v>0</v>
      </c>
      <c r="BF1097" s="140">
        <v>0</v>
      </c>
      <c r="BG1097" s="140">
        <v>0</v>
      </c>
      <c r="BH1097" s="140">
        <v>0</v>
      </c>
      <c r="BI1097" s="140">
        <v>0</v>
      </c>
      <c r="BJ1097" s="140">
        <v>0</v>
      </c>
      <c r="BK1097" s="140">
        <v>0</v>
      </c>
      <c r="BL1097" s="140">
        <v>0</v>
      </c>
      <c r="BM1097" s="140">
        <v>0</v>
      </c>
      <c r="BN1097" s="140">
        <v>0</v>
      </c>
      <c r="BO1097" s="140">
        <v>0</v>
      </c>
      <c r="BU1097" s="89"/>
      <c r="BX1097" s="43">
        <v>19</v>
      </c>
      <c r="CD1097" s="90">
        <f t="shared" si="147"/>
        <v>0.33333333333333331</v>
      </c>
      <c r="CE1097" s="90">
        <f t="shared" si="147"/>
        <v>0.33333333333333331</v>
      </c>
      <c r="CF1097" s="90">
        <f t="shared" si="147"/>
        <v>0.33333333333333331</v>
      </c>
      <c r="CT1097" s="90">
        <f t="shared" si="148"/>
        <v>0.33333333333333331</v>
      </c>
      <c r="CU1097" s="90">
        <f t="shared" si="149"/>
        <v>1</v>
      </c>
    </row>
    <row r="1098" spans="1:99" ht="12" customHeight="1">
      <c r="A1098" s="43">
        <v>7358</v>
      </c>
      <c r="B1098" s="89" t="s">
        <v>2753</v>
      </c>
      <c r="C1098" s="89" t="s">
        <v>2905</v>
      </c>
      <c r="D1098" s="89" t="s">
        <v>2906</v>
      </c>
      <c r="F1098" s="43">
        <v>526467</v>
      </c>
      <c r="G1098" s="43">
        <v>175725</v>
      </c>
      <c r="H1098" s="89" t="s">
        <v>177</v>
      </c>
      <c r="K1098" s="140">
        <v>0</v>
      </c>
      <c r="L1098" s="140">
        <v>6</v>
      </c>
      <c r="M1098" s="140">
        <v>6</v>
      </c>
      <c r="N1098" s="140">
        <v>6</v>
      </c>
      <c r="O1098" s="140">
        <v>6</v>
      </c>
      <c r="Q1098" s="89" t="s">
        <v>2907</v>
      </c>
      <c r="R1098" s="43" t="s">
        <v>2778</v>
      </c>
      <c r="S1098" s="125">
        <v>43895</v>
      </c>
      <c r="V1098" s="43" t="s">
        <v>317</v>
      </c>
      <c r="X1098" s="43" t="s">
        <v>318</v>
      </c>
      <c r="Y1098" s="43" t="s">
        <v>336</v>
      </c>
      <c r="Z1098" s="43" t="s">
        <v>320</v>
      </c>
      <c r="AA1098" s="43" t="s">
        <v>33</v>
      </c>
      <c r="AB1098" s="144">
        <v>1.4999999664723899E-2</v>
      </c>
      <c r="AF1098" s="43" t="s">
        <v>75</v>
      </c>
      <c r="AG1098" s="43" t="s">
        <v>322</v>
      </c>
      <c r="AJ1098" s="140">
        <v>0</v>
      </c>
      <c r="AK1098" s="140">
        <v>0</v>
      </c>
      <c r="AL1098" s="140">
        <v>0</v>
      </c>
      <c r="AM1098" s="140">
        <v>0</v>
      </c>
      <c r="AN1098" s="140">
        <v>0</v>
      </c>
      <c r="AO1098" s="140">
        <v>3</v>
      </c>
      <c r="AP1098" s="140">
        <v>3</v>
      </c>
      <c r="AQ1098" s="140">
        <v>0</v>
      </c>
      <c r="AR1098" s="140">
        <v>0</v>
      </c>
      <c r="AS1098" s="140">
        <v>0</v>
      </c>
      <c r="AT1098" s="140">
        <v>0</v>
      </c>
      <c r="AU1098" s="140">
        <v>0</v>
      </c>
      <c r="AV1098" s="140">
        <v>3</v>
      </c>
      <c r="AW1098" s="140">
        <v>3</v>
      </c>
      <c r="AX1098" s="140">
        <v>0</v>
      </c>
      <c r="AY1098" s="140">
        <v>0</v>
      </c>
      <c r="AZ1098" s="140">
        <v>0</v>
      </c>
      <c r="BA1098" s="140">
        <v>0</v>
      </c>
      <c r="BB1098" s="140">
        <v>0</v>
      </c>
      <c r="BC1098" s="140">
        <v>0</v>
      </c>
      <c r="BD1098" s="140">
        <v>0</v>
      </c>
      <c r="BE1098" s="140">
        <v>0</v>
      </c>
      <c r="BF1098" s="140">
        <v>0</v>
      </c>
      <c r="BG1098" s="140">
        <v>0</v>
      </c>
      <c r="BH1098" s="140">
        <v>0</v>
      </c>
      <c r="BI1098" s="140">
        <v>0</v>
      </c>
      <c r="BJ1098" s="140">
        <v>0</v>
      </c>
      <c r="BK1098" s="140">
        <v>0</v>
      </c>
      <c r="BL1098" s="140">
        <v>0</v>
      </c>
      <c r="BM1098" s="140">
        <v>0</v>
      </c>
      <c r="BN1098" s="140">
        <v>0</v>
      </c>
      <c r="BO1098" s="140">
        <v>0</v>
      </c>
      <c r="BU1098" s="89"/>
      <c r="BV1098" s="43" t="s">
        <v>329</v>
      </c>
      <c r="BX1098" s="43">
        <v>19</v>
      </c>
      <c r="CD1098" s="90">
        <f t="shared" si="147"/>
        <v>2</v>
      </c>
      <c r="CE1098" s="90">
        <f t="shared" si="147"/>
        <v>2</v>
      </c>
      <c r="CF1098" s="90">
        <f t="shared" si="147"/>
        <v>2</v>
      </c>
      <c r="CT1098" s="90">
        <f t="shared" si="148"/>
        <v>2</v>
      </c>
      <c r="CU1098" s="90">
        <f t="shared" si="149"/>
        <v>6</v>
      </c>
    </row>
    <row r="1099" spans="1:99" ht="12" customHeight="1">
      <c r="A1099" s="43">
        <v>7360</v>
      </c>
      <c r="B1099" s="89" t="s">
        <v>2753</v>
      </c>
      <c r="C1099" s="89" t="s">
        <v>2908</v>
      </c>
      <c r="D1099" s="89" t="s">
        <v>2909</v>
      </c>
      <c r="F1099" s="43">
        <v>527443</v>
      </c>
      <c r="G1099" s="43">
        <v>176347</v>
      </c>
      <c r="H1099" s="89" t="s">
        <v>147</v>
      </c>
      <c r="K1099" s="140">
        <v>0</v>
      </c>
      <c r="L1099" s="140">
        <v>1</v>
      </c>
      <c r="M1099" s="140">
        <v>1</v>
      </c>
      <c r="N1099" s="140">
        <v>1</v>
      </c>
      <c r="O1099" s="140">
        <v>1</v>
      </c>
      <c r="Q1099" s="89" t="s">
        <v>2910</v>
      </c>
      <c r="R1099" s="43" t="s">
        <v>2725</v>
      </c>
      <c r="S1099" s="125">
        <v>43889</v>
      </c>
      <c r="V1099" s="43" t="s">
        <v>317</v>
      </c>
      <c r="X1099" s="43" t="s">
        <v>318</v>
      </c>
      <c r="Y1099" s="43" t="s">
        <v>319</v>
      </c>
      <c r="Z1099" s="43" t="s">
        <v>320</v>
      </c>
      <c r="AA1099" s="43" t="s">
        <v>340</v>
      </c>
      <c r="AB1099" s="144">
        <v>8.0000003799796104E-3</v>
      </c>
      <c r="AF1099" s="43" t="s">
        <v>75</v>
      </c>
      <c r="AG1099" s="43" t="s">
        <v>322</v>
      </c>
      <c r="AJ1099" s="140">
        <v>0</v>
      </c>
      <c r="AK1099" s="140">
        <v>0</v>
      </c>
      <c r="AL1099" s="140">
        <v>0</v>
      </c>
      <c r="AM1099" s="140">
        <v>0</v>
      </c>
      <c r="AN1099" s="140">
        <v>0</v>
      </c>
      <c r="AO1099" s="140">
        <v>0</v>
      </c>
      <c r="AP1099" s="140">
        <v>1</v>
      </c>
      <c r="AQ1099" s="140">
        <v>0</v>
      </c>
      <c r="AR1099" s="140">
        <v>0</v>
      </c>
      <c r="AS1099" s="140">
        <v>0</v>
      </c>
      <c r="AT1099" s="140">
        <v>0</v>
      </c>
      <c r="AU1099" s="140">
        <v>0</v>
      </c>
      <c r="AV1099" s="140">
        <v>0</v>
      </c>
      <c r="AW1099" s="140">
        <v>1</v>
      </c>
      <c r="AX1099" s="140">
        <v>0</v>
      </c>
      <c r="AY1099" s="140">
        <v>0</v>
      </c>
      <c r="AZ1099" s="140">
        <v>0</v>
      </c>
      <c r="BA1099" s="140">
        <v>0</v>
      </c>
      <c r="BB1099" s="140">
        <v>0</v>
      </c>
      <c r="BC1099" s="140">
        <v>0</v>
      </c>
      <c r="BD1099" s="140">
        <v>0</v>
      </c>
      <c r="BE1099" s="140">
        <v>0</v>
      </c>
      <c r="BF1099" s="140">
        <v>0</v>
      </c>
      <c r="BG1099" s="140">
        <v>0</v>
      </c>
      <c r="BH1099" s="140">
        <v>0</v>
      </c>
      <c r="BI1099" s="140">
        <v>0</v>
      </c>
      <c r="BJ1099" s="140">
        <v>0</v>
      </c>
      <c r="BK1099" s="140">
        <v>0</v>
      </c>
      <c r="BL1099" s="140">
        <v>0</v>
      </c>
      <c r="BM1099" s="140">
        <v>0</v>
      </c>
      <c r="BN1099" s="140">
        <v>0</v>
      </c>
      <c r="BO1099" s="140">
        <v>0</v>
      </c>
      <c r="BU1099" s="89"/>
      <c r="BX1099" s="43">
        <v>19</v>
      </c>
      <c r="CD1099" s="90">
        <f t="shared" si="147"/>
        <v>0.33333333333333331</v>
      </c>
      <c r="CE1099" s="90">
        <f t="shared" si="147"/>
        <v>0.33333333333333331</v>
      </c>
      <c r="CF1099" s="90">
        <f t="shared" si="147"/>
        <v>0.33333333333333331</v>
      </c>
      <c r="CT1099" s="90">
        <f t="shared" si="148"/>
        <v>0.33333333333333331</v>
      </c>
      <c r="CU1099" s="90">
        <f t="shared" si="149"/>
        <v>1</v>
      </c>
    </row>
    <row r="1100" spans="1:99" ht="12" customHeight="1">
      <c r="A1100" s="43">
        <v>7362</v>
      </c>
      <c r="B1100" s="89" t="s">
        <v>2753</v>
      </c>
      <c r="C1100" s="89" t="s">
        <v>2911</v>
      </c>
      <c r="D1100" s="89" t="s">
        <v>2912</v>
      </c>
      <c r="F1100" s="43">
        <v>528273</v>
      </c>
      <c r="G1100" s="43">
        <v>171722</v>
      </c>
      <c r="H1100" s="89" t="s">
        <v>172</v>
      </c>
      <c r="K1100" s="140">
        <v>0</v>
      </c>
      <c r="L1100" s="140">
        <v>1</v>
      </c>
      <c r="M1100" s="140">
        <v>1</v>
      </c>
      <c r="N1100" s="140">
        <v>1</v>
      </c>
      <c r="O1100" s="140">
        <v>1</v>
      </c>
      <c r="Q1100" s="89" t="s">
        <v>2913</v>
      </c>
      <c r="R1100" s="43" t="s">
        <v>2725</v>
      </c>
      <c r="S1100" s="125">
        <v>43892</v>
      </c>
      <c r="V1100" s="43" t="s">
        <v>317</v>
      </c>
      <c r="X1100" s="43" t="s">
        <v>318</v>
      </c>
      <c r="Y1100" s="43" t="s">
        <v>336</v>
      </c>
      <c r="Z1100" s="43" t="s">
        <v>320</v>
      </c>
      <c r="AA1100" s="43" t="s">
        <v>33</v>
      </c>
      <c r="AB1100" s="144">
        <v>4.9999998882412902E-3</v>
      </c>
      <c r="AF1100" s="43" t="s">
        <v>75</v>
      </c>
      <c r="AG1100" s="43" t="s">
        <v>322</v>
      </c>
      <c r="AJ1100" s="140">
        <v>0</v>
      </c>
      <c r="AK1100" s="140">
        <v>0</v>
      </c>
      <c r="AL1100" s="140">
        <v>0</v>
      </c>
      <c r="AM1100" s="140">
        <v>0</v>
      </c>
      <c r="AN1100" s="140">
        <v>1</v>
      </c>
      <c r="AO1100" s="140">
        <v>0</v>
      </c>
      <c r="AP1100" s="140">
        <v>0</v>
      </c>
      <c r="AQ1100" s="140">
        <v>0</v>
      </c>
      <c r="AR1100" s="140">
        <v>0</v>
      </c>
      <c r="AS1100" s="140">
        <v>0</v>
      </c>
      <c r="AT1100" s="140">
        <v>0</v>
      </c>
      <c r="AU1100" s="140">
        <v>1</v>
      </c>
      <c r="AV1100" s="140">
        <v>0</v>
      </c>
      <c r="AW1100" s="140">
        <v>0</v>
      </c>
      <c r="AX1100" s="140">
        <v>0</v>
      </c>
      <c r="AY1100" s="140">
        <v>0</v>
      </c>
      <c r="AZ1100" s="140">
        <v>0</v>
      </c>
      <c r="BA1100" s="140">
        <v>0</v>
      </c>
      <c r="BB1100" s="140">
        <v>0</v>
      </c>
      <c r="BC1100" s="140">
        <v>0</v>
      </c>
      <c r="BD1100" s="140">
        <v>0</v>
      </c>
      <c r="BE1100" s="140">
        <v>0</v>
      </c>
      <c r="BF1100" s="140">
        <v>0</v>
      </c>
      <c r="BG1100" s="140">
        <v>0</v>
      </c>
      <c r="BH1100" s="140">
        <v>0</v>
      </c>
      <c r="BI1100" s="140">
        <v>0</v>
      </c>
      <c r="BJ1100" s="140">
        <v>0</v>
      </c>
      <c r="BK1100" s="140">
        <v>0</v>
      </c>
      <c r="BL1100" s="140">
        <v>0</v>
      </c>
      <c r="BM1100" s="140">
        <v>0</v>
      </c>
      <c r="BN1100" s="140">
        <v>0</v>
      </c>
      <c r="BO1100" s="140">
        <v>0</v>
      </c>
      <c r="BU1100" s="89"/>
      <c r="BX1100" s="43">
        <v>19</v>
      </c>
      <c r="CD1100" s="90">
        <f t="shared" si="147"/>
        <v>0.33333333333333331</v>
      </c>
      <c r="CE1100" s="90">
        <f t="shared" si="147"/>
        <v>0.33333333333333331</v>
      </c>
      <c r="CF1100" s="90">
        <f t="shared" si="147"/>
        <v>0.33333333333333331</v>
      </c>
      <c r="CT1100" s="90">
        <f t="shared" si="148"/>
        <v>0.33333333333333331</v>
      </c>
      <c r="CU1100" s="90">
        <f t="shared" si="149"/>
        <v>1</v>
      </c>
    </row>
    <row r="1101" spans="1:99" ht="12" customHeight="1">
      <c r="A1101" s="43">
        <v>7363</v>
      </c>
      <c r="B1101" s="89" t="s">
        <v>2753</v>
      </c>
      <c r="C1101" s="89" t="s">
        <v>2914</v>
      </c>
      <c r="D1101" s="89" t="s">
        <v>2915</v>
      </c>
      <c r="F1101" s="43">
        <v>527621</v>
      </c>
      <c r="G1101" s="43">
        <v>171247</v>
      </c>
      <c r="H1101" s="89" t="s">
        <v>172</v>
      </c>
      <c r="K1101" s="140">
        <v>0</v>
      </c>
      <c r="L1101" s="140">
        <v>1</v>
      </c>
      <c r="M1101" s="140">
        <v>1</v>
      </c>
      <c r="N1101" s="140">
        <v>1</v>
      </c>
      <c r="O1101" s="140">
        <v>1</v>
      </c>
      <c r="Q1101" s="89" t="s">
        <v>2916</v>
      </c>
      <c r="R1101" s="43" t="s">
        <v>2778</v>
      </c>
      <c r="S1101" s="125">
        <v>43900</v>
      </c>
      <c r="V1101" s="43" t="s">
        <v>317</v>
      </c>
      <c r="X1101" s="43" t="s">
        <v>318</v>
      </c>
      <c r="Y1101" s="43" t="s">
        <v>336</v>
      </c>
      <c r="Z1101" s="43" t="s">
        <v>320</v>
      </c>
      <c r="AA1101" s="43" t="s">
        <v>30</v>
      </c>
      <c r="AB1101" s="144">
        <v>0</v>
      </c>
      <c r="AF1101" s="43" t="s">
        <v>75</v>
      </c>
      <c r="AG1101" s="43" t="s">
        <v>322</v>
      </c>
      <c r="AJ1101" s="140">
        <v>0</v>
      </c>
      <c r="AK1101" s="140">
        <v>0</v>
      </c>
      <c r="AL1101" s="140">
        <v>0</v>
      </c>
      <c r="AM1101" s="140">
        <v>0</v>
      </c>
      <c r="AN1101" s="140">
        <v>0</v>
      </c>
      <c r="AO1101" s="140">
        <v>0</v>
      </c>
      <c r="AP1101" s="140">
        <v>0</v>
      </c>
      <c r="AQ1101" s="140">
        <v>0</v>
      </c>
      <c r="AR1101" s="140">
        <v>0</v>
      </c>
      <c r="AS1101" s="140">
        <v>0</v>
      </c>
      <c r="AT1101" s="140">
        <v>1</v>
      </c>
      <c r="AU1101" s="140">
        <v>0</v>
      </c>
      <c r="AV1101" s="140">
        <v>0</v>
      </c>
      <c r="AW1101" s="140">
        <v>0</v>
      </c>
      <c r="AX1101" s="140">
        <v>0</v>
      </c>
      <c r="AY1101" s="140">
        <v>0</v>
      </c>
      <c r="AZ1101" s="140">
        <v>0</v>
      </c>
      <c r="BA1101" s="140">
        <v>1</v>
      </c>
      <c r="BB1101" s="140">
        <v>0</v>
      </c>
      <c r="BC1101" s="140">
        <v>0</v>
      </c>
      <c r="BD1101" s="140">
        <v>0</v>
      </c>
      <c r="BE1101" s="140">
        <v>0</v>
      </c>
      <c r="BF1101" s="140">
        <v>0</v>
      </c>
      <c r="BG1101" s="140">
        <v>0</v>
      </c>
      <c r="BH1101" s="140">
        <v>0</v>
      </c>
      <c r="BI1101" s="140">
        <v>0</v>
      </c>
      <c r="BJ1101" s="140">
        <v>0</v>
      </c>
      <c r="BK1101" s="140">
        <v>0</v>
      </c>
      <c r="BL1101" s="140">
        <v>0</v>
      </c>
      <c r="BM1101" s="140">
        <v>0</v>
      </c>
      <c r="BN1101" s="140">
        <v>0</v>
      </c>
      <c r="BO1101" s="140">
        <v>0</v>
      </c>
      <c r="BP1101" s="43" t="s">
        <v>141</v>
      </c>
      <c r="BU1101" s="89"/>
      <c r="BX1101" s="43">
        <v>19</v>
      </c>
      <c r="CD1101" s="90">
        <f t="shared" si="147"/>
        <v>0.33333333333333331</v>
      </c>
      <c r="CE1101" s="90">
        <f t="shared" si="147"/>
        <v>0.33333333333333331</v>
      </c>
      <c r="CF1101" s="90">
        <f t="shared" si="147"/>
        <v>0.33333333333333331</v>
      </c>
      <c r="CT1101" s="90">
        <f t="shared" si="148"/>
        <v>0.33333333333333331</v>
      </c>
      <c r="CU1101" s="90">
        <f t="shared" si="149"/>
        <v>1</v>
      </c>
    </row>
    <row r="1102" spans="1:99" ht="12" customHeight="1">
      <c r="A1102" s="43">
        <v>7365</v>
      </c>
      <c r="B1102" s="89" t="s">
        <v>2753</v>
      </c>
      <c r="C1102" s="89" t="s">
        <v>2917</v>
      </c>
      <c r="D1102" s="89" t="s">
        <v>2918</v>
      </c>
      <c r="F1102" s="43">
        <v>524420</v>
      </c>
      <c r="G1102" s="43">
        <v>175013</v>
      </c>
      <c r="H1102" s="89" t="s">
        <v>178</v>
      </c>
      <c r="K1102" s="140">
        <v>0</v>
      </c>
      <c r="L1102" s="140">
        <v>5</v>
      </c>
      <c r="M1102" s="140">
        <v>5</v>
      </c>
      <c r="N1102" s="140">
        <v>5</v>
      </c>
      <c r="O1102" s="140">
        <v>5</v>
      </c>
      <c r="Q1102" s="89" t="s">
        <v>2919</v>
      </c>
      <c r="R1102" s="43" t="s">
        <v>2725</v>
      </c>
      <c r="S1102" s="125">
        <v>43910</v>
      </c>
      <c r="V1102" s="43" t="s">
        <v>317</v>
      </c>
      <c r="X1102" s="43" t="s">
        <v>318</v>
      </c>
      <c r="Y1102" s="43" t="s">
        <v>361</v>
      </c>
      <c r="Z1102" s="43" t="s">
        <v>320</v>
      </c>
      <c r="AA1102" s="43" t="s">
        <v>353</v>
      </c>
      <c r="AB1102" s="144">
        <v>2.0999999716877899E-2</v>
      </c>
      <c r="AF1102" s="43" t="s">
        <v>75</v>
      </c>
      <c r="AG1102" s="43" t="s">
        <v>322</v>
      </c>
      <c r="AJ1102" s="140">
        <v>0</v>
      </c>
      <c r="AK1102" s="140">
        <v>0</v>
      </c>
      <c r="AL1102" s="140">
        <v>0</v>
      </c>
      <c r="AM1102" s="140">
        <v>0</v>
      </c>
      <c r="AN1102" s="140">
        <v>0</v>
      </c>
      <c r="AO1102" s="140">
        <v>2</v>
      </c>
      <c r="AP1102" s="140">
        <v>3</v>
      </c>
      <c r="AQ1102" s="140">
        <v>0</v>
      </c>
      <c r="AR1102" s="140">
        <v>0</v>
      </c>
      <c r="AS1102" s="140">
        <v>0</v>
      </c>
      <c r="AT1102" s="140">
        <v>0</v>
      </c>
      <c r="AU1102" s="140">
        <v>0</v>
      </c>
      <c r="AV1102" s="140">
        <v>2</v>
      </c>
      <c r="AW1102" s="140">
        <v>3</v>
      </c>
      <c r="AX1102" s="140">
        <v>0</v>
      </c>
      <c r="AY1102" s="140">
        <v>0</v>
      </c>
      <c r="AZ1102" s="140">
        <v>0</v>
      </c>
      <c r="BA1102" s="140">
        <v>0</v>
      </c>
      <c r="BB1102" s="140">
        <v>0</v>
      </c>
      <c r="BC1102" s="140">
        <v>0</v>
      </c>
      <c r="BD1102" s="140">
        <v>0</v>
      </c>
      <c r="BE1102" s="140">
        <v>0</v>
      </c>
      <c r="BF1102" s="140">
        <v>0</v>
      </c>
      <c r="BG1102" s="140">
        <v>0</v>
      </c>
      <c r="BH1102" s="140">
        <v>0</v>
      </c>
      <c r="BI1102" s="140">
        <v>0</v>
      </c>
      <c r="BJ1102" s="140">
        <v>0</v>
      </c>
      <c r="BK1102" s="140">
        <v>0</v>
      </c>
      <c r="BL1102" s="140">
        <v>0</v>
      </c>
      <c r="BM1102" s="140">
        <v>0</v>
      </c>
      <c r="BN1102" s="140">
        <v>0</v>
      </c>
      <c r="BO1102" s="140">
        <v>0</v>
      </c>
      <c r="BU1102" s="89"/>
      <c r="BX1102" s="43">
        <v>10</v>
      </c>
      <c r="CD1102" s="90">
        <f t="shared" si="147"/>
        <v>1.6666666666666667</v>
      </c>
      <c r="CE1102" s="90">
        <f t="shared" si="147"/>
        <v>1.6666666666666667</v>
      </c>
      <c r="CF1102" s="90">
        <f t="shared" si="147"/>
        <v>1.6666666666666667</v>
      </c>
      <c r="CT1102" s="90">
        <f t="shared" si="148"/>
        <v>1.6666666666666667</v>
      </c>
      <c r="CU1102" s="90">
        <f t="shared" si="149"/>
        <v>5</v>
      </c>
    </row>
    <row r="1103" spans="1:99" ht="12" customHeight="1">
      <c r="A1103" s="43">
        <v>7366</v>
      </c>
      <c r="B1103" s="89" t="s">
        <v>2753</v>
      </c>
      <c r="C1103" s="89" t="s">
        <v>2920</v>
      </c>
      <c r="D1103" s="89" t="s">
        <v>2921</v>
      </c>
      <c r="F1103" s="43">
        <v>526938</v>
      </c>
      <c r="G1103" s="43">
        <v>171608</v>
      </c>
      <c r="H1103" s="89" t="s">
        <v>141</v>
      </c>
      <c r="K1103" s="140">
        <v>0</v>
      </c>
      <c r="L1103" s="140">
        <v>1</v>
      </c>
      <c r="M1103" s="140">
        <v>1</v>
      </c>
      <c r="N1103" s="140">
        <v>1</v>
      </c>
      <c r="O1103" s="140">
        <v>1</v>
      </c>
      <c r="Q1103" s="89" t="s">
        <v>2922</v>
      </c>
      <c r="R1103" s="43" t="s">
        <v>2725</v>
      </c>
      <c r="S1103" s="125">
        <v>43901</v>
      </c>
      <c r="V1103" s="43" t="s">
        <v>317</v>
      </c>
      <c r="X1103" s="43" t="s">
        <v>318</v>
      </c>
      <c r="Y1103" s="43" t="s">
        <v>379</v>
      </c>
      <c r="Z1103" s="43" t="s">
        <v>320</v>
      </c>
      <c r="AA1103" s="43" t="s">
        <v>340</v>
      </c>
      <c r="AB1103" s="144">
        <v>7.0000002160668399E-3</v>
      </c>
      <c r="AF1103" s="43" t="s">
        <v>75</v>
      </c>
      <c r="AG1103" s="43" t="s">
        <v>322</v>
      </c>
      <c r="AJ1103" s="140">
        <v>0</v>
      </c>
      <c r="AK1103" s="140">
        <v>0</v>
      </c>
      <c r="AL1103" s="140">
        <v>0</v>
      </c>
      <c r="AM1103" s="140">
        <v>0</v>
      </c>
      <c r="AN1103" s="140">
        <v>0</v>
      </c>
      <c r="AO1103" s="140">
        <v>1</v>
      </c>
      <c r="AP1103" s="140">
        <v>0</v>
      </c>
      <c r="AQ1103" s="140">
        <v>0</v>
      </c>
      <c r="AR1103" s="140">
        <v>0</v>
      </c>
      <c r="AS1103" s="140">
        <v>0</v>
      </c>
      <c r="AT1103" s="140">
        <v>0</v>
      </c>
      <c r="AU1103" s="140">
        <v>0</v>
      </c>
      <c r="AV1103" s="140">
        <v>1</v>
      </c>
      <c r="AW1103" s="140">
        <v>0</v>
      </c>
      <c r="AX1103" s="140">
        <v>0</v>
      </c>
      <c r="AY1103" s="140">
        <v>0</v>
      </c>
      <c r="AZ1103" s="140">
        <v>0</v>
      </c>
      <c r="BA1103" s="140">
        <v>0</v>
      </c>
      <c r="BB1103" s="140">
        <v>0</v>
      </c>
      <c r="BC1103" s="140">
        <v>0</v>
      </c>
      <c r="BD1103" s="140">
        <v>0</v>
      </c>
      <c r="BE1103" s="140">
        <v>0</v>
      </c>
      <c r="BF1103" s="140">
        <v>0</v>
      </c>
      <c r="BG1103" s="140">
        <v>0</v>
      </c>
      <c r="BH1103" s="140">
        <v>0</v>
      </c>
      <c r="BI1103" s="140">
        <v>0</v>
      </c>
      <c r="BJ1103" s="140">
        <v>0</v>
      </c>
      <c r="BK1103" s="140">
        <v>0</v>
      </c>
      <c r="BL1103" s="140">
        <v>0</v>
      </c>
      <c r="BM1103" s="140">
        <v>0</v>
      </c>
      <c r="BN1103" s="140">
        <v>0</v>
      </c>
      <c r="BO1103" s="140">
        <v>0</v>
      </c>
      <c r="BU1103" s="89"/>
      <c r="BX1103" s="43">
        <v>19</v>
      </c>
      <c r="CD1103" s="90">
        <f t="shared" si="147"/>
        <v>0.33333333333333331</v>
      </c>
      <c r="CE1103" s="90">
        <f t="shared" si="147"/>
        <v>0.33333333333333331</v>
      </c>
      <c r="CF1103" s="90">
        <f t="shared" si="147"/>
        <v>0.33333333333333331</v>
      </c>
      <c r="CT1103" s="90">
        <f t="shared" si="148"/>
        <v>0.33333333333333331</v>
      </c>
      <c r="CU1103" s="90">
        <f t="shared" si="149"/>
        <v>1</v>
      </c>
    </row>
    <row r="1104" spans="1:99" ht="12" customHeight="1">
      <c r="A1104" s="43">
        <v>3523</v>
      </c>
      <c r="B1104" s="89" t="s">
        <v>2923</v>
      </c>
      <c r="C1104" s="89" t="s">
        <v>2924</v>
      </c>
      <c r="D1104" s="89" t="s">
        <v>2925</v>
      </c>
      <c r="F1104" s="43">
        <v>526043</v>
      </c>
      <c r="G1104" s="43">
        <v>175254</v>
      </c>
      <c r="H1104" s="89" t="s">
        <v>170</v>
      </c>
      <c r="K1104" s="140">
        <v>0</v>
      </c>
      <c r="L1104" s="140">
        <v>3</v>
      </c>
      <c r="M1104" s="140">
        <v>3</v>
      </c>
      <c r="N1104" s="140">
        <v>3</v>
      </c>
      <c r="O1104" s="140">
        <v>3</v>
      </c>
      <c r="Q1104" s="89" t="s">
        <v>2926</v>
      </c>
      <c r="R1104" s="43" t="s">
        <v>2927</v>
      </c>
      <c r="V1104" s="43" t="s">
        <v>317</v>
      </c>
      <c r="X1104" s="43" t="s">
        <v>318</v>
      </c>
      <c r="Y1104" s="43" t="s">
        <v>361</v>
      </c>
      <c r="Z1104" s="43" t="s">
        <v>320</v>
      </c>
      <c r="AA1104" s="43" t="s">
        <v>353</v>
      </c>
      <c r="AB1104" s="144">
        <v>0</v>
      </c>
      <c r="AF1104" s="43" t="s">
        <v>75</v>
      </c>
      <c r="AG1104" s="43" t="s">
        <v>322</v>
      </c>
      <c r="AH1104" s="43" t="s">
        <v>2928</v>
      </c>
      <c r="AI1104" s="43">
        <v>17320120</v>
      </c>
      <c r="AJ1104" s="140">
        <v>0</v>
      </c>
      <c r="AK1104" s="140">
        <v>0</v>
      </c>
      <c r="AL1104" s="140">
        <v>0</v>
      </c>
      <c r="AM1104" s="140">
        <v>0</v>
      </c>
      <c r="AN1104" s="140">
        <v>0</v>
      </c>
      <c r="AO1104" s="140">
        <v>0</v>
      </c>
      <c r="AP1104" s="140">
        <v>0</v>
      </c>
      <c r="AQ1104" s="140">
        <v>0</v>
      </c>
      <c r="AR1104" s="140">
        <v>0</v>
      </c>
      <c r="AS1104" s="140">
        <v>0</v>
      </c>
      <c r="AT1104" s="140">
        <v>3</v>
      </c>
      <c r="AU1104" s="140">
        <v>0</v>
      </c>
      <c r="AV1104" s="140">
        <v>0</v>
      </c>
      <c r="AW1104" s="140">
        <v>0</v>
      </c>
      <c r="AX1104" s="140">
        <v>0</v>
      </c>
      <c r="AY1104" s="140">
        <v>0</v>
      </c>
      <c r="AZ1104" s="140">
        <v>0</v>
      </c>
      <c r="BA1104" s="140">
        <v>3</v>
      </c>
      <c r="BB1104" s="140">
        <v>0</v>
      </c>
      <c r="BC1104" s="140">
        <v>0</v>
      </c>
      <c r="BD1104" s="140">
        <v>0</v>
      </c>
      <c r="BE1104" s="140">
        <v>0</v>
      </c>
      <c r="BF1104" s="140">
        <v>0</v>
      </c>
      <c r="BG1104" s="140">
        <v>0</v>
      </c>
      <c r="BH1104" s="140">
        <v>0</v>
      </c>
      <c r="BI1104" s="140">
        <v>0</v>
      </c>
      <c r="BJ1104" s="140">
        <v>0</v>
      </c>
      <c r="BK1104" s="140">
        <v>0</v>
      </c>
      <c r="BL1104" s="140">
        <v>0</v>
      </c>
      <c r="BM1104" s="140">
        <v>0</v>
      </c>
      <c r="BN1104" s="140">
        <v>0</v>
      </c>
      <c r="BO1104" s="140">
        <v>0</v>
      </c>
      <c r="BR1104" s="43" t="s">
        <v>329</v>
      </c>
      <c r="BX1104" s="43">
        <v>20</v>
      </c>
      <c r="CI1104" s="90">
        <f t="shared" ref="CI1104:CS1104" si="150">$M1104/12</f>
        <v>0.25</v>
      </c>
      <c r="CJ1104" s="90">
        <f t="shared" si="150"/>
        <v>0.25</v>
      </c>
      <c r="CK1104" s="90">
        <f t="shared" si="150"/>
        <v>0.25</v>
      </c>
      <c r="CL1104" s="90">
        <f t="shared" si="150"/>
        <v>0.25</v>
      </c>
      <c r="CM1104" s="90">
        <f t="shared" si="150"/>
        <v>0.25</v>
      </c>
      <c r="CN1104" s="90">
        <f t="shared" si="150"/>
        <v>0.25</v>
      </c>
      <c r="CO1104" s="90">
        <f t="shared" si="150"/>
        <v>0.25</v>
      </c>
      <c r="CP1104" s="90">
        <f t="shared" si="150"/>
        <v>0.25</v>
      </c>
      <c r="CQ1104" s="90">
        <f t="shared" si="150"/>
        <v>0.25</v>
      </c>
      <c r="CR1104" s="90">
        <f t="shared" si="150"/>
        <v>0.25</v>
      </c>
      <c r="CS1104" s="90">
        <f t="shared" si="150"/>
        <v>0.25</v>
      </c>
      <c r="CT1104" s="90">
        <f t="shared" si="148"/>
        <v>0</v>
      </c>
      <c r="CU1104" s="90">
        <f t="shared" si="149"/>
        <v>0.25</v>
      </c>
    </row>
    <row r="1105" spans="1:99" ht="12" customHeight="1">
      <c r="A1105" s="43">
        <v>3955</v>
      </c>
      <c r="B1105" s="89" t="s">
        <v>2923</v>
      </c>
      <c r="C1105" s="89" t="s">
        <v>2929</v>
      </c>
      <c r="D1105" s="89" t="s">
        <v>2930</v>
      </c>
      <c r="F1105" s="43">
        <v>526045</v>
      </c>
      <c r="G1105" s="43">
        <v>175348</v>
      </c>
      <c r="H1105" s="89" t="s">
        <v>170</v>
      </c>
      <c r="K1105" s="140">
        <v>0</v>
      </c>
      <c r="L1105" s="140">
        <v>42</v>
      </c>
      <c r="M1105" s="140">
        <v>42</v>
      </c>
      <c r="N1105" s="140">
        <v>62</v>
      </c>
      <c r="O1105" s="140">
        <v>62</v>
      </c>
      <c r="P1105" s="43" t="s">
        <v>329</v>
      </c>
      <c r="Q1105" s="89" t="s">
        <v>2926</v>
      </c>
      <c r="R1105" s="43" t="s">
        <v>2927</v>
      </c>
      <c r="V1105" s="43" t="s">
        <v>317</v>
      </c>
      <c r="X1105" s="43" t="s">
        <v>318</v>
      </c>
      <c r="Y1105" s="43" t="s">
        <v>361</v>
      </c>
      <c r="Z1105" s="43" t="s">
        <v>361</v>
      </c>
      <c r="AA1105" s="43" t="s">
        <v>320</v>
      </c>
      <c r="AB1105" s="144">
        <v>0</v>
      </c>
      <c r="AF1105" s="43" t="s">
        <v>75</v>
      </c>
      <c r="AG1105" s="43" t="s">
        <v>322</v>
      </c>
      <c r="AH1105" s="43" t="s">
        <v>2931</v>
      </c>
      <c r="AJ1105" s="140">
        <v>0</v>
      </c>
      <c r="AK1105" s="140">
        <v>0</v>
      </c>
      <c r="AL1105" s="140">
        <v>0</v>
      </c>
      <c r="AM1105" s="140">
        <v>0</v>
      </c>
      <c r="AN1105" s="140">
        <v>0</v>
      </c>
      <c r="AO1105" s="140">
        <v>0</v>
      </c>
      <c r="AP1105" s="140">
        <v>0</v>
      </c>
      <c r="AQ1105" s="140">
        <v>0</v>
      </c>
      <c r="AR1105" s="140">
        <v>0</v>
      </c>
      <c r="AS1105" s="140">
        <v>0</v>
      </c>
      <c r="AT1105" s="140">
        <v>42</v>
      </c>
      <c r="AU1105" s="140">
        <v>0</v>
      </c>
      <c r="AV1105" s="140">
        <v>0</v>
      </c>
      <c r="AW1105" s="140">
        <v>0</v>
      </c>
      <c r="AX1105" s="140">
        <v>0</v>
      </c>
      <c r="AY1105" s="140">
        <v>0</v>
      </c>
      <c r="AZ1105" s="140">
        <v>0</v>
      </c>
      <c r="BA1105" s="140">
        <v>42</v>
      </c>
      <c r="BB1105" s="140">
        <v>0</v>
      </c>
      <c r="BC1105" s="140">
        <v>0</v>
      </c>
      <c r="BD1105" s="140">
        <v>0</v>
      </c>
      <c r="BE1105" s="140">
        <v>0</v>
      </c>
      <c r="BF1105" s="140">
        <v>0</v>
      </c>
      <c r="BG1105" s="140">
        <v>0</v>
      </c>
      <c r="BH1105" s="140">
        <v>0</v>
      </c>
      <c r="BI1105" s="140">
        <v>0</v>
      </c>
      <c r="BJ1105" s="140">
        <v>0</v>
      </c>
      <c r="BK1105" s="140">
        <v>0</v>
      </c>
      <c r="BL1105" s="140">
        <v>0</v>
      </c>
      <c r="BM1105" s="140">
        <v>0</v>
      </c>
      <c r="BN1105" s="140">
        <v>0</v>
      </c>
      <c r="BO1105" s="140">
        <v>0</v>
      </c>
      <c r="BR1105" s="43" t="s">
        <v>329</v>
      </c>
      <c r="BX1105" s="43">
        <v>20</v>
      </c>
      <c r="CE1105" s="90">
        <f t="shared" ref="CE1105:CS1107" si="151">$M1105/16</f>
        <v>2.625</v>
      </c>
      <c r="CF1105" s="90">
        <f t="shared" si="151"/>
        <v>2.625</v>
      </c>
      <c r="CG1105" s="90">
        <f t="shared" si="151"/>
        <v>2.625</v>
      </c>
      <c r="CH1105" s="90">
        <f t="shared" si="151"/>
        <v>2.625</v>
      </c>
      <c r="CI1105" s="90">
        <f t="shared" si="151"/>
        <v>2.625</v>
      </c>
      <c r="CJ1105" s="90">
        <f t="shared" si="151"/>
        <v>2.625</v>
      </c>
      <c r="CK1105" s="90">
        <f t="shared" si="151"/>
        <v>2.625</v>
      </c>
      <c r="CL1105" s="90">
        <f t="shared" si="151"/>
        <v>2.625</v>
      </c>
      <c r="CM1105" s="90">
        <f t="shared" si="151"/>
        <v>2.625</v>
      </c>
      <c r="CN1105" s="90">
        <f t="shared" si="151"/>
        <v>2.625</v>
      </c>
      <c r="CO1105" s="90">
        <f t="shared" si="151"/>
        <v>2.625</v>
      </c>
      <c r="CP1105" s="90">
        <f t="shared" si="151"/>
        <v>2.625</v>
      </c>
      <c r="CQ1105" s="90">
        <f t="shared" si="151"/>
        <v>2.625</v>
      </c>
      <c r="CR1105" s="90">
        <f t="shared" si="151"/>
        <v>2.625</v>
      </c>
      <c r="CS1105" s="90">
        <f t="shared" si="151"/>
        <v>2.625</v>
      </c>
      <c r="CT1105" s="90">
        <f t="shared" si="148"/>
        <v>0</v>
      </c>
      <c r="CU1105" s="90">
        <f t="shared" si="149"/>
        <v>13.125</v>
      </c>
    </row>
    <row r="1106" spans="1:99" ht="12" customHeight="1">
      <c r="A1106" s="43">
        <v>3955</v>
      </c>
      <c r="B1106" s="89" t="s">
        <v>2923</v>
      </c>
      <c r="C1106" s="89" t="s">
        <v>2929</v>
      </c>
      <c r="D1106" s="89" t="s">
        <v>2930</v>
      </c>
      <c r="F1106" s="43">
        <v>526045</v>
      </c>
      <c r="G1106" s="43">
        <v>175348</v>
      </c>
      <c r="H1106" s="89" t="s">
        <v>170</v>
      </c>
      <c r="K1106" s="140">
        <v>0</v>
      </c>
      <c r="L1106" s="140">
        <v>12</v>
      </c>
      <c r="M1106" s="140">
        <v>12</v>
      </c>
      <c r="N1106" s="140">
        <v>62</v>
      </c>
      <c r="O1106" s="140">
        <v>62</v>
      </c>
      <c r="P1106" s="43" t="s">
        <v>329</v>
      </c>
      <c r="Q1106" s="89" t="s">
        <v>2926</v>
      </c>
      <c r="R1106" s="43" t="s">
        <v>2927</v>
      </c>
      <c r="V1106" s="43" t="s">
        <v>317</v>
      </c>
      <c r="X1106" s="43" t="s">
        <v>318</v>
      </c>
      <c r="Y1106" s="43" t="s">
        <v>361</v>
      </c>
      <c r="Z1106" s="43" t="s">
        <v>361</v>
      </c>
      <c r="AA1106" s="43" t="s">
        <v>320</v>
      </c>
      <c r="AB1106" s="144">
        <v>0</v>
      </c>
      <c r="AF1106" s="43" t="s">
        <v>55</v>
      </c>
      <c r="AG1106" s="43" t="s">
        <v>457</v>
      </c>
      <c r="AH1106" s="43" t="s">
        <v>2931</v>
      </c>
      <c r="AJ1106" s="140">
        <v>0</v>
      </c>
      <c r="AK1106" s="140">
        <v>0</v>
      </c>
      <c r="AL1106" s="140">
        <v>0</v>
      </c>
      <c r="AM1106" s="140">
        <v>0</v>
      </c>
      <c r="AN1106" s="140">
        <v>0</v>
      </c>
      <c r="AO1106" s="140">
        <v>0</v>
      </c>
      <c r="AP1106" s="140">
        <v>0</v>
      </c>
      <c r="AQ1106" s="140">
        <v>0</v>
      </c>
      <c r="AR1106" s="140">
        <v>0</v>
      </c>
      <c r="AS1106" s="140">
        <v>0</v>
      </c>
      <c r="AT1106" s="140">
        <v>12</v>
      </c>
      <c r="AU1106" s="140">
        <v>0</v>
      </c>
      <c r="AV1106" s="140">
        <v>0</v>
      </c>
      <c r="AW1106" s="140">
        <v>0</v>
      </c>
      <c r="AX1106" s="140">
        <v>0</v>
      </c>
      <c r="AY1106" s="140">
        <v>0</v>
      </c>
      <c r="AZ1106" s="140">
        <v>0</v>
      </c>
      <c r="BA1106" s="140">
        <v>12</v>
      </c>
      <c r="BB1106" s="140">
        <v>0</v>
      </c>
      <c r="BC1106" s="140">
        <v>0</v>
      </c>
      <c r="BD1106" s="140">
        <v>0</v>
      </c>
      <c r="BE1106" s="140">
        <v>0</v>
      </c>
      <c r="BF1106" s="140">
        <v>0</v>
      </c>
      <c r="BG1106" s="140">
        <v>0</v>
      </c>
      <c r="BH1106" s="140">
        <v>0</v>
      </c>
      <c r="BI1106" s="140">
        <v>0</v>
      </c>
      <c r="BJ1106" s="140">
        <v>0</v>
      </c>
      <c r="BK1106" s="140">
        <v>0</v>
      </c>
      <c r="BL1106" s="140">
        <v>0</v>
      </c>
      <c r="BM1106" s="140">
        <v>0</v>
      </c>
      <c r="BN1106" s="140">
        <v>0</v>
      </c>
      <c r="BO1106" s="140">
        <v>0</v>
      </c>
      <c r="BR1106" s="43" t="s">
        <v>329</v>
      </c>
      <c r="BX1106" s="43">
        <v>20</v>
      </c>
      <c r="CE1106" s="90">
        <f t="shared" si="151"/>
        <v>0.75</v>
      </c>
      <c r="CF1106" s="90">
        <f t="shared" si="151"/>
        <v>0.75</v>
      </c>
      <c r="CG1106" s="90">
        <f t="shared" si="151"/>
        <v>0.75</v>
      </c>
      <c r="CH1106" s="90">
        <f t="shared" si="151"/>
        <v>0.75</v>
      </c>
      <c r="CI1106" s="90">
        <f t="shared" si="151"/>
        <v>0.75</v>
      </c>
      <c r="CJ1106" s="90">
        <f t="shared" si="151"/>
        <v>0.75</v>
      </c>
      <c r="CK1106" s="90">
        <f t="shared" si="151"/>
        <v>0.75</v>
      </c>
      <c r="CL1106" s="90">
        <f t="shared" si="151"/>
        <v>0.75</v>
      </c>
      <c r="CM1106" s="90">
        <f t="shared" si="151"/>
        <v>0.75</v>
      </c>
      <c r="CN1106" s="90">
        <f t="shared" si="151"/>
        <v>0.75</v>
      </c>
      <c r="CO1106" s="90">
        <f t="shared" si="151"/>
        <v>0.75</v>
      </c>
      <c r="CP1106" s="90">
        <f t="shared" si="151"/>
        <v>0.75</v>
      </c>
      <c r="CQ1106" s="90">
        <f t="shared" si="151"/>
        <v>0.75</v>
      </c>
      <c r="CR1106" s="90">
        <f t="shared" si="151"/>
        <v>0.75</v>
      </c>
      <c r="CS1106" s="90">
        <f t="shared" si="151"/>
        <v>0.75</v>
      </c>
      <c r="CT1106" s="90">
        <f t="shared" si="148"/>
        <v>0</v>
      </c>
      <c r="CU1106" s="90">
        <f t="shared" si="149"/>
        <v>3.75</v>
      </c>
    </row>
    <row r="1107" spans="1:99" ht="12" customHeight="1">
      <c r="A1107" s="43">
        <v>3955</v>
      </c>
      <c r="B1107" s="89" t="s">
        <v>2923</v>
      </c>
      <c r="C1107" s="89" t="s">
        <v>2929</v>
      </c>
      <c r="D1107" s="89" t="s">
        <v>2930</v>
      </c>
      <c r="F1107" s="43">
        <v>526045</v>
      </c>
      <c r="G1107" s="43">
        <v>175348</v>
      </c>
      <c r="H1107" s="89" t="s">
        <v>170</v>
      </c>
      <c r="K1107" s="140">
        <v>0</v>
      </c>
      <c r="L1107" s="140">
        <v>8</v>
      </c>
      <c r="M1107" s="140">
        <v>8</v>
      </c>
      <c r="N1107" s="140">
        <v>62</v>
      </c>
      <c r="O1107" s="140">
        <v>62</v>
      </c>
      <c r="P1107" s="43" t="s">
        <v>329</v>
      </c>
      <c r="Q1107" s="89" t="s">
        <v>2926</v>
      </c>
      <c r="R1107" s="43" t="s">
        <v>2927</v>
      </c>
      <c r="V1107" s="43" t="s">
        <v>317</v>
      </c>
      <c r="X1107" s="43" t="s">
        <v>318</v>
      </c>
      <c r="Y1107" s="43" t="s">
        <v>361</v>
      </c>
      <c r="Z1107" s="43" t="s">
        <v>361</v>
      </c>
      <c r="AA1107" s="43" t="s">
        <v>320</v>
      </c>
      <c r="AB1107" s="144">
        <v>0</v>
      </c>
      <c r="AF1107" s="43" t="s">
        <v>54</v>
      </c>
      <c r="AG1107" s="43" t="s">
        <v>1659</v>
      </c>
      <c r="AH1107" s="43" t="s">
        <v>2931</v>
      </c>
      <c r="AJ1107" s="140">
        <v>0</v>
      </c>
      <c r="AK1107" s="140">
        <v>0</v>
      </c>
      <c r="AL1107" s="140">
        <v>0</v>
      </c>
      <c r="AM1107" s="140">
        <v>0</v>
      </c>
      <c r="AN1107" s="140">
        <v>0</v>
      </c>
      <c r="AO1107" s="140">
        <v>0</v>
      </c>
      <c r="AP1107" s="140">
        <v>0</v>
      </c>
      <c r="AQ1107" s="140">
        <v>0</v>
      </c>
      <c r="AR1107" s="140">
        <v>0</v>
      </c>
      <c r="AS1107" s="140">
        <v>0</v>
      </c>
      <c r="AT1107" s="140">
        <v>8</v>
      </c>
      <c r="AU1107" s="140">
        <v>0</v>
      </c>
      <c r="AV1107" s="140">
        <v>0</v>
      </c>
      <c r="AW1107" s="140">
        <v>0</v>
      </c>
      <c r="AX1107" s="140">
        <v>0</v>
      </c>
      <c r="AY1107" s="140">
        <v>0</v>
      </c>
      <c r="AZ1107" s="140">
        <v>0</v>
      </c>
      <c r="BA1107" s="140">
        <v>8</v>
      </c>
      <c r="BB1107" s="140">
        <v>0</v>
      </c>
      <c r="BC1107" s="140">
        <v>0</v>
      </c>
      <c r="BD1107" s="140">
        <v>0</v>
      </c>
      <c r="BE1107" s="140">
        <v>0</v>
      </c>
      <c r="BF1107" s="140">
        <v>0</v>
      </c>
      <c r="BG1107" s="140">
        <v>0</v>
      </c>
      <c r="BH1107" s="140">
        <v>0</v>
      </c>
      <c r="BI1107" s="140">
        <v>0</v>
      </c>
      <c r="BJ1107" s="140">
        <v>0</v>
      </c>
      <c r="BK1107" s="140">
        <v>0</v>
      </c>
      <c r="BL1107" s="140">
        <v>0</v>
      </c>
      <c r="BM1107" s="140">
        <v>0</v>
      </c>
      <c r="BN1107" s="140">
        <v>0</v>
      </c>
      <c r="BO1107" s="140">
        <v>0</v>
      </c>
      <c r="BR1107" s="43" t="s">
        <v>329</v>
      </c>
      <c r="BX1107" s="43">
        <v>20</v>
      </c>
      <c r="CE1107" s="90">
        <f t="shared" si="151"/>
        <v>0.5</v>
      </c>
      <c r="CF1107" s="90">
        <f t="shared" si="151"/>
        <v>0.5</v>
      </c>
      <c r="CG1107" s="90">
        <f t="shared" si="151"/>
        <v>0.5</v>
      </c>
      <c r="CH1107" s="90">
        <f t="shared" si="151"/>
        <v>0.5</v>
      </c>
      <c r="CI1107" s="90">
        <f t="shared" si="151"/>
        <v>0.5</v>
      </c>
      <c r="CJ1107" s="90">
        <f t="shared" si="151"/>
        <v>0.5</v>
      </c>
      <c r="CK1107" s="90">
        <f t="shared" si="151"/>
        <v>0.5</v>
      </c>
      <c r="CL1107" s="90">
        <f t="shared" si="151"/>
        <v>0.5</v>
      </c>
      <c r="CM1107" s="90">
        <f t="shared" si="151"/>
        <v>0.5</v>
      </c>
      <c r="CN1107" s="90">
        <f t="shared" si="151"/>
        <v>0.5</v>
      </c>
      <c r="CO1107" s="90">
        <f t="shared" si="151"/>
        <v>0.5</v>
      </c>
      <c r="CP1107" s="90">
        <f t="shared" si="151"/>
        <v>0.5</v>
      </c>
      <c r="CQ1107" s="90">
        <f t="shared" si="151"/>
        <v>0.5</v>
      </c>
      <c r="CR1107" s="90">
        <f t="shared" si="151"/>
        <v>0.5</v>
      </c>
      <c r="CS1107" s="90">
        <f t="shared" si="151"/>
        <v>0.5</v>
      </c>
      <c r="CT1107" s="90">
        <f t="shared" si="148"/>
        <v>0</v>
      </c>
      <c r="CU1107" s="90">
        <f t="shared" si="149"/>
        <v>2.5</v>
      </c>
    </row>
    <row r="1108" spans="1:99" ht="12" customHeight="1">
      <c r="A1108" s="43">
        <v>3956</v>
      </c>
      <c r="B1108" s="89" t="s">
        <v>2923</v>
      </c>
      <c r="C1108" s="89" t="s">
        <v>2932</v>
      </c>
      <c r="D1108" s="89" t="s">
        <v>2933</v>
      </c>
      <c r="F1108" s="43">
        <v>526150</v>
      </c>
      <c r="G1108" s="43">
        <v>175269</v>
      </c>
      <c r="H1108" s="89" t="s">
        <v>147</v>
      </c>
      <c r="K1108" s="140">
        <v>0</v>
      </c>
      <c r="L1108" s="140">
        <v>7</v>
      </c>
      <c r="M1108" s="140">
        <v>7</v>
      </c>
      <c r="N1108" s="140">
        <v>7</v>
      </c>
      <c r="O1108" s="140">
        <v>7</v>
      </c>
      <c r="Q1108" s="89" t="s">
        <v>2926</v>
      </c>
      <c r="R1108" s="43" t="s">
        <v>2927</v>
      </c>
      <c r="V1108" s="43" t="s">
        <v>317</v>
      </c>
      <c r="X1108" s="43" t="s">
        <v>318</v>
      </c>
      <c r="Y1108" s="43" t="s">
        <v>361</v>
      </c>
      <c r="Z1108" s="43" t="s">
        <v>361</v>
      </c>
      <c r="AA1108" s="43" t="s">
        <v>320</v>
      </c>
      <c r="AB1108" s="144">
        <v>0</v>
      </c>
      <c r="AF1108" s="43" t="s">
        <v>75</v>
      </c>
      <c r="AG1108" s="43" t="s">
        <v>322</v>
      </c>
      <c r="AH1108" s="43" t="s">
        <v>2934</v>
      </c>
      <c r="AI1108" s="43">
        <v>17320282</v>
      </c>
      <c r="AJ1108" s="140">
        <v>0</v>
      </c>
      <c r="AK1108" s="140">
        <v>0</v>
      </c>
      <c r="AL1108" s="140">
        <v>0</v>
      </c>
      <c r="AM1108" s="140">
        <v>0</v>
      </c>
      <c r="AN1108" s="140">
        <v>0</v>
      </c>
      <c r="AO1108" s="140">
        <v>0</v>
      </c>
      <c r="AP1108" s="140">
        <v>0</v>
      </c>
      <c r="AQ1108" s="140">
        <v>0</v>
      </c>
      <c r="AR1108" s="140">
        <v>0</v>
      </c>
      <c r="AS1108" s="140">
        <v>0</v>
      </c>
      <c r="AT1108" s="140">
        <v>7</v>
      </c>
      <c r="AU1108" s="140">
        <v>0</v>
      </c>
      <c r="AV1108" s="140">
        <v>0</v>
      </c>
      <c r="AW1108" s="140">
        <v>0</v>
      </c>
      <c r="AX1108" s="140">
        <v>0</v>
      </c>
      <c r="AY1108" s="140">
        <v>0</v>
      </c>
      <c r="AZ1108" s="140">
        <v>0</v>
      </c>
      <c r="BA1108" s="140">
        <v>7</v>
      </c>
      <c r="BB1108" s="140">
        <v>0</v>
      </c>
      <c r="BC1108" s="140">
        <v>0</v>
      </c>
      <c r="BD1108" s="140">
        <v>0</v>
      </c>
      <c r="BE1108" s="140">
        <v>0</v>
      </c>
      <c r="BF1108" s="140">
        <v>0</v>
      </c>
      <c r="BG1108" s="140">
        <v>0</v>
      </c>
      <c r="BH1108" s="140">
        <v>0</v>
      </c>
      <c r="BI1108" s="140">
        <v>0</v>
      </c>
      <c r="BJ1108" s="140">
        <v>0</v>
      </c>
      <c r="BK1108" s="140">
        <v>0</v>
      </c>
      <c r="BL1108" s="140">
        <v>0</v>
      </c>
      <c r="BM1108" s="140">
        <v>0</v>
      </c>
      <c r="BN1108" s="140">
        <v>0</v>
      </c>
      <c r="BO1108" s="140">
        <v>0</v>
      </c>
      <c r="BR1108" s="43" t="s">
        <v>329</v>
      </c>
      <c r="BX1108" s="43">
        <v>20</v>
      </c>
      <c r="CI1108" s="90">
        <f t="shared" ref="CI1108:CS1109" si="152">$M1108/12</f>
        <v>0.58333333333333337</v>
      </c>
      <c r="CJ1108" s="90">
        <f t="shared" si="152"/>
        <v>0.58333333333333337</v>
      </c>
      <c r="CK1108" s="90">
        <f t="shared" si="152"/>
        <v>0.58333333333333337</v>
      </c>
      <c r="CL1108" s="90">
        <f t="shared" si="152"/>
        <v>0.58333333333333337</v>
      </c>
      <c r="CM1108" s="90">
        <f t="shared" si="152"/>
        <v>0.58333333333333337</v>
      </c>
      <c r="CN1108" s="90">
        <f t="shared" si="152"/>
        <v>0.58333333333333337</v>
      </c>
      <c r="CO1108" s="90">
        <f t="shared" si="152"/>
        <v>0.58333333333333337</v>
      </c>
      <c r="CP1108" s="90">
        <f t="shared" si="152"/>
        <v>0.58333333333333337</v>
      </c>
      <c r="CQ1108" s="90">
        <f t="shared" si="152"/>
        <v>0.58333333333333337</v>
      </c>
      <c r="CR1108" s="90">
        <f t="shared" si="152"/>
        <v>0.58333333333333337</v>
      </c>
      <c r="CS1108" s="90">
        <f t="shared" si="152"/>
        <v>0.58333333333333337</v>
      </c>
      <c r="CT1108" s="90">
        <f t="shared" si="148"/>
        <v>0</v>
      </c>
      <c r="CU1108" s="90">
        <f t="shared" si="149"/>
        <v>0.58333333333333337</v>
      </c>
    </row>
    <row r="1109" spans="1:99" ht="12" customHeight="1">
      <c r="A1109" s="43">
        <v>3970</v>
      </c>
      <c r="B1109" s="89" t="s">
        <v>2923</v>
      </c>
      <c r="C1109" s="89" t="s">
        <v>2935</v>
      </c>
      <c r="D1109" s="89" t="s">
        <v>2936</v>
      </c>
      <c r="F1109" s="43">
        <v>524058</v>
      </c>
      <c r="G1109" s="43">
        <v>175199</v>
      </c>
      <c r="H1109" s="89" t="s">
        <v>178</v>
      </c>
      <c r="K1109" s="140">
        <v>0</v>
      </c>
      <c r="L1109" s="140">
        <v>3</v>
      </c>
      <c r="M1109" s="140">
        <v>3</v>
      </c>
      <c r="N1109" s="140">
        <v>3</v>
      </c>
      <c r="O1109" s="140">
        <v>3</v>
      </c>
      <c r="Q1109" s="89" t="s">
        <v>2926</v>
      </c>
      <c r="R1109" s="43" t="s">
        <v>2927</v>
      </c>
      <c r="V1109" s="43" t="s">
        <v>317</v>
      </c>
      <c r="X1109" s="43" t="s">
        <v>318</v>
      </c>
      <c r="Y1109" s="43" t="s">
        <v>361</v>
      </c>
      <c r="Z1109" s="43" t="s">
        <v>320</v>
      </c>
      <c r="AA1109" s="43" t="s">
        <v>353</v>
      </c>
      <c r="AB1109" s="144">
        <v>0</v>
      </c>
      <c r="AF1109" s="43" t="s">
        <v>75</v>
      </c>
      <c r="AG1109" s="43" t="s">
        <v>322</v>
      </c>
      <c r="AH1109" s="43" t="s">
        <v>2937</v>
      </c>
      <c r="AJ1109" s="140">
        <v>0</v>
      </c>
      <c r="AK1109" s="140">
        <v>0</v>
      </c>
      <c r="AL1109" s="140">
        <v>0</v>
      </c>
      <c r="AM1109" s="140">
        <v>0</v>
      </c>
      <c r="AN1109" s="140">
        <v>0</v>
      </c>
      <c r="AO1109" s="140">
        <v>0</v>
      </c>
      <c r="AP1109" s="140">
        <v>0</v>
      </c>
      <c r="AQ1109" s="140">
        <v>0</v>
      </c>
      <c r="AR1109" s="140">
        <v>0</v>
      </c>
      <c r="AS1109" s="140">
        <v>0</v>
      </c>
      <c r="AT1109" s="140">
        <v>3</v>
      </c>
      <c r="AU1109" s="140">
        <v>0</v>
      </c>
      <c r="AV1109" s="140">
        <v>0</v>
      </c>
      <c r="AW1109" s="140">
        <v>0</v>
      </c>
      <c r="AX1109" s="140">
        <v>0</v>
      </c>
      <c r="AY1109" s="140">
        <v>0</v>
      </c>
      <c r="AZ1109" s="140">
        <v>0</v>
      </c>
      <c r="BA1109" s="140">
        <v>3</v>
      </c>
      <c r="BB1109" s="140">
        <v>0</v>
      </c>
      <c r="BC1109" s="140">
        <v>0</v>
      </c>
      <c r="BD1109" s="140">
        <v>0</v>
      </c>
      <c r="BE1109" s="140">
        <v>0</v>
      </c>
      <c r="BF1109" s="140">
        <v>0</v>
      </c>
      <c r="BG1109" s="140">
        <v>0</v>
      </c>
      <c r="BH1109" s="140">
        <v>0</v>
      </c>
      <c r="BI1109" s="140">
        <v>0</v>
      </c>
      <c r="BJ1109" s="140">
        <v>0</v>
      </c>
      <c r="BK1109" s="140">
        <v>0</v>
      </c>
      <c r="BL1109" s="140">
        <v>0</v>
      </c>
      <c r="BM1109" s="140">
        <v>0</v>
      </c>
      <c r="BN1109" s="140">
        <v>0</v>
      </c>
      <c r="BO1109" s="140">
        <v>0</v>
      </c>
      <c r="BP1109" s="43" t="s">
        <v>140</v>
      </c>
      <c r="BX1109" s="43">
        <v>20</v>
      </c>
      <c r="CI1109" s="90">
        <f t="shared" si="152"/>
        <v>0.25</v>
      </c>
      <c r="CJ1109" s="90">
        <f t="shared" si="152"/>
        <v>0.25</v>
      </c>
      <c r="CK1109" s="90">
        <f t="shared" si="152"/>
        <v>0.25</v>
      </c>
      <c r="CL1109" s="90">
        <f t="shared" si="152"/>
        <v>0.25</v>
      </c>
      <c r="CM1109" s="90">
        <f t="shared" si="152"/>
        <v>0.25</v>
      </c>
      <c r="CN1109" s="90">
        <f t="shared" si="152"/>
        <v>0.25</v>
      </c>
      <c r="CO1109" s="90">
        <f t="shared" si="152"/>
        <v>0.25</v>
      </c>
      <c r="CP1109" s="90">
        <f t="shared" si="152"/>
        <v>0.25</v>
      </c>
      <c r="CQ1109" s="90">
        <f t="shared" si="152"/>
        <v>0.25</v>
      </c>
      <c r="CR1109" s="90">
        <f t="shared" si="152"/>
        <v>0.25</v>
      </c>
      <c r="CS1109" s="90">
        <f t="shared" si="152"/>
        <v>0.25</v>
      </c>
      <c r="CT1109" s="90">
        <f t="shared" si="148"/>
        <v>0</v>
      </c>
      <c r="CU1109" s="90">
        <f t="shared" si="149"/>
        <v>0.25</v>
      </c>
    </row>
    <row r="1110" spans="1:99" ht="12" customHeight="1">
      <c r="A1110" s="43">
        <v>4221</v>
      </c>
      <c r="B1110" s="89" t="s">
        <v>2923</v>
      </c>
      <c r="C1110" s="89" t="s">
        <v>2938</v>
      </c>
      <c r="D1110" s="89" t="s">
        <v>2939</v>
      </c>
      <c r="F1110" s="43">
        <v>521988</v>
      </c>
      <c r="G1110" s="43">
        <v>172610</v>
      </c>
      <c r="H1110" s="89" t="s">
        <v>149</v>
      </c>
      <c r="K1110" s="140">
        <v>0</v>
      </c>
      <c r="L1110" s="140">
        <v>229</v>
      </c>
      <c r="M1110" s="140">
        <v>229</v>
      </c>
      <c r="N1110" s="140">
        <v>342</v>
      </c>
      <c r="O1110" s="140">
        <v>342</v>
      </c>
      <c r="P1110" s="43" t="s">
        <v>329</v>
      </c>
      <c r="Q1110" s="89" t="s">
        <v>2926</v>
      </c>
      <c r="R1110" s="43" t="s">
        <v>2927</v>
      </c>
      <c r="V1110" s="43" t="s">
        <v>317</v>
      </c>
      <c r="X1110" s="43" t="s">
        <v>318</v>
      </c>
      <c r="Y1110" s="43" t="s">
        <v>361</v>
      </c>
      <c r="Z1110" s="43" t="s">
        <v>361</v>
      </c>
      <c r="AA1110" s="43" t="s">
        <v>320</v>
      </c>
      <c r="AB1110" s="144">
        <v>0</v>
      </c>
      <c r="AF1110" s="43" t="s">
        <v>75</v>
      </c>
      <c r="AG1110" s="43" t="s">
        <v>322</v>
      </c>
      <c r="AH1110" s="43" t="s">
        <v>2940</v>
      </c>
      <c r="AI1110" s="43">
        <v>17320018</v>
      </c>
      <c r="AJ1110" s="140">
        <v>0</v>
      </c>
      <c r="AK1110" s="140">
        <v>0</v>
      </c>
      <c r="AL1110" s="140">
        <v>0</v>
      </c>
      <c r="AM1110" s="140">
        <v>0</v>
      </c>
      <c r="AN1110" s="140">
        <v>0</v>
      </c>
      <c r="AO1110" s="140">
        <v>0</v>
      </c>
      <c r="AP1110" s="140">
        <v>0</v>
      </c>
      <c r="AQ1110" s="140">
        <v>0</v>
      </c>
      <c r="AR1110" s="140">
        <v>0</v>
      </c>
      <c r="AS1110" s="140">
        <v>0</v>
      </c>
      <c r="AT1110" s="140">
        <v>229</v>
      </c>
      <c r="AU1110" s="140">
        <v>0</v>
      </c>
      <c r="AV1110" s="140">
        <v>0</v>
      </c>
      <c r="AW1110" s="140">
        <v>0</v>
      </c>
      <c r="AX1110" s="140">
        <v>0</v>
      </c>
      <c r="AY1110" s="140">
        <v>0</v>
      </c>
      <c r="AZ1110" s="140">
        <v>0</v>
      </c>
      <c r="BA1110" s="140">
        <v>229</v>
      </c>
      <c r="BB1110" s="140">
        <v>0</v>
      </c>
      <c r="BC1110" s="140">
        <v>0</v>
      </c>
      <c r="BD1110" s="140">
        <v>0</v>
      </c>
      <c r="BE1110" s="140">
        <v>0</v>
      </c>
      <c r="BF1110" s="140">
        <v>0</v>
      </c>
      <c r="BG1110" s="140">
        <v>0</v>
      </c>
      <c r="BH1110" s="140">
        <v>0</v>
      </c>
      <c r="BI1110" s="140">
        <v>0</v>
      </c>
      <c r="BJ1110" s="140">
        <v>0</v>
      </c>
      <c r="BK1110" s="140">
        <v>0</v>
      </c>
      <c r="BL1110" s="140">
        <v>0</v>
      </c>
      <c r="BM1110" s="140">
        <v>0</v>
      </c>
      <c r="BN1110" s="140">
        <v>0</v>
      </c>
      <c r="BO1110" s="140">
        <v>0</v>
      </c>
      <c r="BX1110" s="43">
        <v>20</v>
      </c>
      <c r="CE1110" s="90">
        <f t="shared" ref="CE1110:CS1112" si="153">$M1110/16</f>
        <v>14.3125</v>
      </c>
      <c r="CF1110" s="90">
        <f t="shared" si="153"/>
        <v>14.3125</v>
      </c>
      <c r="CG1110" s="90">
        <f t="shared" si="153"/>
        <v>14.3125</v>
      </c>
      <c r="CH1110" s="90">
        <f t="shared" si="153"/>
        <v>14.3125</v>
      </c>
      <c r="CI1110" s="90">
        <f t="shared" si="153"/>
        <v>14.3125</v>
      </c>
      <c r="CJ1110" s="90">
        <f t="shared" si="153"/>
        <v>14.3125</v>
      </c>
      <c r="CK1110" s="90">
        <f t="shared" si="153"/>
        <v>14.3125</v>
      </c>
      <c r="CL1110" s="90">
        <f t="shared" si="153"/>
        <v>14.3125</v>
      </c>
      <c r="CM1110" s="90">
        <f t="shared" si="153"/>
        <v>14.3125</v>
      </c>
      <c r="CN1110" s="90">
        <f t="shared" si="153"/>
        <v>14.3125</v>
      </c>
      <c r="CO1110" s="90">
        <f t="shared" si="153"/>
        <v>14.3125</v>
      </c>
      <c r="CP1110" s="90">
        <f t="shared" si="153"/>
        <v>14.3125</v>
      </c>
      <c r="CQ1110" s="90">
        <f t="shared" si="153"/>
        <v>14.3125</v>
      </c>
      <c r="CR1110" s="90">
        <f t="shared" si="153"/>
        <v>14.3125</v>
      </c>
      <c r="CS1110" s="90">
        <f t="shared" si="153"/>
        <v>14.3125</v>
      </c>
      <c r="CT1110" s="90">
        <f t="shared" si="148"/>
        <v>0</v>
      </c>
      <c r="CU1110" s="90">
        <f t="shared" si="149"/>
        <v>71.5625</v>
      </c>
    </row>
    <row r="1111" spans="1:99" ht="12" customHeight="1">
      <c r="A1111" s="43">
        <v>4221</v>
      </c>
      <c r="B1111" s="89" t="s">
        <v>2923</v>
      </c>
      <c r="C1111" s="89" t="s">
        <v>2938</v>
      </c>
      <c r="D1111" s="89" t="s">
        <v>2939</v>
      </c>
      <c r="F1111" s="43">
        <v>521988</v>
      </c>
      <c r="G1111" s="43">
        <v>172610</v>
      </c>
      <c r="H1111" s="89" t="s">
        <v>149</v>
      </c>
      <c r="K1111" s="140">
        <v>0</v>
      </c>
      <c r="L1111" s="140">
        <v>68</v>
      </c>
      <c r="M1111" s="140">
        <v>68</v>
      </c>
      <c r="N1111" s="140">
        <v>342</v>
      </c>
      <c r="O1111" s="140">
        <v>342</v>
      </c>
      <c r="P1111" s="43" t="s">
        <v>329</v>
      </c>
      <c r="Q1111" s="89" t="s">
        <v>2926</v>
      </c>
      <c r="R1111" s="43" t="s">
        <v>2927</v>
      </c>
      <c r="V1111" s="43" t="s">
        <v>317</v>
      </c>
      <c r="X1111" s="43" t="s">
        <v>318</v>
      </c>
      <c r="Y1111" s="43" t="s">
        <v>361</v>
      </c>
      <c r="Z1111" s="43" t="s">
        <v>361</v>
      </c>
      <c r="AA1111" s="43" t="s">
        <v>320</v>
      </c>
      <c r="AB1111" s="144">
        <v>0</v>
      </c>
      <c r="AF1111" s="43" t="s">
        <v>55</v>
      </c>
      <c r="AG1111" s="43" t="s">
        <v>457</v>
      </c>
      <c r="AH1111" s="43" t="s">
        <v>2940</v>
      </c>
      <c r="AI1111" s="43">
        <v>17320018</v>
      </c>
      <c r="AJ1111" s="140">
        <v>0</v>
      </c>
      <c r="AK1111" s="140">
        <v>0</v>
      </c>
      <c r="AL1111" s="140">
        <v>0</v>
      </c>
      <c r="AM1111" s="140">
        <v>0</v>
      </c>
      <c r="AN1111" s="140">
        <v>0</v>
      </c>
      <c r="AO1111" s="140">
        <v>0</v>
      </c>
      <c r="AP1111" s="140">
        <v>0</v>
      </c>
      <c r="AQ1111" s="140">
        <v>0</v>
      </c>
      <c r="AR1111" s="140">
        <v>0</v>
      </c>
      <c r="AS1111" s="140">
        <v>0</v>
      </c>
      <c r="AT1111" s="140">
        <v>68</v>
      </c>
      <c r="AU1111" s="140">
        <v>0</v>
      </c>
      <c r="AV1111" s="140">
        <v>0</v>
      </c>
      <c r="AW1111" s="140">
        <v>0</v>
      </c>
      <c r="AX1111" s="140">
        <v>0</v>
      </c>
      <c r="AY1111" s="140">
        <v>0</v>
      </c>
      <c r="AZ1111" s="140">
        <v>0</v>
      </c>
      <c r="BA1111" s="140">
        <v>68</v>
      </c>
      <c r="BB1111" s="140">
        <v>0</v>
      </c>
      <c r="BC1111" s="140">
        <v>0</v>
      </c>
      <c r="BD1111" s="140">
        <v>0</v>
      </c>
      <c r="BE1111" s="140">
        <v>0</v>
      </c>
      <c r="BF1111" s="140">
        <v>0</v>
      </c>
      <c r="BG1111" s="140">
        <v>0</v>
      </c>
      <c r="BH1111" s="140">
        <v>0</v>
      </c>
      <c r="BI1111" s="140">
        <v>0</v>
      </c>
      <c r="BJ1111" s="140">
        <v>0</v>
      </c>
      <c r="BK1111" s="140">
        <v>0</v>
      </c>
      <c r="BL1111" s="140">
        <v>0</v>
      </c>
      <c r="BM1111" s="140">
        <v>0</v>
      </c>
      <c r="BN1111" s="140">
        <v>0</v>
      </c>
      <c r="BO1111" s="140">
        <v>0</v>
      </c>
      <c r="BX1111" s="43">
        <v>20</v>
      </c>
      <c r="CE1111" s="90">
        <f t="shared" si="153"/>
        <v>4.25</v>
      </c>
      <c r="CF1111" s="90">
        <f t="shared" si="153"/>
        <v>4.25</v>
      </c>
      <c r="CG1111" s="90">
        <f t="shared" si="153"/>
        <v>4.25</v>
      </c>
      <c r="CH1111" s="90">
        <f t="shared" si="153"/>
        <v>4.25</v>
      </c>
      <c r="CI1111" s="90">
        <f t="shared" si="153"/>
        <v>4.25</v>
      </c>
      <c r="CJ1111" s="90">
        <f t="shared" si="153"/>
        <v>4.25</v>
      </c>
      <c r="CK1111" s="90">
        <f t="shared" si="153"/>
        <v>4.25</v>
      </c>
      <c r="CL1111" s="90">
        <f t="shared" si="153"/>
        <v>4.25</v>
      </c>
      <c r="CM1111" s="90">
        <f t="shared" si="153"/>
        <v>4.25</v>
      </c>
      <c r="CN1111" s="90">
        <f t="shared" si="153"/>
        <v>4.25</v>
      </c>
      <c r="CO1111" s="90">
        <f t="shared" si="153"/>
        <v>4.25</v>
      </c>
      <c r="CP1111" s="90">
        <f t="shared" si="153"/>
        <v>4.25</v>
      </c>
      <c r="CQ1111" s="90">
        <f t="shared" si="153"/>
        <v>4.25</v>
      </c>
      <c r="CR1111" s="90">
        <f t="shared" si="153"/>
        <v>4.25</v>
      </c>
      <c r="CS1111" s="90">
        <f t="shared" si="153"/>
        <v>4.25</v>
      </c>
      <c r="CT1111" s="90">
        <f t="shared" si="148"/>
        <v>0</v>
      </c>
      <c r="CU1111" s="90">
        <f t="shared" si="149"/>
        <v>21.25</v>
      </c>
    </row>
    <row r="1112" spans="1:99" ht="12" customHeight="1">
      <c r="A1112" s="43">
        <v>4221</v>
      </c>
      <c r="B1112" s="89" t="s">
        <v>2923</v>
      </c>
      <c r="C1112" s="89" t="s">
        <v>2938</v>
      </c>
      <c r="D1112" s="89" t="s">
        <v>2939</v>
      </c>
      <c r="F1112" s="43">
        <v>521988</v>
      </c>
      <c r="G1112" s="43">
        <v>172610</v>
      </c>
      <c r="H1112" s="89" t="s">
        <v>149</v>
      </c>
      <c r="K1112" s="140">
        <v>0</v>
      </c>
      <c r="L1112" s="140">
        <v>45</v>
      </c>
      <c r="M1112" s="140">
        <v>45</v>
      </c>
      <c r="N1112" s="140">
        <v>342</v>
      </c>
      <c r="O1112" s="140">
        <v>342</v>
      </c>
      <c r="P1112" s="43" t="s">
        <v>329</v>
      </c>
      <c r="Q1112" s="89" t="s">
        <v>2926</v>
      </c>
      <c r="R1112" s="43" t="s">
        <v>2927</v>
      </c>
      <c r="V1112" s="43" t="s">
        <v>317</v>
      </c>
      <c r="X1112" s="43" t="s">
        <v>318</v>
      </c>
      <c r="Y1112" s="43" t="s">
        <v>361</v>
      </c>
      <c r="Z1112" s="43" t="s">
        <v>361</v>
      </c>
      <c r="AA1112" s="43" t="s">
        <v>320</v>
      </c>
      <c r="AB1112" s="144">
        <v>0</v>
      </c>
      <c r="AF1112" s="43" t="s">
        <v>54</v>
      </c>
      <c r="AG1112" s="43" t="s">
        <v>399</v>
      </c>
      <c r="AH1112" s="43" t="s">
        <v>2940</v>
      </c>
      <c r="AI1112" s="43">
        <v>17320018</v>
      </c>
      <c r="AJ1112" s="140">
        <v>0</v>
      </c>
      <c r="AK1112" s="140">
        <v>0</v>
      </c>
      <c r="AL1112" s="140">
        <v>0</v>
      </c>
      <c r="AM1112" s="140">
        <v>0</v>
      </c>
      <c r="AN1112" s="140">
        <v>0</v>
      </c>
      <c r="AO1112" s="140">
        <v>0</v>
      </c>
      <c r="AP1112" s="140">
        <v>0</v>
      </c>
      <c r="AQ1112" s="140">
        <v>0</v>
      </c>
      <c r="AR1112" s="140">
        <v>0</v>
      </c>
      <c r="AS1112" s="140">
        <v>0</v>
      </c>
      <c r="AT1112" s="140">
        <v>45</v>
      </c>
      <c r="AU1112" s="140">
        <v>0</v>
      </c>
      <c r="AV1112" s="140">
        <v>0</v>
      </c>
      <c r="AW1112" s="140">
        <v>0</v>
      </c>
      <c r="AX1112" s="140">
        <v>0</v>
      </c>
      <c r="AY1112" s="140">
        <v>0</v>
      </c>
      <c r="AZ1112" s="140">
        <v>0</v>
      </c>
      <c r="BA1112" s="140">
        <v>45</v>
      </c>
      <c r="BB1112" s="140">
        <v>0</v>
      </c>
      <c r="BC1112" s="140">
        <v>0</v>
      </c>
      <c r="BD1112" s="140">
        <v>0</v>
      </c>
      <c r="BE1112" s="140">
        <v>0</v>
      </c>
      <c r="BF1112" s="140">
        <v>0</v>
      </c>
      <c r="BG1112" s="140">
        <v>0</v>
      </c>
      <c r="BH1112" s="140">
        <v>0</v>
      </c>
      <c r="BI1112" s="140">
        <v>0</v>
      </c>
      <c r="BJ1112" s="140">
        <v>0</v>
      </c>
      <c r="BK1112" s="140">
        <v>0</v>
      </c>
      <c r="BL1112" s="140">
        <v>0</v>
      </c>
      <c r="BM1112" s="140">
        <v>0</v>
      </c>
      <c r="BN1112" s="140">
        <v>0</v>
      </c>
      <c r="BO1112" s="140">
        <v>0</v>
      </c>
      <c r="BX1112" s="43">
        <v>20</v>
      </c>
      <c r="CE1112" s="90">
        <f t="shared" si="153"/>
        <v>2.8125</v>
      </c>
      <c r="CF1112" s="90">
        <f t="shared" si="153"/>
        <v>2.8125</v>
      </c>
      <c r="CG1112" s="90">
        <f t="shared" si="153"/>
        <v>2.8125</v>
      </c>
      <c r="CH1112" s="90">
        <f t="shared" si="153"/>
        <v>2.8125</v>
      </c>
      <c r="CI1112" s="90">
        <f t="shared" si="153"/>
        <v>2.8125</v>
      </c>
      <c r="CJ1112" s="90">
        <f t="shared" si="153"/>
        <v>2.8125</v>
      </c>
      <c r="CK1112" s="90">
        <f t="shared" si="153"/>
        <v>2.8125</v>
      </c>
      <c r="CL1112" s="90">
        <f t="shared" si="153"/>
        <v>2.8125</v>
      </c>
      <c r="CM1112" s="90">
        <f t="shared" si="153"/>
        <v>2.8125</v>
      </c>
      <c r="CN1112" s="90">
        <f t="shared" si="153"/>
        <v>2.8125</v>
      </c>
      <c r="CO1112" s="90">
        <f t="shared" si="153"/>
        <v>2.8125</v>
      </c>
      <c r="CP1112" s="90">
        <f t="shared" si="153"/>
        <v>2.8125</v>
      </c>
      <c r="CQ1112" s="90">
        <f t="shared" si="153"/>
        <v>2.8125</v>
      </c>
      <c r="CR1112" s="90">
        <f t="shared" si="153"/>
        <v>2.8125</v>
      </c>
      <c r="CS1112" s="90">
        <f t="shared" si="153"/>
        <v>2.8125</v>
      </c>
      <c r="CT1112" s="90">
        <f t="shared" si="148"/>
        <v>0</v>
      </c>
      <c r="CU1112" s="90">
        <f t="shared" si="149"/>
        <v>14.0625</v>
      </c>
    </row>
    <row r="1113" spans="1:99" ht="12" customHeight="1">
      <c r="A1113" s="43">
        <v>4283</v>
      </c>
      <c r="B1113" s="89" t="s">
        <v>2923</v>
      </c>
      <c r="C1113" s="89" t="s">
        <v>2941</v>
      </c>
      <c r="D1113" s="89" t="s">
        <v>2942</v>
      </c>
      <c r="F1113" s="43">
        <v>525979</v>
      </c>
      <c r="G1113" s="43">
        <v>175334</v>
      </c>
      <c r="H1113" s="89" t="s">
        <v>170</v>
      </c>
      <c r="K1113" s="140">
        <v>0</v>
      </c>
      <c r="L1113" s="140">
        <v>3</v>
      </c>
      <c r="M1113" s="140">
        <v>3</v>
      </c>
      <c r="N1113" s="140">
        <v>3</v>
      </c>
      <c r="O1113" s="140">
        <v>3</v>
      </c>
      <c r="Q1113" s="89" t="s">
        <v>2926</v>
      </c>
      <c r="R1113" s="43" t="s">
        <v>2927</v>
      </c>
      <c r="V1113" s="43" t="s">
        <v>317</v>
      </c>
      <c r="X1113" s="43" t="s">
        <v>318</v>
      </c>
      <c r="Y1113" s="43" t="s">
        <v>319</v>
      </c>
      <c r="Z1113" s="43" t="s">
        <v>320</v>
      </c>
      <c r="AA1113" s="43" t="s">
        <v>353</v>
      </c>
      <c r="AB1113" s="144">
        <v>0</v>
      </c>
      <c r="AF1113" s="43" t="s">
        <v>75</v>
      </c>
      <c r="AG1113" s="43" t="s">
        <v>322</v>
      </c>
      <c r="AH1113" s="43" t="s">
        <v>2943</v>
      </c>
      <c r="AI1113" s="43">
        <v>17320046</v>
      </c>
      <c r="AJ1113" s="140">
        <v>0</v>
      </c>
      <c r="AK1113" s="140">
        <v>0</v>
      </c>
      <c r="AL1113" s="140">
        <v>0</v>
      </c>
      <c r="AM1113" s="140">
        <v>0</v>
      </c>
      <c r="AN1113" s="140">
        <v>0</v>
      </c>
      <c r="AO1113" s="140">
        <v>0</v>
      </c>
      <c r="AP1113" s="140">
        <v>0</v>
      </c>
      <c r="AQ1113" s="140">
        <v>0</v>
      </c>
      <c r="AR1113" s="140">
        <v>0</v>
      </c>
      <c r="AS1113" s="140">
        <v>0</v>
      </c>
      <c r="AT1113" s="140">
        <v>3</v>
      </c>
      <c r="AU1113" s="140">
        <v>0</v>
      </c>
      <c r="AV1113" s="140">
        <v>0</v>
      </c>
      <c r="AW1113" s="140">
        <v>0</v>
      </c>
      <c r="AX1113" s="140">
        <v>0</v>
      </c>
      <c r="AY1113" s="140">
        <v>0</v>
      </c>
      <c r="AZ1113" s="140">
        <v>0</v>
      </c>
      <c r="BA1113" s="140">
        <v>3</v>
      </c>
      <c r="BB1113" s="140">
        <v>0</v>
      </c>
      <c r="BC1113" s="140">
        <v>0</v>
      </c>
      <c r="BD1113" s="140">
        <v>0</v>
      </c>
      <c r="BE1113" s="140">
        <v>0</v>
      </c>
      <c r="BF1113" s="140">
        <v>0</v>
      </c>
      <c r="BG1113" s="140">
        <v>0</v>
      </c>
      <c r="BH1113" s="140">
        <v>0</v>
      </c>
      <c r="BI1113" s="140">
        <v>0</v>
      </c>
      <c r="BJ1113" s="140">
        <v>0</v>
      </c>
      <c r="BK1113" s="140">
        <v>0</v>
      </c>
      <c r="BL1113" s="140">
        <v>0</v>
      </c>
      <c r="BM1113" s="140">
        <v>0</v>
      </c>
      <c r="BN1113" s="140">
        <v>0</v>
      </c>
      <c r="BO1113" s="140">
        <v>0</v>
      </c>
      <c r="BR1113" s="43" t="s">
        <v>329</v>
      </c>
      <c r="BX1113" s="43">
        <v>20</v>
      </c>
      <c r="CI1113" s="90">
        <f t="shared" ref="CI1113:CS1113" si="154">$M1113/12</f>
        <v>0.25</v>
      </c>
      <c r="CJ1113" s="90">
        <f t="shared" si="154"/>
        <v>0.25</v>
      </c>
      <c r="CK1113" s="90">
        <f t="shared" si="154"/>
        <v>0.25</v>
      </c>
      <c r="CL1113" s="90">
        <f t="shared" si="154"/>
        <v>0.25</v>
      </c>
      <c r="CM1113" s="90">
        <f t="shared" si="154"/>
        <v>0.25</v>
      </c>
      <c r="CN1113" s="90">
        <f t="shared" si="154"/>
        <v>0.25</v>
      </c>
      <c r="CO1113" s="90">
        <f t="shared" si="154"/>
        <v>0.25</v>
      </c>
      <c r="CP1113" s="90">
        <f t="shared" si="154"/>
        <v>0.25</v>
      </c>
      <c r="CQ1113" s="90">
        <f t="shared" si="154"/>
        <v>0.25</v>
      </c>
      <c r="CR1113" s="90">
        <f t="shared" si="154"/>
        <v>0.25</v>
      </c>
      <c r="CS1113" s="90">
        <f t="shared" si="154"/>
        <v>0.25</v>
      </c>
      <c r="CT1113" s="90">
        <f t="shared" si="148"/>
        <v>0</v>
      </c>
      <c r="CU1113" s="90">
        <f t="shared" si="149"/>
        <v>0.25</v>
      </c>
    </row>
    <row r="1114" spans="1:99" ht="12" customHeight="1">
      <c r="A1114" s="43">
        <v>4472</v>
      </c>
      <c r="B1114" s="89" t="s">
        <v>2923</v>
      </c>
      <c r="C1114" s="89" t="s">
        <v>2944</v>
      </c>
      <c r="D1114" s="89" t="s">
        <v>2945</v>
      </c>
      <c r="F1114" s="43">
        <v>529267</v>
      </c>
      <c r="G1114" s="43">
        <v>177387</v>
      </c>
      <c r="H1114" s="89" t="s">
        <v>148</v>
      </c>
      <c r="K1114" s="140">
        <v>0</v>
      </c>
      <c r="L1114" s="140">
        <v>39</v>
      </c>
      <c r="M1114" s="140">
        <v>39</v>
      </c>
      <c r="N1114" s="140">
        <v>46</v>
      </c>
      <c r="O1114" s="140">
        <v>46</v>
      </c>
      <c r="P1114" s="43" t="s">
        <v>329</v>
      </c>
      <c r="Q1114" s="89" t="s">
        <v>2926</v>
      </c>
      <c r="R1114" s="43" t="s">
        <v>2927</v>
      </c>
      <c r="V1114" s="43" t="s">
        <v>317</v>
      </c>
      <c r="X1114" s="43" t="s">
        <v>318</v>
      </c>
      <c r="Y1114" s="43" t="s">
        <v>361</v>
      </c>
      <c r="Z1114" s="43" t="s">
        <v>361</v>
      </c>
      <c r="AA1114" s="43" t="s">
        <v>320</v>
      </c>
      <c r="AB1114" s="144">
        <v>0</v>
      </c>
      <c r="AF1114" s="43" t="s">
        <v>75</v>
      </c>
      <c r="AG1114" s="43" t="s">
        <v>322</v>
      </c>
      <c r="AH1114" s="43" t="s">
        <v>2946</v>
      </c>
      <c r="AJ1114" s="140">
        <v>0</v>
      </c>
      <c r="AK1114" s="140">
        <v>0</v>
      </c>
      <c r="AL1114" s="140">
        <v>0</v>
      </c>
      <c r="AM1114" s="140">
        <v>0</v>
      </c>
      <c r="AN1114" s="140">
        <v>0</v>
      </c>
      <c r="AO1114" s="140">
        <v>0</v>
      </c>
      <c r="AP1114" s="140">
        <v>0</v>
      </c>
      <c r="AQ1114" s="140">
        <v>0</v>
      </c>
      <c r="AR1114" s="140">
        <v>0</v>
      </c>
      <c r="AS1114" s="140">
        <v>0</v>
      </c>
      <c r="AT1114" s="140">
        <v>39</v>
      </c>
      <c r="AU1114" s="140">
        <v>0</v>
      </c>
      <c r="AV1114" s="140">
        <v>0</v>
      </c>
      <c r="AW1114" s="140">
        <v>0</v>
      </c>
      <c r="AX1114" s="140">
        <v>0</v>
      </c>
      <c r="AY1114" s="140">
        <v>0</v>
      </c>
      <c r="AZ1114" s="140">
        <v>0</v>
      </c>
      <c r="BA1114" s="140">
        <v>39</v>
      </c>
      <c r="BB1114" s="140">
        <v>0</v>
      </c>
      <c r="BC1114" s="140">
        <v>0</v>
      </c>
      <c r="BD1114" s="140">
        <v>0</v>
      </c>
      <c r="BE1114" s="140">
        <v>0</v>
      </c>
      <c r="BF1114" s="140">
        <v>0</v>
      </c>
      <c r="BG1114" s="140">
        <v>0</v>
      </c>
      <c r="BH1114" s="140">
        <v>0</v>
      </c>
      <c r="BI1114" s="140">
        <v>0</v>
      </c>
      <c r="BJ1114" s="140">
        <v>0</v>
      </c>
      <c r="BK1114" s="140">
        <v>0</v>
      </c>
      <c r="BL1114" s="140">
        <v>0</v>
      </c>
      <c r="BM1114" s="140">
        <v>0</v>
      </c>
      <c r="BN1114" s="140">
        <v>0</v>
      </c>
      <c r="BO1114" s="140">
        <v>0</v>
      </c>
      <c r="BQ1114" s="43" t="s">
        <v>329</v>
      </c>
      <c r="BX1114" s="43">
        <v>21</v>
      </c>
      <c r="CE1114" s="90">
        <f t="shared" ref="CE1114:CE1119" si="155">M1114</f>
        <v>39</v>
      </c>
      <c r="CT1114" s="90">
        <f t="shared" si="148"/>
        <v>0</v>
      </c>
      <c r="CU1114" s="90">
        <f t="shared" si="149"/>
        <v>39</v>
      </c>
    </row>
    <row r="1115" spans="1:99" ht="12" customHeight="1">
      <c r="A1115" s="43">
        <v>4472</v>
      </c>
      <c r="B1115" s="89" t="s">
        <v>2923</v>
      </c>
      <c r="C1115" s="89" t="s">
        <v>2944</v>
      </c>
      <c r="D1115" s="89" t="s">
        <v>2945</v>
      </c>
      <c r="F1115" s="43">
        <v>529267</v>
      </c>
      <c r="G1115" s="43">
        <v>177387</v>
      </c>
      <c r="H1115" s="89" t="s">
        <v>148</v>
      </c>
      <c r="K1115" s="140">
        <v>0</v>
      </c>
      <c r="L1115" s="140">
        <v>4</v>
      </c>
      <c r="M1115" s="140">
        <v>4</v>
      </c>
      <c r="N1115" s="140">
        <v>46</v>
      </c>
      <c r="O1115" s="140">
        <v>46</v>
      </c>
      <c r="P1115" s="43" t="s">
        <v>329</v>
      </c>
      <c r="Q1115" s="89" t="s">
        <v>2926</v>
      </c>
      <c r="R1115" s="43" t="s">
        <v>2927</v>
      </c>
      <c r="V1115" s="43" t="s">
        <v>317</v>
      </c>
      <c r="X1115" s="43" t="s">
        <v>318</v>
      </c>
      <c r="Y1115" s="43" t="s">
        <v>361</v>
      </c>
      <c r="Z1115" s="43" t="s">
        <v>361</v>
      </c>
      <c r="AA1115" s="43" t="s">
        <v>320</v>
      </c>
      <c r="AB1115" s="144">
        <v>0</v>
      </c>
      <c r="AF1115" s="43" t="s">
        <v>55</v>
      </c>
      <c r="AG1115" s="43" t="s">
        <v>457</v>
      </c>
      <c r="AH1115" s="43" t="s">
        <v>2946</v>
      </c>
      <c r="AJ1115" s="140">
        <v>0</v>
      </c>
      <c r="AK1115" s="140">
        <v>0</v>
      </c>
      <c r="AL1115" s="140">
        <v>0</v>
      </c>
      <c r="AM1115" s="140">
        <v>0</v>
      </c>
      <c r="AN1115" s="140">
        <v>0</v>
      </c>
      <c r="AO1115" s="140">
        <v>0</v>
      </c>
      <c r="AP1115" s="140">
        <v>0</v>
      </c>
      <c r="AQ1115" s="140">
        <v>0</v>
      </c>
      <c r="AR1115" s="140">
        <v>0</v>
      </c>
      <c r="AS1115" s="140">
        <v>0</v>
      </c>
      <c r="AT1115" s="140">
        <v>4</v>
      </c>
      <c r="AU1115" s="140">
        <v>0</v>
      </c>
      <c r="AV1115" s="140">
        <v>0</v>
      </c>
      <c r="AW1115" s="140">
        <v>0</v>
      </c>
      <c r="AX1115" s="140">
        <v>0</v>
      </c>
      <c r="AY1115" s="140">
        <v>0</v>
      </c>
      <c r="AZ1115" s="140">
        <v>0</v>
      </c>
      <c r="BA1115" s="140">
        <v>4</v>
      </c>
      <c r="BB1115" s="140">
        <v>0</v>
      </c>
      <c r="BC1115" s="140">
        <v>0</v>
      </c>
      <c r="BD1115" s="140">
        <v>0</v>
      </c>
      <c r="BE1115" s="140">
        <v>0</v>
      </c>
      <c r="BF1115" s="140">
        <v>0</v>
      </c>
      <c r="BG1115" s="140">
        <v>0</v>
      </c>
      <c r="BH1115" s="140">
        <v>0</v>
      </c>
      <c r="BI1115" s="140">
        <v>0</v>
      </c>
      <c r="BJ1115" s="140">
        <v>0</v>
      </c>
      <c r="BK1115" s="140">
        <v>0</v>
      </c>
      <c r="BL1115" s="140">
        <v>0</v>
      </c>
      <c r="BM1115" s="140">
        <v>0</v>
      </c>
      <c r="BN1115" s="140">
        <v>0</v>
      </c>
      <c r="BO1115" s="140">
        <v>0</v>
      </c>
      <c r="BQ1115" s="43" t="s">
        <v>329</v>
      </c>
      <c r="BX1115" s="43">
        <v>21</v>
      </c>
      <c r="CE1115" s="90">
        <f t="shared" si="155"/>
        <v>4</v>
      </c>
      <c r="CT1115" s="90">
        <f t="shared" si="148"/>
        <v>0</v>
      </c>
      <c r="CU1115" s="90">
        <f t="shared" si="149"/>
        <v>4</v>
      </c>
    </row>
    <row r="1116" spans="1:99" ht="12" customHeight="1">
      <c r="A1116" s="43">
        <v>4472</v>
      </c>
      <c r="B1116" s="89" t="s">
        <v>2923</v>
      </c>
      <c r="C1116" s="89" t="s">
        <v>2944</v>
      </c>
      <c r="D1116" s="89" t="s">
        <v>2945</v>
      </c>
      <c r="F1116" s="43">
        <v>529267</v>
      </c>
      <c r="G1116" s="43">
        <v>177387</v>
      </c>
      <c r="H1116" s="89" t="s">
        <v>148</v>
      </c>
      <c r="K1116" s="140">
        <v>0</v>
      </c>
      <c r="L1116" s="140">
        <v>3</v>
      </c>
      <c r="M1116" s="140">
        <v>3</v>
      </c>
      <c r="N1116" s="140">
        <v>46</v>
      </c>
      <c r="O1116" s="140">
        <v>46</v>
      </c>
      <c r="P1116" s="43" t="s">
        <v>329</v>
      </c>
      <c r="Q1116" s="89" t="s">
        <v>2926</v>
      </c>
      <c r="R1116" s="43" t="s">
        <v>2927</v>
      </c>
      <c r="V1116" s="43" t="s">
        <v>317</v>
      </c>
      <c r="X1116" s="43" t="s">
        <v>318</v>
      </c>
      <c r="Y1116" s="43" t="s">
        <v>361</v>
      </c>
      <c r="Z1116" s="43" t="s">
        <v>361</v>
      </c>
      <c r="AA1116" s="43" t="s">
        <v>320</v>
      </c>
      <c r="AB1116" s="144">
        <v>0</v>
      </c>
      <c r="AF1116" s="43" t="s">
        <v>54</v>
      </c>
      <c r="AG1116" s="43" t="s">
        <v>1659</v>
      </c>
      <c r="AH1116" s="43" t="s">
        <v>2946</v>
      </c>
      <c r="AJ1116" s="140">
        <v>0</v>
      </c>
      <c r="AK1116" s="140">
        <v>0</v>
      </c>
      <c r="AL1116" s="140">
        <v>0</v>
      </c>
      <c r="AM1116" s="140">
        <v>0</v>
      </c>
      <c r="AN1116" s="140">
        <v>0</v>
      </c>
      <c r="AO1116" s="140">
        <v>0</v>
      </c>
      <c r="AP1116" s="140">
        <v>0</v>
      </c>
      <c r="AQ1116" s="140">
        <v>0</v>
      </c>
      <c r="AR1116" s="140">
        <v>0</v>
      </c>
      <c r="AS1116" s="140">
        <v>0</v>
      </c>
      <c r="AT1116" s="140">
        <v>3</v>
      </c>
      <c r="AU1116" s="140">
        <v>0</v>
      </c>
      <c r="AV1116" s="140">
        <v>0</v>
      </c>
      <c r="AW1116" s="140">
        <v>0</v>
      </c>
      <c r="AX1116" s="140">
        <v>0</v>
      </c>
      <c r="AY1116" s="140">
        <v>0</v>
      </c>
      <c r="AZ1116" s="140">
        <v>0</v>
      </c>
      <c r="BA1116" s="140">
        <v>3</v>
      </c>
      <c r="BB1116" s="140">
        <v>0</v>
      </c>
      <c r="BC1116" s="140">
        <v>0</v>
      </c>
      <c r="BD1116" s="140">
        <v>0</v>
      </c>
      <c r="BE1116" s="140">
        <v>0</v>
      </c>
      <c r="BF1116" s="140">
        <v>0</v>
      </c>
      <c r="BG1116" s="140">
        <v>0</v>
      </c>
      <c r="BH1116" s="140">
        <v>0</v>
      </c>
      <c r="BI1116" s="140">
        <v>0</v>
      </c>
      <c r="BJ1116" s="140">
        <v>0</v>
      </c>
      <c r="BK1116" s="140">
        <v>0</v>
      </c>
      <c r="BL1116" s="140">
        <v>0</v>
      </c>
      <c r="BM1116" s="140">
        <v>0</v>
      </c>
      <c r="BN1116" s="140">
        <v>0</v>
      </c>
      <c r="BO1116" s="140">
        <v>0</v>
      </c>
      <c r="BQ1116" s="43" t="s">
        <v>329</v>
      </c>
      <c r="BX1116" s="43">
        <v>21</v>
      </c>
      <c r="CE1116" s="90">
        <f t="shared" si="155"/>
        <v>3</v>
      </c>
      <c r="CT1116" s="90">
        <f t="shared" si="148"/>
        <v>0</v>
      </c>
      <c r="CU1116" s="90">
        <f t="shared" si="149"/>
        <v>3</v>
      </c>
    </row>
    <row r="1117" spans="1:99" ht="12" customHeight="1">
      <c r="A1117" s="43">
        <v>4510</v>
      </c>
      <c r="B1117" s="89" t="s">
        <v>2923</v>
      </c>
      <c r="C1117" s="89" t="s">
        <v>2947</v>
      </c>
      <c r="D1117" s="89" t="s">
        <v>2948</v>
      </c>
      <c r="F1117" s="43">
        <v>529218</v>
      </c>
      <c r="G1117" s="43">
        <v>177561</v>
      </c>
      <c r="H1117" s="89" t="s">
        <v>148</v>
      </c>
      <c r="K1117" s="140">
        <v>0</v>
      </c>
      <c r="L1117" s="140">
        <v>70</v>
      </c>
      <c r="M1117" s="140">
        <v>70</v>
      </c>
      <c r="N1117" s="140">
        <v>82</v>
      </c>
      <c r="O1117" s="140">
        <v>82</v>
      </c>
      <c r="P1117" s="43" t="s">
        <v>329</v>
      </c>
      <c r="Q1117" s="89" t="s">
        <v>2926</v>
      </c>
      <c r="R1117" s="43" t="s">
        <v>2927</v>
      </c>
      <c r="V1117" s="43" t="s">
        <v>317</v>
      </c>
      <c r="X1117" s="43" t="s">
        <v>318</v>
      </c>
      <c r="Y1117" s="43" t="s">
        <v>319</v>
      </c>
      <c r="Z1117" s="43" t="s">
        <v>361</v>
      </c>
      <c r="AA1117" s="43" t="s">
        <v>320</v>
      </c>
      <c r="AB1117" s="144">
        <v>0</v>
      </c>
      <c r="AF1117" s="43" t="s">
        <v>75</v>
      </c>
      <c r="AG1117" s="43" t="s">
        <v>322</v>
      </c>
      <c r="AH1117" s="43" t="s">
        <v>2949</v>
      </c>
      <c r="AJ1117" s="140">
        <v>0</v>
      </c>
      <c r="AK1117" s="140">
        <v>0</v>
      </c>
      <c r="AL1117" s="140">
        <v>0</v>
      </c>
      <c r="AM1117" s="140">
        <v>0</v>
      </c>
      <c r="AN1117" s="140">
        <v>0</v>
      </c>
      <c r="AO1117" s="140">
        <v>0</v>
      </c>
      <c r="AP1117" s="140">
        <v>0</v>
      </c>
      <c r="AQ1117" s="140">
        <v>0</v>
      </c>
      <c r="AR1117" s="140">
        <v>0</v>
      </c>
      <c r="AS1117" s="140">
        <v>0</v>
      </c>
      <c r="AT1117" s="140">
        <v>70</v>
      </c>
      <c r="AU1117" s="140">
        <v>0</v>
      </c>
      <c r="AV1117" s="140">
        <v>0</v>
      </c>
      <c r="AW1117" s="140">
        <v>0</v>
      </c>
      <c r="AX1117" s="140">
        <v>0</v>
      </c>
      <c r="AY1117" s="140">
        <v>0</v>
      </c>
      <c r="AZ1117" s="140">
        <v>0</v>
      </c>
      <c r="BA1117" s="140">
        <v>70</v>
      </c>
      <c r="BB1117" s="140">
        <v>0</v>
      </c>
      <c r="BC1117" s="140">
        <v>0</v>
      </c>
      <c r="BD1117" s="140">
        <v>0</v>
      </c>
      <c r="BE1117" s="140">
        <v>0</v>
      </c>
      <c r="BF1117" s="140">
        <v>0</v>
      </c>
      <c r="BG1117" s="140">
        <v>0</v>
      </c>
      <c r="BH1117" s="140">
        <v>0</v>
      </c>
      <c r="BI1117" s="140">
        <v>0</v>
      </c>
      <c r="BJ1117" s="140">
        <v>0</v>
      </c>
      <c r="BK1117" s="140">
        <v>0</v>
      </c>
      <c r="BL1117" s="140">
        <v>0</v>
      </c>
      <c r="BM1117" s="140">
        <v>0</v>
      </c>
      <c r="BN1117" s="140">
        <v>0</v>
      </c>
      <c r="BO1117" s="140">
        <v>0</v>
      </c>
      <c r="BQ1117" s="43" t="s">
        <v>329</v>
      </c>
      <c r="BX1117" s="43">
        <v>21</v>
      </c>
      <c r="CE1117" s="90">
        <f t="shared" si="155"/>
        <v>70</v>
      </c>
      <c r="CT1117" s="90">
        <f t="shared" si="148"/>
        <v>0</v>
      </c>
      <c r="CU1117" s="90">
        <f t="shared" si="149"/>
        <v>70</v>
      </c>
    </row>
    <row r="1118" spans="1:99" ht="12" customHeight="1">
      <c r="A1118" s="43">
        <v>4510</v>
      </c>
      <c r="B1118" s="89" t="s">
        <v>2923</v>
      </c>
      <c r="C1118" s="89" t="s">
        <v>2947</v>
      </c>
      <c r="D1118" s="89" t="s">
        <v>2948</v>
      </c>
      <c r="F1118" s="43">
        <v>529218</v>
      </c>
      <c r="G1118" s="43">
        <v>177561</v>
      </c>
      <c r="H1118" s="89" t="s">
        <v>148</v>
      </c>
      <c r="K1118" s="140">
        <v>0</v>
      </c>
      <c r="L1118" s="140">
        <v>7</v>
      </c>
      <c r="M1118" s="140">
        <v>7</v>
      </c>
      <c r="N1118" s="140">
        <v>82</v>
      </c>
      <c r="O1118" s="140">
        <v>82</v>
      </c>
      <c r="P1118" s="43" t="s">
        <v>329</v>
      </c>
      <c r="Q1118" s="89" t="s">
        <v>2926</v>
      </c>
      <c r="R1118" s="43" t="s">
        <v>2927</v>
      </c>
      <c r="V1118" s="43" t="s">
        <v>317</v>
      </c>
      <c r="X1118" s="43" t="s">
        <v>318</v>
      </c>
      <c r="Y1118" s="43" t="s">
        <v>319</v>
      </c>
      <c r="Z1118" s="43" t="s">
        <v>361</v>
      </c>
      <c r="AA1118" s="43" t="s">
        <v>320</v>
      </c>
      <c r="AB1118" s="144">
        <v>0</v>
      </c>
      <c r="AF1118" s="43" t="s">
        <v>55</v>
      </c>
      <c r="AG1118" s="43" t="s">
        <v>457</v>
      </c>
      <c r="AH1118" s="43" t="s">
        <v>2949</v>
      </c>
      <c r="AJ1118" s="140">
        <v>0</v>
      </c>
      <c r="AK1118" s="140">
        <v>0</v>
      </c>
      <c r="AL1118" s="140">
        <v>0</v>
      </c>
      <c r="AM1118" s="140">
        <v>0</v>
      </c>
      <c r="AN1118" s="140">
        <v>0</v>
      </c>
      <c r="AO1118" s="140">
        <v>0</v>
      </c>
      <c r="AP1118" s="140">
        <v>0</v>
      </c>
      <c r="AQ1118" s="140">
        <v>0</v>
      </c>
      <c r="AR1118" s="140">
        <v>0</v>
      </c>
      <c r="AS1118" s="140">
        <v>0</v>
      </c>
      <c r="AT1118" s="140">
        <v>7</v>
      </c>
      <c r="AU1118" s="140">
        <v>0</v>
      </c>
      <c r="AV1118" s="140">
        <v>0</v>
      </c>
      <c r="AW1118" s="140">
        <v>0</v>
      </c>
      <c r="AX1118" s="140">
        <v>0</v>
      </c>
      <c r="AY1118" s="140">
        <v>0</v>
      </c>
      <c r="AZ1118" s="140">
        <v>0</v>
      </c>
      <c r="BA1118" s="140">
        <v>7</v>
      </c>
      <c r="BB1118" s="140">
        <v>0</v>
      </c>
      <c r="BC1118" s="140">
        <v>0</v>
      </c>
      <c r="BD1118" s="140">
        <v>0</v>
      </c>
      <c r="BE1118" s="140">
        <v>0</v>
      </c>
      <c r="BF1118" s="140">
        <v>0</v>
      </c>
      <c r="BG1118" s="140">
        <v>0</v>
      </c>
      <c r="BH1118" s="140">
        <v>0</v>
      </c>
      <c r="BI1118" s="140">
        <v>0</v>
      </c>
      <c r="BJ1118" s="140">
        <v>0</v>
      </c>
      <c r="BK1118" s="140">
        <v>0</v>
      </c>
      <c r="BL1118" s="140">
        <v>0</v>
      </c>
      <c r="BM1118" s="140">
        <v>0</v>
      </c>
      <c r="BN1118" s="140">
        <v>0</v>
      </c>
      <c r="BO1118" s="140">
        <v>0</v>
      </c>
      <c r="BQ1118" s="43" t="s">
        <v>329</v>
      </c>
      <c r="BX1118" s="43">
        <v>21</v>
      </c>
      <c r="CE1118" s="90">
        <f t="shared" si="155"/>
        <v>7</v>
      </c>
      <c r="CT1118" s="90">
        <f t="shared" si="148"/>
        <v>0</v>
      </c>
      <c r="CU1118" s="90">
        <f t="shared" si="149"/>
        <v>7</v>
      </c>
    </row>
    <row r="1119" spans="1:99" ht="12" customHeight="1">
      <c r="A1119" s="43">
        <v>4510</v>
      </c>
      <c r="B1119" s="89" t="s">
        <v>2923</v>
      </c>
      <c r="C1119" s="89" t="s">
        <v>2947</v>
      </c>
      <c r="D1119" s="89" t="s">
        <v>2948</v>
      </c>
      <c r="F1119" s="43">
        <v>529218</v>
      </c>
      <c r="G1119" s="43">
        <v>177561</v>
      </c>
      <c r="H1119" s="89" t="s">
        <v>148</v>
      </c>
      <c r="K1119" s="140">
        <v>0</v>
      </c>
      <c r="L1119" s="140">
        <v>5</v>
      </c>
      <c r="M1119" s="140">
        <v>5</v>
      </c>
      <c r="N1119" s="140">
        <v>82</v>
      </c>
      <c r="O1119" s="140">
        <v>82</v>
      </c>
      <c r="P1119" s="43" t="s">
        <v>329</v>
      </c>
      <c r="Q1119" s="89" t="s">
        <v>2926</v>
      </c>
      <c r="R1119" s="43" t="s">
        <v>2927</v>
      </c>
      <c r="V1119" s="43" t="s">
        <v>317</v>
      </c>
      <c r="X1119" s="43" t="s">
        <v>318</v>
      </c>
      <c r="Y1119" s="43" t="s">
        <v>319</v>
      </c>
      <c r="Z1119" s="43" t="s">
        <v>361</v>
      </c>
      <c r="AA1119" s="43" t="s">
        <v>320</v>
      </c>
      <c r="AB1119" s="144">
        <v>0</v>
      </c>
      <c r="AF1119" s="43" t="s">
        <v>54</v>
      </c>
      <c r="AG1119" s="43" t="s">
        <v>1659</v>
      </c>
      <c r="AH1119" s="43" t="s">
        <v>2949</v>
      </c>
      <c r="AJ1119" s="140">
        <v>0</v>
      </c>
      <c r="AK1119" s="140">
        <v>0</v>
      </c>
      <c r="AL1119" s="140">
        <v>0</v>
      </c>
      <c r="AM1119" s="140">
        <v>0</v>
      </c>
      <c r="AN1119" s="140">
        <v>0</v>
      </c>
      <c r="AO1119" s="140">
        <v>0</v>
      </c>
      <c r="AP1119" s="140">
        <v>0</v>
      </c>
      <c r="AQ1119" s="140">
        <v>0</v>
      </c>
      <c r="AR1119" s="140">
        <v>0</v>
      </c>
      <c r="AS1119" s="140">
        <v>0</v>
      </c>
      <c r="AT1119" s="140">
        <v>5</v>
      </c>
      <c r="AU1119" s="140">
        <v>0</v>
      </c>
      <c r="AV1119" s="140">
        <v>0</v>
      </c>
      <c r="AW1119" s="140">
        <v>0</v>
      </c>
      <c r="AX1119" s="140">
        <v>0</v>
      </c>
      <c r="AY1119" s="140">
        <v>0</v>
      </c>
      <c r="AZ1119" s="140">
        <v>0</v>
      </c>
      <c r="BA1119" s="140">
        <v>5</v>
      </c>
      <c r="BB1119" s="140">
        <v>0</v>
      </c>
      <c r="BC1119" s="140">
        <v>0</v>
      </c>
      <c r="BD1119" s="140">
        <v>0</v>
      </c>
      <c r="BE1119" s="140">
        <v>0</v>
      </c>
      <c r="BF1119" s="140">
        <v>0</v>
      </c>
      <c r="BG1119" s="140">
        <v>0</v>
      </c>
      <c r="BH1119" s="140">
        <v>0</v>
      </c>
      <c r="BI1119" s="140">
        <v>0</v>
      </c>
      <c r="BJ1119" s="140">
        <v>0</v>
      </c>
      <c r="BK1119" s="140">
        <v>0</v>
      </c>
      <c r="BL1119" s="140">
        <v>0</v>
      </c>
      <c r="BM1119" s="140">
        <v>0</v>
      </c>
      <c r="BN1119" s="140">
        <v>0</v>
      </c>
      <c r="BO1119" s="140">
        <v>0</v>
      </c>
      <c r="BQ1119" s="43" t="s">
        <v>329</v>
      </c>
      <c r="BX1119" s="43">
        <v>21</v>
      </c>
      <c r="CE1119" s="90">
        <f t="shared" si="155"/>
        <v>5</v>
      </c>
      <c r="CT1119" s="90">
        <f t="shared" si="148"/>
        <v>0</v>
      </c>
      <c r="CU1119" s="90">
        <f t="shared" si="149"/>
        <v>5</v>
      </c>
    </row>
    <row r="1120" spans="1:99" ht="12" customHeight="1">
      <c r="A1120" s="43">
        <v>6864</v>
      </c>
      <c r="B1120" s="89" t="s">
        <v>2923</v>
      </c>
      <c r="C1120" s="89" t="s">
        <v>2950</v>
      </c>
      <c r="D1120" s="89" t="s">
        <v>2951</v>
      </c>
      <c r="F1120" s="43">
        <v>527562</v>
      </c>
      <c r="G1120" s="43">
        <v>171554</v>
      </c>
      <c r="H1120" s="89" t="s">
        <v>172</v>
      </c>
      <c r="K1120" s="140">
        <v>0</v>
      </c>
      <c r="L1120" s="140">
        <v>211</v>
      </c>
      <c r="M1120" s="140">
        <v>211</v>
      </c>
      <c r="N1120" s="140">
        <v>315</v>
      </c>
      <c r="O1120" s="140">
        <v>315</v>
      </c>
      <c r="P1120" s="43" t="s">
        <v>329</v>
      </c>
      <c r="Q1120" s="89" t="s">
        <v>2926</v>
      </c>
      <c r="R1120" s="43" t="s">
        <v>2927</v>
      </c>
      <c r="V1120" s="43" t="s">
        <v>317</v>
      </c>
      <c r="X1120" s="43" t="s">
        <v>318</v>
      </c>
      <c r="Y1120" s="43" t="s">
        <v>361</v>
      </c>
      <c r="Z1120" s="43" t="s">
        <v>361</v>
      </c>
      <c r="AA1120" s="43" t="s">
        <v>320</v>
      </c>
      <c r="AB1120" s="144">
        <v>0</v>
      </c>
      <c r="AF1120" s="43" t="s">
        <v>75</v>
      </c>
      <c r="AG1120" s="43" t="s">
        <v>322</v>
      </c>
      <c r="AH1120" s="43" t="s">
        <v>1022</v>
      </c>
      <c r="AI1120" s="43">
        <v>17320280</v>
      </c>
      <c r="AJ1120" s="140">
        <v>0</v>
      </c>
      <c r="AK1120" s="140">
        <v>0</v>
      </c>
      <c r="AL1120" s="140">
        <v>0</v>
      </c>
      <c r="AM1120" s="140">
        <v>0</v>
      </c>
      <c r="AN1120" s="140">
        <v>0</v>
      </c>
      <c r="AO1120" s="140">
        <v>0</v>
      </c>
      <c r="AP1120" s="140">
        <v>0</v>
      </c>
      <c r="AQ1120" s="140">
        <v>0</v>
      </c>
      <c r="AR1120" s="140">
        <v>0</v>
      </c>
      <c r="AS1120" s="140">
        <v>0</v>
      </c>
      <c r="AT1120" s="140">
        <v>211</v>
      </c>
      <c r="AU1120" s="140">
        <v>0</v>
      </c>
      <c r="AV1120" s="140">
        <v>0</v>
      </c>
      <c r="AW1120" s="140">
        <v>0</v>
      </c>
      <c r="AX1120" s="140">
        <v>0</v>
      </c>
      <c r="AY1120" s="140">
        <v>0</v>
      </c>
      <c r="AZ1120" s="140">
        <v>0</v>
      </c>
      <c r="BA1120" s="140">
        <v>211</v>
      </c>
      <c r="BB1120" s="140">
        <v>0</v>
      </c>
      <c r="BC1120" s="140">
        <v>0</v>
      </c>
      <c r="BD1120" s="140">
        <v>0</v>
      </c>
      <c r="BE1120" s="140">
        <v>0</v>
      </c>
      <c r="BF1120" s="140">
        <v>0</v>
      </c>
      <c r="BG1120" s="140">
        <v>0</v>
      </c>
      <c r="BH1120" s="140">
        <v>0</v>
      </c>
      <c r="BI1120" s="140">
        <v>0</v>
      </c>
      <c r="BJ1120" s="140">
        <v>0</v>
      </c>
      <c r="BK1120" s="140">
        <v>0</v>
      </c>
      <c r="BL1120" s="140">
        <v>0</v>
      </c>
      <c r="BM1120" s="140">
        <v>0</v>
      </c>
      <c r="BN1120" s="140">
        <v>0</v>
      </c>
      <c r="BO1120" s="140">
        <v>0</v>
      </c>
      <c r="BP1120" s="43" t="s">
        <v>141</v>
      </c>
      <c r="BQ1120" s="89"/>
      <c r="BU1120" s="89"/>
      <c r="BX1120" s="43">
        <v>20</v>
      </c>
      <c r="CI1120" s="90">
        <f t="shared" ref="CI1120:CS1122" si="156">$M1120/12</f>
        <v>17.583333333333332</v>
      </c>
      <c r="CJ1120" s="90">
        <f t="shared" si="156"/>
        <v>17.583333333333332</v>
      </c>
      <c r="CK1120" s="90">
        <f t="shared" si="156"/>
        <v>17.583333333333332</v>
      </c>
      <c r="CL1120" s="90">
        <f t="shared" si="156"/>
        <v>17.583333333333332</v>
      </c>
      <c r="CM1120" s="90">
        <f t="shared" si="156"/>
        <v>17.583333333333332</v>
      </c>
      <c r="CN1120" s="90">
        <f t="shared" si="156"/>
        <v>17.583333333333332</v>
      </c>
      <c r="CO1120" s="90">
        <f t="shared" si="156"/>
        <v>17.583333333333332</v>
      </c>
      <c r="CP1120" s="90">
        <f t="shared" si="156"/>
        <v>17.583333333333332</v>
      </c>
      <c r="CQ1120" s="90">
        <f t="shared" si="156"/>
        <v>17.583333333333332</v>
      </c>
      <c r="CR1120" s="90">
        <f t="shared" si="156"/>
        <v>17.583333333333332</v>
      </c>
      <c r="CS1120" s="90">
        <f t="shared" si="156"/>
        <v>17.583333333333332</v>
      </c>
      <c r="CT1120" s="90">
        <f t="shared" si="148"/>
        <v>0</v>
      </c>
      <c r="CU1120" s="90">
        <f t="shared" si="149"/>
        <v>17.583333333333332</v>
      </c>
    </row>
    <row r="1121" spans="1:99" ht="12" customHeight="1">
      <c r="A1121" s="43">
        <v>6864</v>
      </c>
      <c r="B1121" s="89" t="s">
        <v>2923</v>
      </c>
      <c r="C1121" s="89" t="s">
        <v>2950</v>
      </c>
      <c r="D1121" s="89" t="s">
        <v>2951</v>
      </c>
      <c r="F1121" s="43">
        <v>527562</v>
      </c>
      <c r="G1121" s="43">
        <v>171554</v>
      </c>
      <c r="H1121" s="89" t="s">
        <v>172</v>
      </c>
      <c r="K1121" s="140">
        <v>0</v>
      </c>
      <c r="L1121" s="140">
        <v>62</v>
      </c>
      <c r="M1121" s="140">
        <v>62</v>
      </c>
      <c r="N1121" s="140">
        <v>315</v>
      </c>
      <c r="O1121" s="140">
        <v>315</v>
      </c>
      <c r="P1121" s="43" t="s">
        <v>329</v>
      </c>
      <c r="Q1121" s="89" t="s">
        <v>2926</v>
      </c>
      <c r="R1121" s="43" t="s">
        <v>2927</v>
      </c>
      <c r="V1121" s="43" t="s">
        <v>317</v>
      </c>
      <c r="X1121" s="43" t="s">
        <v>318</v>
      </c>
      <c r="Y1121" s="43" t="s">
        <v>361</v>
      </c>
      <c r="Z1121" s="43" t="s">
        <v>361</v>
      </c>
      <c r="AA1121" s="43" t="s">
        <v>320</v>
      </c>
      <c r="AB1121" s="144">
        <v>0</v>
      </c>
      <c r="AF1121" s="43" t="s">
        <v>55</v>
      </c>
      <c r="AG1121" s="43" t="s">
        <v>457</v>
      </c>
      <c r="AH1121" s="43" t="s">
        <v>1022</v>
      </c>
      <c r="AI1121" s="43">
        <v>17320280</v>
      </c>
      <c r="AJ1121" s="140">
        <v>0</v>
      </c>
      <c r="AK1121" s="140">
        <v>0</v>
      </c>
      <c r="AL1121" s="140">
        <v>0</v>
      </c>
      <c r="AM1121" s="140">
        <v>0</v>
      </c>
      <c r="AN1121" s="140">
        <v>0</v>
      </c>
      <c r="AO1121" s="140">
        <v>0</v>
      </c>
      <c r="AP1121" s="140">
        <v>0</v>
      </c>
      <c r="AQ1121" s="140">
        <v>0</v>
      </c>
      <c r="AR1121" s="140">
        <v>0</v>
      </c>
      <c r="AS1121" s="140">
        <v>0</v>
      </c>
      <c r="AT1121" s="140">
        <v>62</v>
      </c>
      <c r="AU1121" s="140">
        <v>0</v>
      </c>
      <c r="AV1121" s="140">
        <v>0</v>
      </c>
      <c r="AW1121" s="140">
        <v>0</v>
      </c>
      <c r="AX1121" s="140">
        <v>0</v>
      </c>
      <c r="AY1121" s="140">
        <v>0</v>
      </c>
      <c r="AZ1121" s="140">
        <v>0</v>
      </c>
      <c r="BA1121" s="140">
        <v>62</v>
      </c>
      <c r="BB1121" s="140">
        <v>0</v>
      </c>
      <c r="BC1121" s="140">
        <v>0</v>
      </c>
      <c r="BD1121" s="140">
        <v>0</v>
      </c>
      <c r="BE1121" s="140">
        <v>0</v>
      </c>
      <c r="BF1121" s="140">
        <v>0</v>
      </c>
      <c r="BG1121" s="140">
        <v>0</v>
      </c>
      <c r="BH1121" s="140">
        <v>0</v>
      </c>
      <c r="BI1121" s="140">
        <v>0</v>
      </c>
      <c r="BJ1121" s="140">
        <v>0</v>
      </c>
      <c r="BK1121" s="140">
        <v>0</v>
      </c>
      <c r="BL1121" s="140">
        <v>0</v>
      </c>
      <c r="BM1121" s="140">
        <v>0</v>
      </c>
      <c r="BN1121" s="140">
        <v>0</v>
      </c>
      <c r="BO1121" s="140">
        <v>0</v>
      </c>
      <c r="BP1121" s="43" t="s">
        <v>141</v>
      </c>
      <c r="BQ1121" s="89"/>
      <c r="BU1121" s="89"/>
      <c r="BX1121" s="43">
        <v>20</v>
      </c>
      <c r="CI1121" s="90">
        <f t="shared" si="156"/>
        <v>5.166666666666667</v>
      </c>
      <c r="CJ1121" s="90">
        <f t="shared" si="156"/>
        <v>5.166666666666667</v>
      </c>
      <c r="CK1121" s="90">
        <f t="shared" si="156"/>
        <v>5.166666666666667</v>
      </c>
      <c r="CL1121" s="90">
        <f t="shared" si="156"/>
        <v>5.166666666666667</v>
      </c>
      <c r="CM1121" s="90">
        <f t="shared" si="156"/>
        <v>5.166666666666667</v>
      </c>
      <c r="CN1121" s="90">
        <f t="shared" si="156"/>
        <v>5.166666666666667</v>
      </c>
      <c r="CO1121" s="90">
        <f t="shared" si="156"/>
        <v>5.166666666666667</v>
      </c>
      <c r="CP1121" s="90">
        <f t="shared" si="156"/>
        <v>5.166666666666667</v>
      </c>
      <c r="CQ1121" s="90">
        <f t="shared" si="156"/>
        <v>5.166666666666667</v>
      </c>
      <c r="CR1121" s="90">
        <f t="shared" si="156"/>
        <v>5.166666666666667</v>
      </c>
      <c r="CS1121" s="90">
        <f t="shared" si="156"/>
        <v>5.166666666666667</v>
      </c>
      <c r="CT1121" s="90">
        <f t="shared" si="148"/>
        <v>0</v>
      </c>
      <c r="CU1121" s="90">
        <f t="shared" si="149"/>
        <v>5.166666666666667</v>
      </c>
    </row>
    <row r="1122" spans="1:99" ht="12" customHeight="1">
      <c r="A1122" s="43">
        <v>6864</v>
      </c>
      <c r="B1122" s="89" t="s">
        <v>2923</v>
      </c>
      <c r="C1122" s="89" t="s">
        <v>2950</v>
      </c>
      <c r="D1122" s="89" t="s">
        <v>2951</v>
      </c>
      <c r="F1122" s="43">
        <v>527562</v>
      </c>
      <c r="G1122" s="43">
        <v>171554</v>
      </c>
      <c r="H1122" s="89" t="s">
        <v>172</v>
      </c>
      <c r="K1122" s="140">
        <v>0</v>
      </c>
      <c r="L1122" s="140">
        <v>42</v>
      </c>
      <c r="M1122" s="140">
        <v>42</v>
      </c>
      <c r="N1122" s="140">
        <v>315</v>
      </c>
      <c r="O1122" s="140">
        <v>315</v>
      </c>
      <c r="P1122" s="43" t="s">
        <v>329</v>
      </c>
      <c r="Q1122" s="89" t="s">
        <v>2926</v>
      </c>
      <c r="R1122" s="43" t="s">
        <v>2927</v>
      </c>
      <c r="V1122" s="43" t="s">
        <v>317</v>
      </c>
      <c r="X1122" s="43" t="s">
        <v>318</v>
      </c>
      <c r="Y1122" s="43" t="s">
        <v>361</v>
      </c>
      <c r="Z1122" s="43" t="s">
        <v>361</v>
      </c>
      <c r="AA1122" s="43" t="s">
        <v>320</v>
      </c>
      <c r="AB1122" s="144">
        <v>0</v>
      </c>
      <c r="AF1122" s="43" t="s">
        <v>54</v>
      </c>
      <c r="AG1122" s="43" t="s">
        <v>399</v>
      </c>
      <c r="AH1122" s="43" t="s">
        <v>1022</v>
      </c>
      <c r="AI1122" s="43">
        <v>17320280</v>
      </c>
      <c r="AJ1122" s="140">
        <v>0</v>
      </c>
      <c r="AK1122" s="140">
        <v>0</v>
      </c>
      <c r="AL1122" s="140">
        <v>0</v>
      </c>
      <c r="AM1122" s="140">
        <v>0</v>
      </c>
      <c r="AN1122" s="140">
        <v>0</v>
      </c>
      <c r="AO1122" s="140">
        <v>0</v>
      </c>
      <c r="AP1122" s="140">
        <v>0</v>
      </c>
      <c r="AQ1122" s="140">
        <v>0</v>
      </c>
      <c r="AR1122" s="140">
        <v>0</v>
      </c>
      <c r="AS1122" s="140">
        <v>0</v>
      </c>
      <c r="AT1122" s="140">
        <v>42</v>
      </c>
      <c r="AU1122" s="140">
        <v>0</v>
      </c>
      <c r="AV1122" s="140">
        <v>0</v>
      </c>
      <c r="AW1122" s="140">
        <v>0</v>
      </c>
      <c r="AX1122" s="140">
        <v>0</v>
      </c>
      <c r="AY1122" s="140">
        <v>0</v>
      </c>
      <c r="AZ1122" s="140">
        <v>0</v>
      </c>
      <c r="BA1122" s="140">
        <v>42</v>
      </c>
      <c r="BB1122" s="140">
        <v>0</v>
      </c>
      <c r="BC1122" s="140">
        <v>0</v>
      </c>
      <c r="BD1122" s="140">
        <v>0</v>
      </c>
      <c r="BE1122" s="140">
        <v>0</v>
      </c>
      <c r="BF1122" s="140">
        <v>0</v>
      </c>
      <c r="BG1122" s="140">
        <v>0</v>
      </c>
      <c r="BH1122" s="140">
        <v>0</v>
      </c>
      <c r="BI1122" s="140">
        <v>0</v>
      </c>
      <c r="BJ1122" s="140">
        <v>0</v>
      </c>
      <c r="BK1122" s="140">
        <v>0</v>
      </c>
      <c r="BL1122" s="140">
        <v>0</v>
      </c>
      <c r="BM1122" s="140">
        <v>0</v>
      </c>
      <c r="BN1122" s="140">
        <v>0</v>
      </c>
      <c r="BO1122" s="140">
        <v>0</v>
      </c>
      <c r="BP1122" s="43" t="s">
        <v>141</v>
      </c>
      <c r="BQ1122" s="89"/>
      <c r="BU1122" s="89"/>
      <c r="BX1122" s="43">
        <v>20</v>
      </c>
      <c r="CI1122" s="90">
        <f t="shared" si="156"/>
        <v>3.5</v>
      </c>
      <c r="CJ1122" s="90">
        <f t="shared" si="156"/>
        <v>3.5</v>
      </c>
      <c r="CK1122" s="90">
        <f t="shared" si="156"/>
        <v>3.5</v>
      </c>
      <c r="CL1122" s="90">
        <f t="shared" si="156"/>
        <v>3.5</v>
      </c>
      <c r="CM1122" s="90">
        <f t="shared" si="156"/>
        <v>3.5</v>
      </c>
      <c r="CN1122" s="90">
        <f t="shared" si="156"/>
        <v>3.5</v>
      </c>
      <c r="CO1122" s="90">
        <f t="shared" si="156"/>
        <v>3.5</v>
      </c>
      <c r="CP1122" s="90">
        <f t="shared" si="156"/>
        <v>3.5</v>
      </c>
      <c r="CQ1122" s="90">
        <f t="shared" si="156"/>
        <v>3.5</v>
      </c>
      <c r="CR1122" s="90">
        <f t="shared" si="156"/>
        <v>3.5</v>
      </c>
      <c r="CS1122" s="90">
        <f t="shared" si="156"/>
        <v>3.5</v>
      </c>
      <c r="CT1122" s="90">
        <f t="shared" si="148"/>
        <v>0</v>
      </c>
      <c r="CU1122" s="90">
        <f t="shared" si="149"/>
        <v>3.5</v>
      </c>
    </row>
    <row r="1123" spans="1:99" ht="12" customHeight="1">
      <c r="A1123" s="43">
        <v>6865</v>
      </c>
      <c r="B1123" s="89" t="s">
        <v>2923</v>
      </c>
      <c r="C1123" s="89" t="s">
        <v>2952</v>
      </c>
      <c r="D1123" s="89" t="s">
        <v>2953</v>
      </c>
      <c r="F1123" s="43">
        <v>527052</v>
      </c>
      <c r="G1123" s="43">
        <v>171137</v>
      </c>
      <c r="H1123" s="89" t="s">
        <v>141</v>
      </c>
      <c r="K1123" s="140">
        <v>0</v>
      </c>
      <c r="L1123" s="140">
        <v>103</v>
      </c>
      <c r="M1123" s="140">
        <v>103</v>
      </c>
      <c r="N1123" s="140">
        <v>153</v>
      </c>
      <c r="O1123" s="140">
        <v>153</v>
      </c>
      <c r="P1123" s="43" t="s">
        <v>329</v>
      </c>
      <c r="Q1123" s="89" t="s">
        <v>2926</v>
      </c>
      <c r="R1123" s="43" t="s">
        <v>2927</v>
      </c>
      <c r="V1123" s="43" t="s">
        <v>317</v>
      </c>
      <c r="X1123" s="43" t="s">
        <v>318</v>
      </c>
      <c r="Y1123" s="43" t="s">
        <v>361</v>
      </c>
      <c r="Z1123" s="43" t="s">
        <v>361</v>
      </c>
      <c r="AA1123" s="43" t="s">
        <v>320</v>
      </c>
      <c r="AB1123" s="144">
        <v>0</v>
      </c>
      <c r="AF1123" s="43" t="s">
        <v>75</v>
      </c>
      <c r="AG1123" s="43" t="s">
        <v>322</v>
      </c>
      <c r="AH1123" s="43" t="s">
        <v>2954</v>
      </c>
      <c r="AI1123" s="43">
        <v>17320189</v>
      </c>
      <c r="AJ1123" s="140">
        <v>0</v>
      </c>
      <c r="AK1123" s="140">
        <v>0</v>
      </c>
      <c r="AL1123" s="140">
        <v>0</v>
      </c>
      <c r="AM1123" s="140">
        <v>0</v>
      </c>
      <c r="AN1123" s="140">
        <v>0</v>
      </c>
      <c r="AO1123" s="140">
        <v>0</v>
      </c>
      <c r="AP1123" s="140">
        <v>0</v>
      </c>
      <c r="AQ1123" s="140">
        <v>0</v>
      </c>
      <c r="AR1123" s="140">
        <v>0</v>
      </c>
      <c r="AS1123" s="140">
        <v>0</v>
      </c>
      <c r="AT1123" s="140">
        <v>103</v>
      </c>
      <c r="AU1123" s="140">
        <v>0</v>
      </c>
      <c r="AV1123" s="140">
        <v>0</v>
      </c>
      <c r="AW1123" s="140">
        <v>0</v>
      </c>
      <c r="AX1123" s="140">
        <v>0</v>
      </c>
      <c r="AY1123" s="140">
        <v>0</v>
      </c>
      <c r="AZ1123" s="140">
        <v>0</v>
      </c>
      <c r="BA1123" s="140">
        <v>103</v>
      </c>
      <c r="BB1123" s="140">
        <v>0</v>
      </c>
      <c r="BC1123" s="140">
        <v>0</v>
      </c>
      <c r="BD1123" s="140">
        <v>0</v>
      </c>
      <c r="BE1123" s="140">
        <v>0</v>
      </c>
      <c r="BF1123" s="140">
        <v>0</v>
      </c>
      <c r="BG1123" s="140">
        <v>0</v>
      </c>
      <c r="BH1123" s="140">
        <v>0</v>
      </c>
      <c r="BI1123" s="140">
        <v>0</v>
      </c>
      <c r="BJ1123" s="140">
        <v>0</v>
      </c>
      <c r="BK1123" s="140">
        <v>0</v>
      </c>
      <c r="BL1123" s="140">
        <v>0</v>
      </c>
      <c r="BM1123" s="140">
        <v>0</v>
      </c>
      <c r="BN1123" s="140">
        <v>0</v>
      </c>
      <c r="BO1123" s="140">
        <v>0</v>
      </c>
      <c r="BQ1123" s="89"/>
      <c r="BU1123" s="89"/>
      <c r="BX1123" s="43">
        <v>20</v>
      </c>
      <c r="CE1123" s="90">
        <f t="shared" ref="CE1123:CS1125" si="157">$M1123/16</f>
        <v>6.4375</v>
      </c>
      <c r="CF1123" s="90">
        <f t="shared" si="157"/>
        <v>6.4375</v>
      </c>
      <c r="CG1123" s="90">
        <f t="shared" si="157"/>
        <v>6.4375</v>
      </c>
      <c r="CH1123" s="90">
        <f t="shared" si="157"/>
        <v>6.4375</v>
      </c>
      <c r="CI1123" s="90">
        <f t="shared" si="157"/>
        <v>6.4375</v>
      </c>
      <c r="CJ1123" s="90">
        <f t="shared" si="157"/>
        <v>6.4375</v>
      </c>
      <c r="CK1123" s="90">
        <f t="shared" si="157"/>
        <v>6.4375</v>
      </c>
      <c r="CL1123" s="90">
        <f t="shared" si="157"/>
        <v>6.4375</v>
      </c>
      <c r="CM1123" s="90">
        <f t="shared" si="157"/>
        <v>6.4375</v>
      </c>
      <c r="CN1123" s="90">
        <f t="shared" si="157"/>
        <v>6.4375</v>
      </c>
      <c r="CO1123" s="90">
        <f t="shared" si="157"/>
        <v>6.4375</v>
      </c>
      <c r="CP1123" s="90">
        <f t="shared" si="157"/>
        <v>6.4375</v>
      </c>
      <c r="CQ1123" s="90">
        <f t="shared" si="157"/>
        <v>6.4375</v>
      </c>
      <c r="CR1123" s="90">
        <f t="shared" si="157"/>
        <v>6.4375</v>
      </c>
      <c r="CS1123" s="90">
        <f t="shared" si="157"/>
        <v>6.4375</v>
      </c>
      <c r="CT1123" s="90">
        <f t="shared" si="148"/>
        <v>0</v>
      </c>
      <c r="CU1123" s="90">
        <f t="shared" si="149"/>
        <v>32.1875</v>
      </c>
    </row>
    <row r="1124" spans="1:99" ht="12" customHeight="1">
      <c r="A1124" s="43">
        <v>6865</v>
      </c>
      <c r="B1124" s="89" t="s">
        <v>2923</v>
      </c>
      <c r="C1124" s="89" t="s">
        <v>2952</v>
      </c>
      <c r="D1124" s="89" t="s">
        <v>2953</v>
      </c>
      <c r="F1124" s="43">
        <v>527052</v>
      </c>
      <c r="G1124" s="43">
        <v>171137</v>
      </c>
      <c r="H1124" s="89" t="s">
        <v>141</v>
      </c>
      <c r="K1124" s="140">
        <v>0</v>
      </c>
      <c r="L1124" s="140">
        <v>30</v>
      </c>
      <c r="M1124" s="140">
        <v>30</v>
      </c>
      <c r="N1124" s="140">
        <v>153</v>
      </c>
      <c r="O1124" s="140">
        <v>153</v>
      </c>
      <c r="P1124" s="43" t="s">
        <v>329</v>
      </c>
      <c r="Q1124" s="89" t="s">
        <v>2926</v>
      </c>
      <c r="R1124" s="43" t="s">
        <v>2927</v>
      </c>
      <c r="V1124" s="43" t="s">
        <v>317</v>
      </c>
      <c r="X1124" s="43" t="s">
        <v>318</v>
      </c>
      <c r="Y1124" s="43" t="s">
        <v>361</v>
      </c>
      <c r="Z1124" s="43" t="s">
        <v>361</v>
      </c>
      <c r="AA1124" s="43" t="s">
        <v>320</v>
      </c>
      <c r="AB1124" s="144">
        <v>0</v>
      </c>
      <c r="AF1124" s="43" t="s">
        <v>55</v>
      </c>
      <c r="AG1124" s="43" t="s">
        <v>457</v>
      </c>
      <c r="AH1124" s="43" t="s">
        <v>2954</v>
      </c>
      <c r="AI1124" s="43">
        <v>17320189</v>
      </c>
      <c r="AJ1124" s="140">
        <v>0</v>
      </c>
      <c r="AK1124" s="140">
        <v>0</v>
      </c>
      <c r="AL1124" s="140">
        <v>0</v>
      </c>
      <c r="AM1124" s="140">
        <v>0</v>
      </c>
      <c r="AN1124" s="140">
        <v>0</v>
      </c>
      <c r="AO1124" s="140">
        <v>0</v>
      </c>
      <c r="AP1124" s="140">
        <v>0</v>
      </c>
      <c r="AQ1124" s="140">
        <v>0</v>
      </c>
      <c r="AR1124" s="140">
        <v>0</v>
      </c>
      <c r="AS1124" s="140">
        <v>0</v>
      </c>
      <c r="AT1124" s="140">
        <v>30</v>
      </c>
      <c r="AU1124" s="140">
        <v>0</v>
      </c>
      <c r="AV1124" s="140">
        <v>0</v>
      </c>
      <c r="AW1124" s="140">
        <v>0</v>
      </c>
      <c r="AX1124" s="140">
        <v>0</v>
      </c>
      <c r="AY1124" s="140">
        <v>0</v>
      </c>
      <c r="AZ1124" s="140">
        <v>0</v>
      </c>
      <c r="BA1124" s="140">
        <v>30</v>
      </c>
      <c r="BB1124" s="140">
        <v>0</v>
      </c>
      <c r="BC1124" s="140">
        <v>0</v>
      </c>
      <c r="BD1124" s="140">
        <v>0</v>
      </c>
      <c r="BE1124" s="140">
        <v>0</v>
      </c>
      <c r="BF1124" s="140">
        <v>0</v>
      </c>
      <c r="BG1124" s="140">
        <v>0</v>
      </c>
      <c r="BH1124" s="140">
        <v>0</v>
      </c>
      <c r="BI1124" s="140">
        <v>0</v>
      </c>
      <c r="BJ1124" s="140">
        <v>0</v>
      </c>
      <c r="BK1124" s="140">
        <v>0</v>
      </c>
      <c r="BL1124" s="140">
        <v>0</v>
      </c>
      <c r="BM1124" s="140">
        <v>0</v>
      </c>
      <c r="BN1124" s="140">
        <v>0</v>
      </c>
      <c r="BO1124" s="140">
        <v>0</v>
      </c>
      <c r="BQ1124" s="89"/>
      <c r="BU1124" s="89"/>
      <c r="BX1124" s="43">
        <v>20</v>
      </c>
      <c r="CE1124" s="90">
        <f t="shared" si="157"/>
        <v>1.875</v>
      </c>
      <c r="CF1124" s="90">
        <f t="shared" si="157"/>
        <v>1.875</v>
      </c>
      <c r="CG1124" s="90">
        <f t="shared" si="157"/>
        <v>1.875</v>
      </c>
      <c r="CH1124" s="90">
        <f t="shared" si="157"/>
        <v>1.875</v>
      </c>
      <c r="CI1124" s="90">
        <f t="shared" si="157"/>
        <v>1.875</v>
      </c>
      <c r="CJ1124" s="90">
        <f t="shared" si="157"/>
        <v>1.875</v>
      </c>
      <c r="CK1124" s="90">
        <f t="shared" si="157"/>
        <v>1.875</v>
      </c>
      <c r="CL1124" s="90">
        <f t="shared" si="157"/>
        <v>1.875</v>
      </c>
      <c r="CM1124" s="90">
        <f t="shared" si="157"/>
        <v>1.875</v>
      </c>
      <c r="CN1124" s="90">
        <f t="shared" si="157"/>
        <v>1.875</v>
      </c>
      <c r="CO1124" s="90">
        <f t="shared" si="157"/>
        <v>1.875</v>
      </c>
      <c r="CP1124" s="90">
        <f t="shared" si="157"/>
        <v>1.875</v>
      </c>
      <c r="CQ1124" s="90">
        <f t="shared" si="157"/>
        <v>1.875</v>
      </c>
      <c r="CR1124" s="90">
        <f t="shared" si="157"/>
        <v>1.875</v>
      </c>
      <c r="CS1124" s="90">
        <f t="shared" si="157"/>
        <v>1.875</v>
      </c>
      <c r="CT1124" s="90">
        <f t="shared" si="148"/>
        <v>0</v>
      </c>
      <c r="CU1124" s="90">
        <f t="shared" si="149"/>
        <v>9.375</v>
      </c>
    </row>
    <row r="1125" spans="1:99" ht="12" customHeight="1">
      <c r="A1125" s="43">
        <v>6865</v>
      </c>
      <c r="B1125" s="89" t="s">
        <v>2923</v>
      </c>
      <c r="C1125" s="89" t="s">
        <v>2952</v>
      </c>
      <c r="D1125" s="89" t="s">
        <v>2953</v>
      </c>
      <c r="F1125" s="43">
        <v>527052</v>
      </c>
      <c r="G1125" s="43">
        <v>171137</v>
      </c>
      <c r="H1125" s="89" t="s">
        <v>141</v>
      </c>
      <c r="K1125" s="140">
        <v>0</v>
      </c>
      <c r="L1125" s="140">
        <v>20</v>
      </c>
      <c r="M1125" s="140">
        <v>20</v>
      </c>
      <c r="N1125" s="140">
        <v>153</v>
      </c>
      <c r="O1125" s="140">
        <v>153</v>
      </c>
      <c r="P1125" s="43" t="s">
        <v>329</v>
      </c>
      <c r="Q1125" s="89" t="s">
        <v>2926</v>
      </c>
      <c r="R1125" s="43" t="s">
        <v>2927</v>
      </c>
      <c r="V1125" s="43" t="s">
        <v>317</v>
      </c>
      <c r="X1125" s="43" t="s">
        <v>318</v>
      </c>
      <c r="Y1125" s="43" t="s">
        <v>361</v>
      </c>
      <c r="Z1125" s="43" t="s">
        <v>361</v>
      </c>
      <c r="AA1125" s="43" t="s">
        <v>320</v>
      </c>
      <c r="AB1125" s="144">
        <v>0</v>
      </c>
      <c r="AF1125" s="43" t="s">
        <v>54</v>
      </c>
      <c r="AG1125" s="43" t="s">
        <v>399</v>
      </c>
      <c r="AH1125" s="43" t="s">
        <v>2954</v>
      </c>
      <c r="AI1125" s="43">
        <v>17320189</v>
      </c>
      <c r="AJ1125" s="140">
        <v>0</v>
      </c>
      <c r="AK1125" s="140">
        <v>0</v>
      </c>
      <c r="AL1125" s="140">
        <v>0</v>
      </c>
      <c r="AM1125" s="140">
        <v>0</v>
      </c>
      <c r="AN1125" s="140">
        <v>0</v>
      </c>
      <c r="AO1125" s="140">
        <v>0</v>
      </c>
      <c r="AP1125" s="140">
        <v>0</v>
      </c>
      <c r="AQ1125" s="140">
        <v>0</v>
      </c>
      <c r="AR1125" s="140">
        <v>0</v>
      </c>
      <c r="AS1125" s="140">
        <v>0</v>
      </c>
      <c r="AT1125" s="140">
        <v>20</v>
      </c>
      <c r="AU1125" s="140">
        <v>0</v>
      </c>
      <c r="AV1125" s="140">
        <v>0</v>
      </c>
      <c r="AW1125" s="140">
        <v>0</v>
      </c>
      <c r="AX1125" s="140">
        <v>0</v>
      </c>
      <c r="AY1125" s="140">
        <v>0</v>
      </c>
      <c r="AZ1125" s="140">
        <v>0</v>
      </c>
      <c r="BA1125" s="140">
        <v>20</v>
      </c>
      <c r="BB1125" s="140">
        <v>0</v>
      </c>
      <c r="BC1125" s="140">
        <v>0</v>
      </c>
      <c r="BD1125" s="140">
        <v>0</v>
      </c>
      <c r="BE1125" s="140">
        <v>0</v>
      </c>
      <c r="BF1125" s="140">
        <v>0</v>
      </c>
      <c r="BG1125" s="140">
        <v>0</v>
      </c>
      <c r="BH1125" s="140">
        <v>0</v>
      </c>
      <c r="BI1125" s="140">
        <v>0</v>
      </c>
      <c r="BJ1125" s="140">
        <v>0</v>
      </c>
      <c r="BK1125" s="140">
        <v>0</v>
      </c>
      <c r="BL1125" s="140">
        <v>0</v>
      </c>
      <c r="BM1125" s="140">
        <v>0</v>
      </c>
      <c r="BN1125" s="140">
        <v>0</v>
      </c>
      <c r="BO1125" s="140">
        <v>0</v>
      </c>
      <c r="BQ1125" s="89"/>
      <c r="BU1125" s="89"/>
      <c r="BX1125" s="43">
        <v>20</v>
      </c>
      <c r="CE1125" s="90">
        <f t="shared" si="157"/>
        <v>1.25</v>
      </c>
      <c r="CF1125" s="90">
        <f t="shared" si="157"/>
        <v>1.25</v>
      </c>
      <c r="CG1125" s="90">
        <f t="shared" si="157"/>
        <v>1.25</v>
      </c>
      <c r="CH1125" s="90">
        <f t="shared" si="157"/>
        <v>1.25</v>
      </c>
      <c r="CI1125" s="90">
        <f t="shared" si="157"/>
        <v>1.25</v>
      </c>
      <c r="CJ1125" s="90">
        <f t="shared" si="157"/>
        <v>1.25</v>
      </c>
      <c r="CK1125" s="90">
        <f t="shared" si="157"/>
        <v>1.25</v>
      </c>
      <c r="CL1125" s="90">
        <f t="shared" si="157"/>
        <v>1.25</v>
      </c>
      <c r="CM1125" s="90">
        <f t="shared" si="157"/>
        <v>1.25</v>
      </c>
      <c r="CN1125" s="90">
        <f t="shared" si="157"/>
        <v>1.25</v>
      </c>
      <c r="CO1125" s="90">
        <f t="shared" si="157"/>
        <v>1.25</v>
      </c>
      <c r="CP1125" s="90">
        <f t="shared" si="157"/>
        <v>1.25</v>
      </c>
      <c r="CQ1125" s="90">
        <f t="shared" si="157"/>
        <v>1.25</v>
      </c>
      <c r="CR1125" s="90">
        <f t="shared" si="157"/>
        <v>1.25</v>
      </c>
      <c r="CS1125" s="90">
        <f t="shared" si="157"/>
        <v>1.25</v>
      </c>
      <c r="CT1125" s="90">
        <f t="shared" si="148"/>
        <v>0</v>
      </c>
      <c r="CU1125" s="90">
        <f t="shared" si="149"/>
        <v>6.25</v>
      </c>
    </row>
    <row r="1126" spans="1:99" ht="12" customHeight="1">
      <c r="A1126" s="43">
        <v>6866</v>
      </c>
      <c r="B1126" s="89" t="s">
        <v>2923</v>
      </c>
      <c r="C1126" s="89" t="s">
        <v>2955</v>
      </c>
      <c r="D1126" s="89" t="s">
        <v>2956</v>
      </c>
      <c r="F1126" s="43">
        <v>528627</v>
      </c>
      <c r="G1126" s="43">
        <v>173224</v>
      </c>
      <c r="H1126" s="89" t="s">
        <v>138</v>
      </c>
      <c r="K1126" s="140">
        <v>0</v>
      </c>
      <c r="L1126" s="140">
        <v>54</v>
      </c>
      <c r="M1126" s="140">
        <v>54</v>
      </c>
      <c r="N1126" s="140">
        <v>81</v>
      </c>
      <c r="O1126" s="140">
        <v>81</v>
      </c>
      <c r="P1126" s="43" t="s">
        <v>329</v>
      </c>
      <c r="Q1126" s="89" t="s">
        <v>2926</v>
      </c>
      <c r="R1126" s="43" t="s">
        <v>2927</v>
      </c>
      <c r="V1126" s="43" t="s">
        <v>317</v>
      </c>
      <c r="X1126" s="43" t="s">
        <v>318</v>
      </c>
      <c r="Y1126" s="43" t="s">
        <v>361</v>
      </c>
      <c r="Z1126" s="43" t="s">
        <v>361</v>
      </c>
      <c r="AA1126" s="43" t="s">
        <v>320</v>
      </c>
      <c r="AB1126" s="144">
        <v>0</v>
      </c>
      <c r="AF1126" s="43" t="s">
        <v>75</v>
      </c>
      <c r="AG1126" s="43" t="s">
        <v>322</v>
      </c>
      <c r="AH1126" s="43" t="s">
        <v>2957</v>
      </c>
      <c r="AI1126" s="43">
        <v>17320339</v>
      </c>
      <c r="AJ1126" s="140">
        <v>0</v>
      </c>
      <c r="AK1126" s="140">
        <v>0</v>
      </c>
      <c r="AL1126" s="140">
        <v>0</v>
      </c>
      <c r="AM1126" s="140">
        <v>0</v>
      </c>
      <c r="AN1126" s="140">
        <v>0</v>
      </c>
      <c r="AO1126" s="140">
        <v>0</v>
      </c>
      <c r="AP1126" s="140">
        <v>0</v>
      </c>
      <c r="AQ1126" s="140">
        <v>0</v>
      </c>
      <c r="AR1126" s="140">
        <v>0</v>
      </c>
      <c r="AS1126" s="140">
        <v>0</v>
      </c>
      <c r="AT1126" s="140">
        <v>54</v>
      </c>
      <c r="AU1126" s="140">
        <v>0</v>
      </c>
      <c r="AV1126" s="140">
        <v>0</v>
      </c>
      <c r="AW1126" s="140">
        <v>0</v>
      </c>
      <c r="AX1126" s="140">
        <v>0</v>
      </c>
      <c r="AY1126" s="140">
        <v>0</v>
      </c>
      <c r="AZ1126" s="140">
        <v>0</v>
      </c>
      <c r="BA1126" s="140">
        <v>54</v>
      </c>
      <c r="BB1126" s="140">
        <v>0</v>
      </c>
      <c r="BC1126" s="140">
        <v>0</v>
      </c>
      <c r="BD1126" s="140">
        <v>0</v>
      </c>
      <c r="BE1126" s="140">
        <v>0</v>
      </c>
      <c r="BF1126" s="140">
        <v>0</v>
      </c>
      <c r="BG1126" s="140">
        <v>0</v>
      </c>
      <c r="BH1126" s="140">
        <v>0</v>
      </c>
      <c r="BI1126" s="140">
        <v>0</v>
      </c>
      <c r="BJ1126" s="140">
        <v>0</v>
      </c>
      <c r="BK1126" s="140">
        <v>0</v>
      </c>
      <c r="BL1126" s="140">
        <v>0</v>
      </c>
      <c r="BM1126" s="140">
        <v>0</v>
      </c>
      <c r="BN1126" s="140">
        <v>0</v>
      </c>
      <c r="BO1126" s="140">
        <v>0</v>
      </c>
      <c r="BP1126" s="43" t="s">
        <v>138</v>
      </c>
      <c r="BQ1126" s="89"/>
      <c r="BU1126" s="89"/>
      <c r="BX1126" s="43">
        <v>20</v>
      </c>
      <c r="CI1126" s="90">
        <f t="shared" ref="CI1126:CS1129" si="158">$M1126/12</f>
        <v>4.5</v>
      </c>
      <c r="CJ1126" s="90">
        <f t="shared" si="158"/>
        <v>4.5</v>
      </c>
      <c r="CK1126" s="90">
        <f t="shared" si="158"/>
        <v>4.5</v>
      </c>
      <c r="CL1126" s="90">
        <f t="shared" si="158"/>
        <v>4.5</v>
      </c>
      <c r="CM1126" s="90">
        <f t="shared" si="158"/>
        <v>4.5</v>
      </c>
      <c r="CN1126" s="90">
        <f t="shared" si="158"/>
        <v>4.5</v>
      </c>
      <c r="CO1126" s="90">
        <f t="shared" si="158"/>
        <v>4.5</v>
      </c>
      <c r="CP1126" s="90">
        <f t="shared" si="158"/>
        <v>4.5</v>
      </c>
      <c r="CQ1126" s="90">
        <f t="shared" si="158"/>
        <v>4.5</v>
      </c>
      <c r="CR1126" s="90">
        <f t="shared" si="158"/>
        <v>4.5</v>
      </c>
      <c r="CS1126" s="90">
        <f t="shared" si="158"/>
        <v>4.5</v>
      </c>
      <c r="CT1126" s="90">
        <f t="shared" si="148"/>
        <v>0</v>
      </c>
      <c r="CU1126" s="90">
        <f t="shared" si="149"/>
        <v>4.5</v>
      </c>
    </row>
    <row r="1127" spans="1:99" ht="12" customHeight="1">
      <c r="A1127" s="43">
        <v>6866</v>
      </c>
      <c r="B1127" s="89" t="s">
        <v>2923</v>
      </c>
      <c r="C1127" s="89" t="s">
        <v>2955</v>
      </c>
      <c r="D1127" s="89" t="s">
        <v>2956</v>
      </c>
      <c r="F1127" s="43">
        <v>528627</v>
      </c>
      <c r="G1127" s="43">
        <v>173224</v>
      </c>
      <c r="H1127" s="89" t="s">
        <v>138</v>
      </c>
      <c r="K1127" s="140">
        <v>0</v>
      </c>
      <c r="L1127" s="140">
        <v>16</v>
      </c>
      <c r="M1127" s="140">
        <v>16</v>
      </c>
      <c r="N1127" s="140">
        <v>81</v>
      </c>
      <c r="O1127" s="140">
        <v>81</v>
      </c>
      <c r="P1127" s="43" t="s">
        <v>329</v>
      </c>
      <c r="Q1127" s="89" t="s">
        <v>2926</v>
      </c>
      <c r="R1127" s="43" t="s">
        <v>2927</v>
      </c>
      <c r="V1127" s="43" t="s">
        <v>317</v>
      </c>
      <c r="X1127" s="43" t="s">
        <v>318</v>
      </c>
      <c r="Y1127" s="43" t="s">
        <v>361</v>
      </c>
      <c r="Z1127" s="43" t="s">
        <v>361</v>
      </c>
      <c r="AA1127" s="43" t="s">
        <v>320</v>
      </c>
      <c r="AB1127" s="144">
        <v>0</v>
      </c>
      <c r="AF1127" s="43" t="s">
        <v>55</v>
      </c>
      <c r="AG1127" s="43" t="s">
        <v>457</v>
      </c>
      <c r="AH1127" s="43" t="s">
        <v>2957</v>
      </c>
      <c r="AI1127" s="43">
        <v>17320339</v>
      </c>
      <c r="AJ1127" s="140">
        <v>0</v>
      </c>
      <c r="AK1127" s="140">
        <v>0</v>
      </c>
      <c r="AL1127" s="140">
        <v>0</v>
      </c>
      <c r="AM1127" s="140">
        <v>0</v>
      </c>
      <c r="AN1127" s="140">
        <v>0</v>
      </c>
      <c r="AO1127" s="140">
        <v>0</v>
      </c>
      <c r="AP1127" s="140">
        <v>0</v>
      </c>
      <c r="AQ1127" s="140">
        <v>0</v>
      </c>
      <c r="AR1127" s="140">
        <v>0</v>
      </c>
      <c r="AS1127" s="140">
        <v>0</v>
      </c>
      <c r="AT1127" s="140">
        <v>16</v>
      </c>
      <c r="AU1127" s="140">
        <v>0</v>
      </c>
      <c r="AV1127" s="140">
        <v>0</v>
      </c>
      <c r="AW1127" s="140">
        <v>0</v>
      </c>
      <c r="AX1127" s="140">
        <v>0</v>
      </c>
      <c r="AY1127" s="140">
        <v>0</v>
      </c>
      <c r="AZ1127" s="140">
        <v>0</v>
      </c>
      <c r="BA1127" s="140">
        <v>16</v>
      </c>
      <c r="BB1127" s="140">
        <v>0</v>
      </c>
      <c r="BC1127" s="140">
        <v>0</v>
      </c>
      <c r="BD1127" s="140">
        <v>0</v>
      </c>
      <c r="BE1127" s="140">
        <v>0</v>
      </c>
      <c r="BF1127" s="140">
        <v>0</v>
      </c>
      <c r="BG1127" s="140">
        <v>0</v>
      </c>
      <c r="BH1127" s="140">
        <v>0</v>
      </c>
      <c r="BI1127" s="140">
        <v>0</v>
      </c>
      <c r="BJ1127" s="140">
        <v>0</v>
      </c>
      <c r="BK1127" s="140">
        <v>0</v>
      </c>
      <c r="BL1127" s="140">
        <v>0</v>
      </c>
      <c r="BM1127" s="140">
        <v>0</v>
      </c>
      <c r="BN1127" s="140">
        <v>0</v>
      </c>
      <c r="BO1127" s="140">
        <v>0</v>
      </c>
      <c r="BP1127" s="43" t="s">
        <v>138</v>
      </c>
      <c r="BQ1127" s="89"/>
      <c r="BU1127" s="89"/>
      <c r="BX1127" s="43">
        <v>20</v>
      </c>
      <c r="CI1127" s="90">
        <f t="shared" si="158"/>
        <v>1.3333333333333333</v>
      </c>
      <c r="CJ1127" s="90">
        <f t="shared" si="158"/>
        <v>1.3333333333333333</v>
      </c>
      <c r="CK1127" s="90">
        <f t="shared" si="158"/>
        <v>1.3333333333333333</v>
      </c>
      <c r="CL1127" s="90">
        <f t="shared" si="158"/>
        <v>1.3333333333333333</v>
      </c>
      <c r="CM1127" s="90">
        <f t="shared" si="158"/>
        <v>1.3333333333333333</v>
      </c>
      <c r="CN1127" s="90">
        <f t="shared" si="158"/>
        <v>1.3333333333333333</v>
      </c>
      <c r="CO1127" s="90">
        <f t="shared" si="158"/>
        <v>1.3333333333333333</v>
      </c>
      <c r="CP1127" s="90">
        <f t="shared" si="158"/>
        <v>1.3333333333333333</v>
      </c>
      <c r="CQ1127" s="90">
        <f t="shared" si="158"/>
        <v>1.3333333333333333</v>
      </c>
      <c r="CR1127" s="90">
        <f t="shared" si="158"/>
        <v>1.3333333333333333</v>
      </c>
      <c r="CS1127" s="90">
        <f t="shared" si="158"/>
        <v>1.3333333333333333</v>
      </c>
      <c r="CT1127" s="90">
        <f t="shared" si="148"/>
        <v>0</v>
      </c>
      <c r="CU1127" s="90">
        <f t="shared" si="149"/>
        <v>1.3333333333333333</v>
      </c>
    </row>
    <row r="1128" spans="1:99" ht="12" customHeight="1">
      <c r="A1128" s="43">
        <v>6866</v>
      </c>
      <c r="B1128" s="89" t="s">
        <v>2923</v>
      </c>
      <c r="C1128" s="89" t="s">
        <v>2955</v>
      </c>
      <c r="D1128" s="89" t="s">
        <v>2956</v>
      </c>
      <c r="F1128" s="43">
        <v>528627</v>
      </c>
      <c r="G1128" s="43">
        <v>173224</v>
      </c>
      <c r="H1128" s="89" t="s">
        <v>138</v>
      </c>
      <c r="K1128" s="140">
        <v>0</v>
      </c>
      <c r="L1128" s="140">
        <v>11</v>
      </c>
      <c r="M1128" s="140">
        <v>11</v>
      </c>
      <c r="N1128" s="140">
        <v>81</v>
      </c>
      <c r="O1128" s="140">
        <v>81</v>
      </c>
      <c r="P1128" s="43" t="s">
        <v>329</v>
      </c>
      <c r="Q1128" s="89" t="s">
        <v>2926</v>
      </c>
      <c r="R1128" s="43" t="s">
        <v>2927</v>
      </c>
      <c r="V1128" s="43" t="s">
        <v>317</v>
      </c>
      <c r="X1128" s="43" t="s">
        <v>318</v>
      </c>
      <c r="Y1128" s="43" t="s">
        <v>361</v>
      </c>
      <c r="Z1128" s="43" t="s">
        <v>361</v>
      </c>
      <c r="AA1128" s="43" t="s">
        <v>320</v>
      </c>
      <c r="AB1128" s="144">
        <v>0</v>
      </c>
      <c r="AF1128" s="43" t="s">
        <v>54</v>
      </c>
      <c r="AG1128" s="43" t="s">
        <v>399</v>
      </c>
      <c r="AH1128" s="43" t="s">
        <v>2957</v>
      </c>
      <c r="AI1128" s="43">
        <v>17320339</v>
      </c>
      <c r="AJ1128" s="140">
        <v>0</v>
      </c>
      <c r="AK1128" s="140">
        <v>0</v>
      </c>
      <c r="AL1128" s="140">
        <v>0</v>
      </c>
      <c r="AM1128" s="140">
        <v>0</v>
      </c>
      <c r="AN1128" s="140">
        <v>0</v>
      </c>
      <c r="AO1128" s="140">
        <v>0</v>
      </c>
      <c r="AP1128" s="140">
        <v>0</v>
      </c>
      <c r="AQ1128" s="140">
        <v>0</v>
      </c>
      <c r="AR1128" s="140">
        <v>0</v>
      </c>
      <c r="AS1128" s="140">
        <v>0</v>
      </c>
      <c r="AT1128" s="140">
        <v>11</v>
      </c>
      <c r="AU1128" s="140">
        <v>0</v>
      </c>
      <c r="AV1128" s="140">
        <v>0</v>
      </c>
      <c r="AW1128" s="140">
        <v>0</v>
      </c>
      <c r="AX1128" s="140">
        <v>0</v>
      </c>
      <c r="AY1128" s="140">
        <v>0</v>
      </c>
      <c r="AZ1128" s="140">
        <v>0</v>
      </c>
      <c r="BA1128" s="140">
        <v>11</v>
      </c>
      <c r="BB1128" s="140">
        <v>0</v>
      </c>
      <c r="BC1128" s="140">
        <v>0</v>
      </c>
      <c r="BD1128" s="140">
        <v>0</v>
      </c>
      <c r="BE1128" s="140">
        <v>0</v>
      </c>
      <c r="BF1128" s="140">
        <v>0</v>
      </c>
      <c r="BG1128" s="140">
        <v>0</v>
      </c>
      <c r="BH1128" s="140">
        <v>0</v>
      </c>
      <c r="BI1128" s="140">
        <v>0</v>
      </c>
      <c r="BJ1128" s="140">
        <v>0</v>
      </c>
      <c r="BK1128" s="140">
        <v>0</v>
      </c>
      <c r="BL1128" s="140">
        <v>0</v>
      </c>
      <c r="BM1128" s="140">
        <v>0</v>
      </c>
      <c r="BN1128" s="140">
        <v>0</v>
      </c>
      <c r="BO1128" s="140">
        <v>0</v>
      </c>
      <c r="BP1128" s="43" t="s">
        <v>138</v>
      </c>
      <c r="BQ1128" s="89"/>
      <c r="BU1128" s="89"/>
      <c r="BX1128" s="43">
        <v>20</v>
      </c>
      <c r="CI1128" s="90">
        <f t="shared" si="158"/>
        <v>0.91666666666666663</v>
      </c>
      <c r="CJ1128" s="90">
        <f t="shared" si="158"/>
        <v>0.91666666666666663</v>
      </c>
      <c r="CK1128" s="90">
        <f t="shared" si="158"/>
        <v>0.91666666666666663</v>
      </c>
      <c r="CL1128" s="90">
        <f t="shared" si="158"/>
        <v>0.91666666666666663</v>
      </c>
      <c r="CM1128" s="90">
        <f t="shared" si="158"/>
        <v>0.91666666666666663</v>
      </c>
      <c r="CN1128" s="90">
        <f t="shared" si="158"/>
        <v>0.91666666666666663</v>
      </c>
      <c r="CO1128" s="90">
        <f t="shared" si="158"/>
        <v>0.91666666666666663</v>
      </c>
      <c r="CP1128" s="90">
        <f t="shared" si="158"/>
        <v>0.91666666666666663</v>
      </c>
      <c r="CQ1128" s="90">
        <f t="shared" si="158"/>
        <v>0.91666666666666663</v>
      </c>
      <c r="CR1128" s="90">
        <f t="shared" si="158"/>
        <v>0.91666666666666663</v>
      </c>
      <c r="CS1128" s="90">
        <f t="shared" si="158"/>
        <v>0.91666666666666663</v>
      </c>
      <c r="CT1128" s="90">
        <f t="shared" si="148"/>
        <v>0</v>
      </c>
      <c r="CU1128" s="90">
        <f t="shared" si="149"/>
        <v>0.91666666666666663</v>
      </c>
    </row>
    <row r="1129" spans="1:99" ht="12" customHeight="1">
      <c r="A1129" s="43">
        <v>6867</v>
      </c>
      <c r="B1129" s="89" t="s">
        <v>2923</v>
      </c>
      <c r="C1129" s="89" t="s">
        <v>2958</v>
      </c>
      <c r="D1129" s="89" t="s">
        <v>2959</v>
      </c>
      <c r="F1129" s="43">
        <v>528366</v>
      </c>
      <c r="G1129" s="43">
        <v>176677</v>
      </c>
      <c r="H1129" s="89" t="s">
        <v>148</v>
      </c>
      <c r="K1129" s="140">
        <v>0</v>
      </c>
      <c r="L1129" s="140">
        <v>8</v>
      </c>
      <c r="M1129" s="140">
        <v>8</v>
      </c>
      <c r="N1129" s="140">
        <v>8</v>
      </c>
      <c r="O1129" s="140">
        <v>8</v>
      </c>
      <c r="Q1129" s="89" t="s">
        <v>2926</v>
      </c>
      <c r="R1129" s="43" t="s">
        <v>2927</v>
      </c>
      <c r="V1129" s="43" t="s">
        <v>317</v>
      </c>
      <c r="X1129" s="43" t="s">
        <v>318</v>
      </c>
      <c r="Y1129" s="43" t="s">
        <v>361</v>
      </c>
      <c r="Z1129" s="43" t="s">
        <v>320</v>
      </c>
      <c r="AA1129" s="43" t="s">
        <v>353</v>
      </c>
      <c r="AB1129" s="144">
        <v>0</v>
      </c>
      <c r="AF1129" s="43" t="s">
        <v>75</v>
      </c>
      <c r="AG1129" s="43" t="s">
        <v>322</v>
      </c>
      <c r="AH1129" s="43" t="s">
        <v>2960</v>
      </c>
      <c r="AI1129" s="43">
        <v>17320343</v>
      </c>
      <c r="AJ1129" s="140">
        <v>0</v>
      </c>
      <c r="AK1129" s="140">
        <v>0</v>
      </c>
      <c r="AL1129" s="140">
        <v>0</v>
      </c>
      <c r="AM1129" s="140">
        <v>0</v>
      </c>
      <c r="AN1129" s="140">
        <v>0</v>
      </c>
      <c r="AO1129" s="140">
        <v>0</v>
      </c>
      <c r="AP1129" s="140">
        <v>0</v>
      </c>
      <c r="AQ1129" s="140">
        <v>0</v>
      </c>
      <c r="AR1129" s="140">
        <v>0</v>
      </c>
      <c r="AS1129" s="140">
        <v>0</v>
      </c>
      <c r="AT1129" s="140">
        <v>8</v>
      </c>
      <c r="AU1129" s="140">
        <v>0</v>
      </c>
      <c r="AV1129" s="140">
        <v>0</v>
      </c>
      <c r="AW1129" s="140">
        <v>0</v>
      </c>
      <c r="AX1129" s="140">
        <v>0</v>
      </c>
      <c r="AY1129" s="140">
        <v>0</v>
      </c>
      <c r="AZ1129" s="140">
        <v>0</v>
      </c>
      <c r="BA1129" s="140">
        <v>8</v>
      </c>
      <c r="BB1129" s="140">
        <v>0</v>
      </c>
      <c r="BC1129" s="140">
        <v>0</v>
      </c>
      <c r="BD1129" s="140">
        <v>0</v>
      </c>
      <c r="BE1129" s="140">
        <v>0</v>
      </c>
      <c r="BF1129" s="140">
        <v>0</v>
      </c>
      <c r="BG1129" s="140">
        <v>0</v>
      </c>
      <c r="BH1129" s="140">
        <v>0</v>
      </c>
      <c r="BI1129" s="140">
        <v>0</v>
      </c>
      <c r="BJ1129" s="140">
        <v>0</v>
      </c>
      <c r="BK1129" s="140">
        <v>0</v>
      </c>
      <c r="BL1129" s="140">
        <v>0</v>
      </c>
      <c r="BM1129" s="140">
        <v>0</v>
      </c>
      <c r="BN1129" s="140">
        <v>0</v>
      </c>
      <c r="BO1129" s="140">
        <v>0</v>
      </c>
      <c r="BQ1129" s="89"/>
      <c r="BU1129" s="89"/>
      <c r="BX1129" s="43">
        <v>20</v>
      </c>
      <c r="CI1129" s="90">
        <f t="shared" si="158"/>
        <v>0.66666666666666663</v>
      </c>
      <c r="CJ1129" s="90">
        <f t="shared" si="158"/>
        <v>0.66666666666666663</v>
      </c>
      <c r="CK1129" s="90">
        <f t="shared" si="158"/>
        <v>0.66666666666666663</v>
      </c>
      <c r="CL1129" s="90">
        <f t="shared" si="158"/>
        <v>0.66666666666666663</v>
      </c>
      <c r="CM1129" s="90">
        <f t="shared" si="158"/>
        <v>0.66666666666666663</v>
      </c>
      <c r="CN1129" s="90">
        <f t="shared" si="158"/>
        <v>0.66666666666666663</v>
      </c>
      <c r="CO1129" s="90">
        <f t="shared" si="158"/>
        <v>0.66666666666666663</v>
      </c>
      <c r="CP1129" s="90">
        <f t="shared" si="158"/>
        <v>0.66666666666666663</v>
      </c>
      <c r="CQ1129" s="90">
        <f t="shared" si="158"/>
        <v>0.66666666666666663</v>
      </c>
      <c r="CR1129" s="90">
        <f t="shared" si="158"/>
        <v>0.66666666666666663</v>
      </c>
      <c r="CS1129" s="90">
        <f t="shared" si="158"/>
        <v>0.66666666666666663</v>
      </c>
      <c r="CT1129" s="90">
        <f t="shared" si="148"/>
        <v>0</v>
      </c>
      <c r="CU1129" s="90">
        <f t="shared" si="149"/>
        <v>0.66666666666666663</v>
      </c>
    </row>
    <row r="1130" spans="1:99" ht="12" customHeight="1">
      <c r="A1130" s="43">
        <v>6869</v>
      </c>
      <c r="B1130" s="89" t="s">
        <v>2923</v>
      </c>
      <c r="C1130" s="89" t="s">
        <v>2961</v>
      </c>
      <c r="D1130" s="89" t="s">
        <v>2962</v>
      </c>
      <c r="F1130" s="43">
        <v>526639</v>
      </c>
      <c r="G1130" s="43">
        <v>176128</v>
      </c>
      <c r="H1130" s="89" t="s">
        <v>177</v>
      </c>
      <c r="K1130" s="140">
        <v>0</v>
      </c>
      <c r="L1130" s="140">
        <v>47</v>
      </c>
      <c r="M1130" s="140">
        <v>47</v>
      </c>
      <c r="N1130" s="140">
        <v>70</v>
      </c>
      <c r="O1130" s="140">
        <v>70</v>
      </c>
      <c r="P1130" s="43" t="s">
        <v>329</v>
      </c>
      <c r="Q1130" s="89" t="s">
        <v>2926</v>
      </c>
      <c r="R1130" s="43" t="s">
        <v>2927</v>
      </c>
      <c r="V1130" s="43" t="s">
        <v>317</v>
      </c>
      <c r="X1130" s="43" t="s">
        <v>318</v>
      </c>
      <c r="Y1130" s="43" t="s">
        <v>361</v>
      </c>
      <c r="Z1130" s="43" t="s">
        <v>361</v>
      </c>
      <c r="AA1130" s="43" t="s">
        <v>320</v>
      </c>
      <c r="AB1130" s="144">
        <v>0</v>
      </c>
      <c r="AF1130" s="43" t="s">
        <v>75</v>
      </c>
      <c r="AG1130" s="43" t="s">
        <v>322</v>
      </c>
      <c r="AH1130" s="43" t="s">
        <v>2963</v>
      </c>
      <c r="AI1130" s="43">
        <v>17320212</v>
      </c>
      <c r="AJ1130" s="140">
        <v>0</v>
      </c>
      <c r="AK1130" s="140">
        <v>0</v>
      </c>
      <c r="AL1130" s="140">
        <v>0</v>
      </c>
      <c r="AM1130" s="140">
        <v>0</v>
      </c>
      <c r="AN1130" s="140">
        <v>0</v>
      </c>
      <c r="AO1130" s="140">
        <v>0</v>
      </c>
      <c r="AP1130" s="140">
        <v>0</v>
      </c>
      <c r="AQ1130" s="140">
        <v>0</v>
      </c>
      <c r="AR1130" s="140">
        <v>0</v>
      </c>
      <c r="AS1130" s="140">
        <v>0</v>
      </c>
      <c r="AT1130" s="140">
        <v>47</v>
      </c>
      <c r="AU1130" s="140">
        <v>0</v>
      </c>
      <c r="AV1130" s="140">
        <v>0</v>
      </c>
      <c r="AW1130" s="140">
        <v>0</v>
      </c>
      <c r="AX1130" s="140">
        <v>0</v>
      </c>
      <c r="AY1130" s="140">
        <v>0</v>
      </c>
      <c r="AZ1130" s="140">
        <v>0</v>
      </c>
      <c r="BA1130" s="140">
        <v>47</v>
      </c>
      <c r="BB1130" s="140">
        <v>0</v>
      </c>
      <c r="BC1130" s="140">
        <v>0</v>
      </c>
      <c r="BD1130" s="140">
        <v>0</v>
      </c>
      <c r="BE1130" s="140">
        <v>0</v>
      </c>
      <c r="BF1130" s="140">
        <v>0</v>
      </c>
      <c r="BG1130" s="140">
        <v>0</v>
      </c>
      <c r="BH1130" s="140">
        <v>0</v>
      </c>
      <c r="BI1130" s="140">
        <v>0</v>
      </c>
      <c r="BJ1130" s="140">
        <v>0</v>
      </c>
      <c r="BK1130" s="140">
        <v>0</v>
      </c>
      <c r="BL1130" s="140">
        <v>0</v>
      </c>
      <c r="BM1130" s="140">
        <v>0</v>
      </c>
      <c r="BN1130" s="140">
        <v>0</v>
      </c>
      <c r="BO1130" s="140">
        <v>0</v>
      </c>
      <c r="BQ1130" s="89"/>
      <c r="BU1130" s="89"/>
      <c r="BV1130" s="43" t="s">
        <v>329</v>
      </c>
      <c r="BX1130" s="43">
        <v>20</v>
      </c>
      <c r="CE1130" s="90">
        <f t="shared" ref="CE1130:CS1138" si="159">$M1130/16</f>
        <v>2.9375</v>
      </c>
      <c r="CF1130" s="90">
        <f t="shared" si="159"/>
        <v>2.9375</v>
      </c>
      <c r="CG1130" s="90">
        <f t="shared" si="159"/>
        <v>2.9375</v>
      </c>
      <c r="CH1130" s="90">
        <f t="shared" si="159"/>
        <v>2.9375</v>
      </c>
      <c r="CI1130" s="90">
        <f t="shared" si="159"/>
        <v>2.9375</v>
      </c>
      <c r="CJ1130" s="90">
        <f t="shared" si="159"/>
        <v>2.9375</v>
      </c>
      <c r="CK1130" s="90">
        <f t="shared" si="159"/>
        <v>2.9375</v>
      </c>
      <c r="CL1130" s="90">
        <f t="shared" si="159"/>
        <v>2.9375</v>
      </c>
      <c r="CM1130" s="90">
        <f t="shared" si="159"/>
        <v>2.9375</v>
      </c>
      <c r="CN1130" s="90">
        <f t="shared" si="159"/>
        <v>2.9375</v>
      </c>
      <c r="CO1130" s="90">
        <f t="shared" si="159"/>
        <v>2.9375</v>
      </c>
      <c r="CP1130" s="90">
        <f t="shared" si="159"/>
        <v>2.9375</v>
      </c>
      <c r="CQ1130" s="90">
        <f t="shared" si="159"/>
        <v>2.9375</v>
      </c>
      <c r="CR1130" s="90">
        <f t="shared" si="159"/>
        <v>2.9375</v>
      </c>
      <c r="CS1130" s="90">
        <f t="shared" si="159"/>
        <v>2.9375</v>
      </c>
      <c r="CT1130" s="90">
        <f t="shared" si="148"/>
        <v>0</v>
      </c>
      <c r="CU1130" s="90">
        <f t="shared" si="149"/>
        <v>14.6875</v>
      </c>
    </row>
    <row r="1131" spans="1:99" ht="12" customHeight="1">
      <c r="A1131" s="43">
        <v>6869</v>
      </c>
      <c r="B1131" s="89" t="s">
        <v>2923</v>
      </c>
      <c r="C1131" s="89" t="s">
        <v>2961</v>
      </c>
      <c r="D1131" s="89" t="s">
        <v>2962</v>
      </c>
      <c r="F1131" s="43">
        <v>526639</v>
      </c>
      <c r="G1131" s="43">
        <v>176128</v>
      </c>
      <c r="H1131" s="89" t="s">
        <v>177</v>
      </c>
      <c r="K1131" s="140">
        <v>0</v>
      </c>
      <c r="L1131" s="140">
        <v>14</v>
      </c>
      <c r="M1131" s="140">
        <v>14</v>
      </c>
      <c r="N1131" s="140">
        <v>70</v>
      </c>
      <c r="O1131" s="140">
        <v>70</v>
      </c>
      <c r="P1131" s="43" t="s">
        <v>329</v>
      </c>
      <c r="Q1131" s="89" t="s">
        <v>2926</v>
      </c>
      <c r="R1131" s="43" t="s">
        <v>2927</v>
      </c>
      <c r="V1131" s="43" t="s">
        <v>317</v>
      </c>
      <c r="X1131" s="43" t="s">
        <v>318</v>
      </c>
      <c r="Y1131" s="43" t="s">
        <v>361</v>
      </c>
      <c r="Z1131" s="43" t="s">
        <v>361</v>
      </c>
      <c r="AA1131" s="43" t="s">
        <v>320</v>
      </c>
      <c r="AB1131" s="144">
        <v>0</v>
      </c>
      <c r="AF1131" s="43" t="s">
        <v>55</v>
      </c>
      <c r="AG1131" s="43" t="s">
        <v>457</v>
      </c>
      <c r="AH1131" s="43" t="s">
        <v>2963</v>
      </c>
      <c r="AI1131" s="43">
        <v>17320212</v>
      </c>
      <c r="AJ1131" s="140">
        <v>0</v>
      </c>
      <c r="AK1131" s="140">
        <v>0</v>
      </c>
      <c r="AL1131" s="140">
        <v>0</v>
      </c>
      <c r="AM1131" s="140">
        <v>0</v>
      </c>
      <c r="AN1131" s="140">
        <v>0</v>
      </c>
      <c r="AO1131" s="140">
        <v>0</v>
      </c>
      <c r="AP1131" s="140">
        <v>0</v>
      </c>
      <c r="AQ1131" s="140">
        <v>0</v>
      </c>
      <c r="AR1131" s="140">
        <v>0</v>
      </c>
      <c r="AS1131" s="140">
        <v>0</v>
      </c>
      <c r="AT1131" s="140">
        <v>14</v>
      </c>
      <c r="AU1131" s="140">
        <v>0</v>
      </c>
      <c r="AV1131" s="140">
        <v>0</v>
      </c>
      <c r="AW1131" s="140">
        <v>0</v>
      </c>
      <c r="AX1131" s="140">
        <v>0</v>
      </c>
      <c r="AY1131" s="140">
        <v>0</v>
      </c>
      <c r="AZ1131" s="140">
        <v>0</v>
      </c>
      <c r="BA1131" s="140">
        <v>14</v>
      </c>
      <c r="BB1131" s="140">
        <v>0</v>
      </c>
      <c r="BC1131" s="140">
        <v>0</v>
      </c>
      <c r="BD1131" s="140">
        <v>0</v>
      </c>
      <c r="BE1131" s="140">
        <v>0</v>
      </c>
      <c r="BF1131" s="140">
        <v>0</v>
      </c>
      <c r="BG1131" s="140">
        <v>0</v>
      </c>
      <c r="BH1131" s="140">
        <v>0</v>
      </c>
      <c r="BI1131" s="140">
        <v>0</v>
      </c>
      <c r="BJ1131" s="140">
        <v>0</v>
      </c>
      <c r="BK1131" s="140">
        <v>0</v>
      </c>
      <c r="BL1131" s="140">
        <v>0</v>
      </c>
      <c r="BM1131" s="140">
        <v>0</v>
      </c>
      <c r="BN1131" s="140">
        <v>0</v>
      </c>
      <c r="BO1131" s="140">
        <v>0</v>
      </c>
      <c r="BQ1131" s="89"/>
      <c r="BU1131" s="89"/>
      <c r="BV1131" s="43" t="s">
        <v>329</v>
      </c>
      <c r="BX1131" s="43">
        <v>20</v>
      </c>
      <c r="CE1131" s="90">
        <f t="shared" si="159"/>
        <v>0.875</v>
      </c>
      <c r="CF1131" s="90">
        <f t="shared" si="159"/>
        <v>0.875</v>
      </c>
      <c r="CG1131" s="90">
        <f t="shared" si="159"/>
        <v>0.875</v>
      </c>
      <c r="CH1131" s="90">
        <f t="shared" si="159"/>
        <v>0.875</v>
      </c>
      <c r="CI1131" s="90">
        <f t="shared" si="159"/>
        <v>0.875</v>
      </c>
      <c r="CJ1131" s="90">
        <f t="shared" si="159"/>
        <v>0.875</v>
      </c>
      <c r="CK1131" s="90">
        <f t="shared" si="159"/>
        <v>0.875</v>
      </c>
      <c r="CL1131" s="90">
        <f t="shared" si="159"/>
        <v>0.875</v>
      </c>
      <c r="CM1131" s="90">
        <f t="shared" si="159"/>
        <v>0.875</v>
      </c>
      <c r="CN1131" s="90">
        <f t="shared" si="159"/>
        <v>0.875</v>
      </c>
      <c r="CO1131" s="90">
        <f t="shared" si="159"/>
        <v>0.875</v>
      </c>
      <c r="CP1131" s="90">
        <f t="shared" si="159"/>
        <v>0.875</v>
      </c>
      <c r="CQ1131" s="90">
        <f t="shared" si="159"/>
        <v>0.875</v>
      </c>
      <c r="CR1131" s="90">
        <f t="shared" si="159"/>
        <v>0.875</v>
      </c>
      <c r="CS1131" s="90">
        <f t="shared" si="159"/>
        <v>0.875</v>
      </c>
      <c r="CT1131" s="90">
        <f t="shared" si="148"/>
        <v>0</v>
      </c>
      <c r="CU1131" s="90">
        <f t="shared" si="149"/>
        <v>4.375</v>
      </c>
    </row>
    <row r="1132" spans="1:99" ht="12" customHeight="1">
      <c r="A1132" s="43">
        <v>6869</v>
      </c>
      <c r="B1132" s="89" t="s">
        <v>2923</v>
      </c>
      <c r="C1132" s="89" t="s">
        <v>2961</v>
      </c>
      <c r="D1132" s="89" t="s">
        <v>2962</v>
      </c>
      <c r="F1132" s="43">
        <v>526639</v>
      </c>
      <c r="G1132" s="43">
        <v>176128</v>
      </c>
      <c r="H1132" s="89" t="s">
        <v>177</v>
      </c>
      <c r="K1132" s="140">
        <v>0</v>
      </c>
      <c r="L1132" s="140">
        <v>9</v>
      </c>
      <c r="M1132" s="140">
        <v>9</v>
      </c>
      <c r="N1132" s="140">
        <v>70</v>
      </c>
      <c r="O1132" s="140">
        <v>70</v>
      </c>
      <c r="P1132" s="43" t="s">
        <v>329</v>
      </c>
      <c r="Q1132" s="89" t="s">
        <v>2926</v>
      </c>
      <c r="R1132" s="43" t="s">
        <v>2927</v>
      </c>
      <c r="V1132" s="43" t="s">
        <v>317</v>
      </c>
      <c r="X1132" s="43" t="s">
        <v>318</v>
      </c>
      <c r="Y1132" s="43" t="s">
        <v>361</v>
      </c>
      <c r="Z1132" s="43" t="s">
        <v>361</v>
      </c>
      <c r="AA1132" s="43" t="s">
        <v>320</v>
      </c>
      <c r="AB1132" s="144">
        <v>0</v>
      </c>
      <c r="AF1132" s="43" t="s">
        <v>54</v>
      </c>
      <c r="AG1132" s="43" t="s">
        <v>399</v>
      </c>
      <c r="AH1132" s="43" t="s">
        <v>2963</v>
      </c>
      <c r="AI1132" s="43">
        <v>17320212</v>
      </c>
      <c r="AJ1132" s="140">
        <v>0</v>
      </c>
      <c r="AK1132" s="140">
        <v>0</v>
      </c>
      <c r="AL1132" s="140">
        <v>0</v>
      </c>
      <c r="AM1132" s="140">
        <v>0</v>
      </c>
      <c r="AN1132" s="140">
        <v>0</v>
      </c>
      <c r="AO1132" s="140">
        <v>0</v>
      </c>
      <c r="AP1132" s="140">
        <v>0</v>
      </c>
      <c r="AQ1132" s="140">
        <v>0</v>
      </c>
      <c r="AR1132" s="140">
        <v>0</v>
      </c>
      <c r="AS1132" s="140">
        <v>0</v>
      </c>
      <c r="AT1132" s="140">
        <v>9</v>
      </c>
      <c r="AU1132" s="140">
        <v>0</v>
      </c>
      <c r="AV1132" s="140">
        <v>0</v>
      </c>
      <c r="AW1132" s="140">
        <v>0</v>
      </c>
      <c r="AX1132" s="140">
        <v>0</v>
      </c>
      <c r="AY1132" s="140">
        <v>0</v>
      </c>
      <c r="AZ1132" s="140">
        <v>0</v>
      </c>
      <c r="BA1132" s="140">
        <v>9</v>
      </c>
      <c r="BB1132" s="140">
        <v>0</v>
      </c>
      <c r="BC1132" s="140">
        <v>0</v>
      </c>
      <c r="BD1132" s="140">
        <v>0</v>
      </c>
      <c r="BE1132" s="140">
        <v>0</v>
      </c>
      <c r="BF1132" s="140">
        <v>0</v>
      </c>
      <c r="BG1132" s="140">
        <v>0</v>
      </c>
      <c r="BH1132" s="140">
        <v>0</v>
      </c>
      <c r="BI1132" s="140">
        <v>0</v>
      </c>
      <c r="BJ1132" s="140">
        <v>0</v>
      </c>
      <c r="BK1132" s="140">
        <v>0</v>
      </c>
      <c r="BL1132" s="140">
        <v>0</v>
      </c>
      <c r="BM1132" s="140">
        <v>0</v>
      </c>
      <c r="BN1132" s="140">
        <v>0</v>
      </c>
      <c r="BO1132" s="140">
        <v>0</v>
      </c>
      <c r="BQ1132" s="89"/>
      <c r="BU1132" s="89"/>
      <c r="BV1132" s="43" t="s">
        <v>329</v>
      </c>
      <c r="BX1132" s="43">
        <v>20</v>
      </c>
      <c r="CE1132" s="90">
        <f t="shared" si="159"/>
        <v>0.5625</v>
      </c>
      <c r="CF1132" s="90">
        <f t="shared" si="159"/>
        <v>0.5625</v>
      </c>
      <c r="CG1132" s="90">
        <f t="shared" si="159"/>
        <v>0.5625</v>
      </c>
      <c r="CH1132" s="90">
        <f t="shared" si="159"/>
        <v>0.5625</v>
      </c>
      <c r="CI1132" s="90">
        <f t="shared" si="159"/>
        <v>0.5625</v>
      </c>
      <c r="CJ1132" s="90">
        <f t="shared" si="159"/>
        <v>0.5625</v>
      </c>
      <c r="CK1132" s="90">
        <f t="shared" si="159"/>
        <v>0.5625</v>
      </c>
      <c r="CL1132" s="90">
        <f t="shared" si="159"/>
        <v>0.5625</v>
      </c>
      <c r="CM1132" s="90">
        <f t="shared" si="159"/>
        <v>0.5625</v>
      </c>
      <c r="CN1132" s="90">
        <f t="shared" si="159"/>
        <v>0.5625</v>
      </c>
      <c r="CO1132" s="90">
        <f t="shared" si="159"/>
        <v>0.5625</v>
      </c>
      <c r="CP1132" s="90">
        <f t="shared" si="159"/>
        <v>0.5625</v>
      </c>
      <c r="CQ1132" s="90">
        <f t="shared" si="159"/>
        <v>0.5625</v>
      </c>
      <c r="CR1132" s="90">
        <f t="shared" si="159"/>
        <v>0.5625</v>
      </c>
      <c r="CS1132" s="90">
        <f t="shared" si="159"/>
        <v>0.5625</v>
      </c>
      <c r="CT1132" s="90">
        <f t="shared" si="148"/>
        <v>0</v>
      </c>
      <c r="CU1132" s="90">
        <f t="shared" si="149"/>
        <v>2.8125</v>
      </c>
    </row>
    <row r="1133" spans="1:99" ht="12" customHeight="1">
      <c r="A1133" s="43">
        <v>6870</v>
      </c>
      <c r="B1133" s="89" t="s">
        <v>2923</v>
      </c>
      <c r="C1133" s="89" t="s">
        <v>2964</v>
      </c>
      <c r="D1133" s="89" t="s">
        <v>2965</v>
      </c>
      <c r="F1133" s="43">
        <v>526722</v>
      </c>
      <c r="G1133" s="43">
        <v>176263</v>
      </c>
      <c r="H1133" s="89" t="s">
        <v>177</v>
      </c>
      <c r="K1133" s="140">
        <v>0</v>
      </c>
      <c r="L1133" s="140">
        <v>70</v>
      </c>
      <c r="M1133" s="140">
        <v>70</v>
      </c>
      <c r="N1133" s="140">
        <v>105</v>
      </c>
      <c r="O1133" s="140">
        <v>105</v>
      </c>
      <c r="P1133" s="43" t="s">
        <v>329</v>
      </c>
      <c r="Q1133" s="89" t="s">
        <v>2926</v>
      </c>
      <c r="R1133" s="43" t="s">
        <v>2927</v>
      </c>
      <c r="V1133" s="43" t="s">
        <v>317</v>
      </c>
      <c r="X1133" s="43" t="s">
        <v>318</v>
      </c>
      <c r="Y1133" s="43" t="s">
        <v>361</v>
      </c>
      <c r="Z1133" s="43" t="s">
        <v>361</v>
      </c>
      <c r="AA1133" s="43" t="s">
        <v>320</v>
      </c>
      <c r="AB1133" s="144">
        <v>0</v>
      </c>
      <c r="AF1133" s="43" t="s">
        <v>75</v>
      </c>
      <c r="AG1133" s="43" t="s">
        <v>322</v>
      </c>
      <c r="AH1133" s="43" t="s">
        <v>2966</v>
      </c>
      <c r="AI1133" s="43">
        <v>17320112</v>
      </c>
      <c r="AJ1133" s="140">
        <v>0</v>
      </c>
      <c r="AK1133" s="140">
        <v>0</v>
      </c>
      <c r="AL1133" s="140">
        <v>0</v>
      </c>
      <c r="AM1133" s="140">
        <v>0</v>
      </c>
      <c r="AN1133" s="140">
        <v>0</v>
      </c>
      <c r="AO1133" s="140">
        <v>0</v>
      </c>
      <c r="AP1133" s="140">
        <v>0</v>
      </c>
      <c r="AQ1133" s="140">
        <v>0</v>
      </c>
      <c r="AR1133" s="140">
        <v>0</v>
      </c>
      <c r="AS1133" s="140">
        <v>0</v>
      </c>
      <c r="AT1133" s="140">
        <v>70</v>
      </c>
      <c r="AU1133" s="140">
        <v>0</v>
      </c>
      <c r="AV1133" s="140">
        <v>0</v>
      </c>
      <c r="AW1133" s="140">
        <v>0</v>
      </c>
      <c r="AX1133" s="140">
        <v>0</v>
      </c>
      <c r="AY1133" s="140">
        <v>0</v>
      </c>
      <c r="AZ1133" s="140">
        <v>0</v>
      </c>
      <c r="BA1133" s="140">
        <v>70</v>
      </c>
      <c r="BB1133" s="140">
        <v>0</v>
      </c>
      <c r="BC1133" s="140">
        <v>0</v>
      </c>
      <c r="BD1133" s="140">
        <v>0</v>
      </c>
      <c r="BE1133" s="140">
        <v>0</v>
      </c>
      <c r="BF1133" s="140">
        <v>0</v>
      </c>
      <c r="BG1133" s="140">
        <v>0</v>
      </c>
      <c r="BH1133" s="140">
        <v>0</v>
      </c>
      <c r="BI1133" s="140">
        <v>0</v>
      </c>
      <c r="BJ1133" s="140">
        <v>0</v>
      </c>
      <c r="BK1133" s="140">
        <v>0</v>
      </c>
      <c r="BL1133" s="140">
        <v>0</v>
      </c>
      <c r="BM1133" s="140">
        <v>0</v>
      </c>
      <c r="BN1133" s="140">
        <v>0</v>
      </c>
      <c r="BO1133" s="140">
        <v>0</v>
      </c>
      <c r="BQ1133" s="89"/>
      <c r="BU1133" s="89"/>
      <c r="BX1133" s="43">
        <v>20</v>
      </c>
      <c r="CE1133" s="90">
        <f t="shared" si="159"/>
        <v>4.375</v>
      </c>
      <c r="CF1133" s="90">
        <f t="shared" si="159"/>
        <v>4.375</v>
      </c>
      <c r="CG1133" s="90">
        <f t="shared" si="159"/>
        <v>4.375</v>
      </c>
      <c r="CH1133" s="90">
        <f t="shared" si="159"/>
        <v>4.375</v>
      </c>
      <c r="CI1133" s="90">
        <f t="shared" si="159"/>
        <v>4.375</v>
      </c>
      <c r="CJ1133" s="90">
        <f t="shared" si="159"/>
        <v>4.375</v>
      </c>
      <c r="CK1133" s="90">
        <f t="shared" si="159"/>
        <v>4.375</v>
      </c>
      <c r="CL1133" s="90">
        <f t="shared" si="159"/>
        <v>4.375</v>
      </c>
      <c r="CM1133" s="90">
        <f t="shared" si="159"/>
        <v>4.375</v>
      </c>
      <c r="CN1133" s="90">
        <f t="shared" si="159"/>
        <v>4.375</v>
      </c>
      <c r="CO1133" s="90">
        <f t="shared" si="159"/>
        <v>4.375</v>
      </c>
      <c r="CP1133" s="90">
        <f t="shared" si="159"/>
        <v>4.375</v>
      </c>
      <c r="CQ1133" s="90">
        <f t="shared" si="159"/>
        <v>4.375</v>
      </c>
      <c r="CR1133" s="90">
        <f t="shared" si="159"/>
        <v>4.375</v>
      </c>
      <c r="CS1133" s="90">
        <f t="shared" si="159"/>
        <v>4.375</v>
      </c>
      <c r="CT1133" s="90">
        <f t="shared" si="148"/>
        <v>0</v>
      </c>
      <c r="CU1133" s="90">
        <f t="shared" si="149"/>
        <v>21.875</v>
      </c>
    </row>
    <row r="1134" spans="1:99" ht="12" customHeight="1">
      <c r="A1134" s="43">
        <v>6870</v>
      </c>
      <c r="B1134" s="89" t="s">
        <v>2923</v>
      </c>
      <c r="C1134" s="89" t="s">
        <v>2964</v>
      </c>
      <c r="D1134" s="89" t="s">
        <v>2965</v>
      </c>
      <c r="F1134" s="43">
        <v>526722</v>
      </c>
      <c r="G1134" s="43">
        <v>176263</v>
      </c>
      <c r="H1134" s="89" t="s">
        <v>177</v>
      </c>
      <c r="K1134" s="140">
        <v>0</v>
      </c>
      <c r="L1134" s="140">
        <v>21</v>
      </c>
      <c r="M1134" s="140">
        <v>21</v>
      </c>
      <c r="N1134" s="140">
        <v>105</v>
      </c>
      <c r="O1134" s="140">
        <v>105</v>
      </c>
      <c r="P1134" s="43" t="s">
        <v>329</v>
      </c>
      <c r="Q1134" s="89" t="s">
        <v>2926</v>
      </c>
      <c r="R1134" s="43" t="s">
        <v>2927</v>
      </c>
      <c r="V1134" s="43" t="s">
        <v>317</v>
      </c>
      <c r="X1134" s="43" t="s">
        <v>318</v>
      </c>
      <c r="Y1134" s="43" t="s">
        <v>361</v>
      </c>
      <c r="Z1134" s="43" t="s">
        <v>361</v>
      </c>
      <c r="AA1134" s="43" t="s">
        <v>320</v>
      </c>
      <c r="AB1134" s="144">
        <v>0</v>
      </c>
      <c r="AF1134" s="43" t="s">
        <v>55</v>
      </c>
      <c r="AG1134" s="43" t="s">
        <v>457</v>
      </c>
      <c r="AH1134" s="43" t="s">
        <v>2966</v>
      </c>
      <c r="AI1134" s="43">
        <v>17320112</v>
      </c>
      <c r="AJ1134" s="140">
        <v>0</v>
      </c>
      <c r="AK1134" s="140">
        <v>0</v>
      </c>
      <c r="AL1134" s="140">
        <v>0</v>
      </c>
      <c r="AM1134" s="140">
        <v>0</v>
      </c>
      <c r="AN1134" s="140">
        <v>0</v>
      </c>
      <c r="AO1134" s="140">
        <v>0</v>
      </c>
      <c r="AP1134" s="140">
        <v>0</v>
      </c>
      <c r="AQ1134" s="140">
        <v>0</v>
      </c>
      <c r="AR1134" s="140">
        <v>0</v>
      </c>
      <c r="AS1134" s="140">
        <v>0</v>
      </c>
      <c r="AT1134" s="140">
        <v>21</v>
      </c>
      <c r="AU1134" s="140">
        <v>0</v>
      </c>
      <c r="AV1134" s="140">
        <v>0</v>
      </c>
      <c r="AW1134" s="140">
        <v>0</v>
      </c>
      <c r="AX1134" s="140">
        <v>0</v>
      </c>
      <c r="AY1134" s="140">
        <v>0</v>
      </c>
      <c r="AZ1134" s="140">
        <v>0</v>
      </c>
      <c r="BA1134" s="140">
        <v>21</v>
      </c>
      <c r="BB1134" s="140">
        <v>0</v>
      </c>
      <c r="BC1134" s="140">
        <v>0</v>
      </c>
      <c r="BD1134" s="140">
        <v>0</v>
      </c>
      <c r="BE1134" s="140">
        <v>0</v>
      </c>
      <c r="BF1134" s="140">
        <v>0</v>
      </c>
      <c r="BG1134" s="140">
        <v>0</v>
      </c>
      <c r="BH1134" s="140">
        <v>0</v>
      </c>
      <c r="BI1134" s="140">
        <v>0</v>
      </c>
      <c r="BJ1134" s="140">
        <v>0</v>
      </c>
      <c r="BK1134" s="140">
        <v>0</v>
      </c>
      <c r="BL1134" s="140">
        <v>0</v>
      </c>
      <c r="BM1134" s="140">
        <v>0</v>
      </c>
      <c r="BN1134" s="140">
        <v>0</v>
      </c>
      <c r="BO1134" s="140">
        <v>0</v>
      </c>
      <c r="BQ1134" s="89"/>
      <c r="BU1134" s="89"/>
      <c r="BX1134" s="43">
        <v>20</v>
      </c>
      <c r="CE1134" s="90">
        <f t="shared" si="159"/>
        <v>1.3125</v>
      </c>
      <c r="CF1134" s="90">
        <f t="shared" si="159"/>
        <v>1.3125</v>
      </c>
      <c r="CG1134" s="90">
        <f t="shared" si="159"/>
        <v>1.3125</v>
      </c>
      <c r="CH1134" s="90">
        <f t="shared" si="159"/>
        <v>1.3125</v>
      </c>
      <c r="CI1134" s="90">
        <f t="shared" si="159"/>
        <v>1.3125</v>
      </c>
      <c r="CJ1134" s="90">
        <f t="shared" si="159"/>
        <v>1.3125</v>
      </c>
      <c r="CK1134" s="90">
        <f t="shared" si="159"/>
        <v>1.3125</v>
      </c>
      <c r="CL1134" s="90">
        <f t="shared" si="159"/>
        <v>1.3125</v>
      </c>
      <c r="CM1134" s="90">
        <f t="shared" si="159"/>
        <v>1.3125</v>
      </c>
      <c r="CN1134" s="90">
        <f t="shared" si="159"/>
        <v>1.3125</v>
      </c>
      <c r="CO1134" s="90">
        <f t="shared" si="159"/>
        <v>1.3125</v>
      </c>
      <c r="CP1134" s="90">
        <f t="shared" si="159"/>
        <v>1.3125</v>
      </c>
      <c r="CQ1134" s="90">
        <f t="shared" si="159"/>
        <v>1.3125</v>
      </c>
      <c r="CR1134" s="90">
        <f t="shared" si="159"/>
        <v>1.3125</v>
      </c>
      <c r="CS1134" s="90">
        <f t="shared" si="159"/>
        <v>1.3125</v>
      </c>
      <c r="CT1134" s="90">
        <f t="shared" si="148"/>
        <v>0</v>
      </c>
      <c r="CU1134" s="90">
        <f t="shared" si="149"/>
        <v>6.5625</v>
      </c>
    </row>
    <row r="1135" spans="1:99" ht="12" customHeight="1">
      <c r="A1135" s="43">
        <v>6870</v>
      </c>
      <c r="B1135" s="89" t="s">
        <v>2923</v>
      </c>
      <c r="C1135" s="89" t="s">
        <v>2964</v>
      </c>
      <c r="D1135" s="89" t="s">
        <v>2965</v>
      </c>
      <c r="F1135" s="43">
        <v>526722</v>
      </c>
      <c r="G1135" s="43">
        <v>176263</v>
      </c>
      <c r="H1135" s="89" t="s">
        <v>177</v>
      </c>
      <c r="K1135" s="140">
        <v>0</v>
      </c>
      <c r="L1135" s="140">
        <v>14</v>
      </c>
      <c r="M1135" s="140">
        <v>14</v>
      </c>
      <c r="N1135" s="140">
        <v>105</v>
      </c>
      <c r="O1135" s="140">
        <v>105</v>
      </c>
      <c r="P1135" s="43" t="s">
        <v>329</v>
      </c>
      <c r="Q1135" s="89" t="s">
        <v>2926</v>
      </c>
      <c r="R1135" s="43" t="s">
        <v>2927</v>
      </c>
      <c r="V1135" s="43" t="s">
        <v>317</v>
      </c>
      <c r="X1135" s="43" t="s">
        <v>318</v>
      </c>
      <c r="Y1135" s="43" t="s">
        <v>361</v>
      </c>
      <c r="Z1135" s="43" t="s">
        <v>361</v>
      </c>
      <c r="AA1135" s="43" t="s">
        <v>320</v>
      </c>
      <c r="AB1135" s="144">
        <v>0</v>
      </c>
      <c r="AF1135" s="43" t="s">
        <v>54</v>
      </c>
      <c r="AG1135" s="43" t="s">
        <v>1659</v>
      </c>
      <c r="AH1135" s="43" t="s">
        <v>2966</v>
      </c>
      <c r="AI1135" s="43">
        <v>17320112</v>
      </c>
      <c r="AJ1135" s="140">
        <v>0</v>
      </c>
      <c r="AK1135" s="140">
        <v>0</v>
      </c>
      <c r="AL1135" s="140">
        <v>0</v>
      </c>
      <c r="AM1135" s="140">
        <v>0</v>
      </c>
      <c r="AN1135" s="140">
        <v>0</v>
      </c>
      <c r="AO1135" s="140">
        <v>0</v>
      </c>
      <c r="AP1135" s="140">
        <v>0</v>
      </c>
      <c r="AQ1135" s="140">
        <v>0</v>
      </c>
      <c r="AR1135" s="140">
        <v>0</v>
      </c>
      <c r="AS1135" s="140">
        <v>0</v>
      </c>
      <c r="AT1135" s="140">
        <v>14</v>
      </c>
      <c r="AU1135" s="140">
        <v>0</v>
      </c>
      <c r="AV1135" s="140">
        <v>0</v>
      </c>
      <c r="AW1135" s="140">
        <v>0</v>
      </c>
      <c r="AX1135" s="140">
        <v>0</v>
      </c>
      <c r="AY1135" s="140">
        <v>0</v>
      </c>
      <c r="AZ1135" s="140">
        <v>0</v>
      </c>
      <c r="BA1135" s="140">
        <v>14</v>
      </c>
      <c r="BB1135" s="140">
        <v>0</v>
      </c>
      <c r="BC1135" s="140">
        <v>0</v>
      </c>
      <c r="BD1135" s="140">
        <v>0</v>
      </c>
      <c r="BE1135" s="140">
        <v>0</v>
      </c>
      <c r="BF1135" s="140">
        <v>0</v>
      </c>
      <c r="BG1135" s="140">
        <v>0</v>
      </c>
      <c r="BH1135" s="140">
        <v>0</v>
      </c>
      <c r="BI1135" s="140">
        <v>0</v>
      </c>
      <c r="BJ1135" s="140">
        <v>0</v>
      </c>
      <c r="BK1135" s="140">
        <v>0</v>
      </c>
      <c r="BL1135" s="140">
        <v>0</v>
      </c>
      <c r="BM1135" s="140">
        <v>0</v>
      </c>
      <c r="BN1135" s="140">
        <v>0</v>
      </c>
      <c r="BO1135" s="140">
        <v>0</v>
      </c>
      <c r="BQ1135" s="89"/>
      <c r="BU1135" s="89"/>
      <c r="BX1135" s="43">
        <v>20</v>
      </c>
      <c r="CE1135" s="90">
        <f t="shared" si="159"/>
        <v>0.875</v>
      </c>
      <c r="CF1135" s="90">
        <f t="shared" si="159"/>
        <v>0.875</v>
      </c>
      <c r="CG1135" s="90">
        <f t="shared" si="159"/>
        <v>0.875</v>
      </c>
      <c r="CH1135" s="90">
        <f t="shared" si="159"/>
        <v>0.875</v>
      </c>
      <c r="CI1135" s="90">
        <f t="shared" si="159"/>
        <v>0.875</v>
      </c>
      <c r="CJ1135" s="90">
        <f t="shared" si="159"/>
        <v>0.875</v>
      </c>
      <c r="CK1135" s="90">
        <f t="shared" si="159"/>
        <v>0.875</v>
      </c>
      <c r="CL1135" s="90">
        <f t="shared" si="159"/>
        <v>0.875</v>
      </c>
      <c r="CM1135" s="90">
        <f t="shared" si="159"/>
        <v>0.875</v>
      </c>
      <c r="CN1135" s="90">
        <f t="shared" si="159"/>
        <v>0.875</v>
      </c>
      <c r="CO1135" s="90">
        <f t="shared" si="159"/>
        <v>0.875</v>
      </c>
      <c r="CP1135" s="90">
        <f t="shared" si="159"/>
        <v>0.875</v>
      </c>
      <c r="CQ1135" s="90">
        <f t="shared" si="159"/>
        <v>0.875</v>
      </c>
      <c r="CR1135" s="90">
        <f t="shared" si="159"/>
        <v>0.875</v>
      </c>
      <c r="CS1135" s="90">
        <f t="shared" si="159"/>
        <v>0.875</v>
      </c>
      <c r="CT1135" s="90">
        <f t="shared" si="148"/>
        <v>0</v>
      </c>
      <c r="CU1135" s="90">
        <f t="shared" si="149"/>
        <v>4.375</v>
      </c>
    </row>
    <row r="1136" spans="1:99" ht="12" customHeight="1">
      <c r="A1136" s="43">
        <v>6871</v>
      </c>
      <c r="B1136" s="89" t="s">
        <v>2923</v>
      </c>
      <c r="C1136" s="89" t="s">
        <v>2967</v>
      </c>
      <c r="D1136" s="89" t="s">
        <v>2968</v>
      </c>
      <c r="F1136" s="43">
        <v>526746</v>
      </c>
      <c r="G1136" s="43">
        <v>176345</v>
      </c>
      <c r="H1136" s="89" t="s">
        <v>177</v>
      </c>
      <c r="K1136" s="140">
        <v>0</v>
      </c>
      <c r="L1136" s="140">
        <v>101</v>
      </c>
      <c r="M1136" s="140">
        <v>101</v>
      </c>
      <c r="N1136" s="140">
        <v>151</v>
      </c>
      <c r="O1136" s="140">
        <v>151</v>
      </c>
      <c r="P1136" s="43" t="s">
        <v>329</v>
      </c>
      <c r="Q1136" s="89" t="s">
        <v>2926</v>
      </c>
      <c r="R1136" s="43" t="s">
        <v>2927</v>
      </c>
      <c r="V1136" s="43" t="s">
        <v>317</v>
      </c>
      <c r="X1136" s="43" t="s">
        <v>318</v>
      </c>
      <c r="Y1136" s="43" t="s">
        <v>361</v>
      </c>
      <c r="Z1136" s="43" t="s">
        <v>361</v>
      </c>
      <c r="AA1136" s="43" t="s">
        <v>320</v>
      </c>
      <c r="AB1136" s="144">
        <v>0</v>
      </c>
      <c r="AF1136" s="43" t="s">
        <v>75</v>
      </c>
      <c r="AG1136" s="43" t="s">
        <v>322</v>
      </c>
      <c r="AH1136" s="43" t="s">
        <v>2969</v>
      </c>
      <c r="AI1136" s="43">
        <v>17320211</v>
      </c>
      <c r="AJ1136" s="140">
        <v>0</v>
      </c>
      <c r="AK1136" s="140">
        <v>0</v>
      </c>
      <c r="AL1136" s="140">
        <v>0</v>
      </c>
      <c r="AM1136" s="140">
        <v>0</v>
      </c>
      <c r="AN1136" s="140">
        <v>0</v>
      </c>
      <c r="AO1136" s="140">
        <v>0</v>
      </c>
      <c r="AP1136" s="140">
        <v>0</v>
      </c>
      <c r="AQ1136" s="140">
        <v>0</v>
      </c>
      <c r="AR1136" s="140">
        <v>0</v>
      </c>
      <c r="AS1136" s="140">
        <v>0</v>
      </c>
      <c r="AT1136" s="140">
        <v>101</v>
      </c>
      <c r="AU1136" s="140">
        <v>0</v>
      </c>
      <c r="AV1136" s="140">
        <v>0</v>
      </c>
      <c r="AW1136" s="140">
        <v>0</v>
      </c>
      <c r="AX1136" s="140">
        <v>0</v>
      </c>
      <c r="AY1136" s="140">
        <v>0</v>
      </c>
      <c r="AZ1136" s="140">
        <v>0</v>
      </c>
      <c r="BA1136" s="140">
        <v>101</v>
      </c>
      <c r="BB1136" s="140">
        <v>0</v>
      </c>
      <c r="BC1136" s="140">
        <v>0</v>
      </c>
      <c r="BD1136" s="140">
        <v>0</v>
      </c>
      <c r="BE1136" s="140">
        <v>0</v>
      </c>
      <c r="BF1136" s="140">
        <v>0</v>
      </c>
      <c r="BG1136" s="140">
        <v>0</v>
      </c>
      <c r="BH1136" s="140">
        <v>0</v>
      </c>
      <c r="BI1136" s="140">
        <v>0</v>
      </c>
      <c r="BJ1136" s="140">
        <v>0</v>
      </c>
      <c r="BK1136" s="140">
        <v>0</v>
      </c>
      <c r="BL1136" s="140">
        <v>0</v>
      </c>
      <c r="BM1136" s="140">
        <v>0</v>
      </c>
      <c r="BN1136" s="140">
        <v>0</v>
      </c>
      <c r="BO1136" s="140">
        <v>0</v>
      </c>
      <c r="BU1136" s="89"/>
      <c r="BX1136" s="43">
        <v>20</v>
      </c>
      <c r="CE1136" s="90">
        <f t="shared" si="159"/>
        <v>6.3125</v>
      </c>
      <c r="CF1136" s="90">
        <f t="shared" si="159"/>
        <v>6.3125</v>
      </c>
      <c r="CG1136" s="90">
        <f t="shared" si="159"/>
        <v>6.3125</v>
      </c>
      <c r="CH1136" s="90">
        <f t="shared" si="159"/>
        <v>6.3125</v>
      </c>
      <c r="CI1136" s="90">
        <f t="shared" si="159"/>
        <v>6.3125</v>
      </c>
      <c r="CJ1136" s="90">
        <f t="shared" si="159"/>
        <v>6.3125</v>
      </c>
      <c r="CK1136" s="90">
        <f t="shared" si="159"/>
        <v>6.3125</v>
      </c>
      <c r="CL1136" s="90">
        <f t="shared" si="159"/>
        <v>6.3125</v>
      </c>
      <c r="CM1136" s="90">
        <f t="shared" si="159"/>
        <v>6.3125</v>
      </c>
      <c r="CN1136" s="90">
        <f t="shared" si="159"/>
        <v>6.3125</v>
      </c>
      <c r="CO1136" s="90">
        <f t="shared" si="159"/>
        <v>6.3125</v>
      </c>
      <c r="CP1136" s="90">
        <f t="shared" si="159"/>
        <v>6.3125</v>
      </c>
      <c r="CQ1136" s="90">
        <f t="shared" si="159"/>
        <v>6.3125</v>
      </c>
      <c r="CR1136" s="90">
        <f t="shared" si="159"/>
        <v>6.3125</v>
      </c>
      <c r="CS1136" s="90">
        <f t="shared" si="159"/>
        <v>6.3125</v>
      </c>
      <c r="CT1136" s="90">
        <f t="shared" si="148"/>
        <v>0</v>
      </c>
      <c r="CU1136" s="90">
        <f t="shared" si="149"/>
        <v>31.5625</v>
      </c>
    </row>
    <row r="1137" spans="1:99" ht="12" customHeight="1">
      <c r="A1137" s="43">
        <v>6871</v>
      </c>
      <c r="B1137" s="89" t="s">
        <v>2923</v>
      </c>
      <c r="C1137" s="89" t="s">
        <v>2967</v>
      </c>
      <c r="D1137" s="89" t="s">
        <v>2968</v>
      </c>
      <c r="F1137" s="43">
        <v>526746</v>
      </c>
      <c r="G1137" s="43">
        <v>176345</v>
      </c>
      <c r="H1137" s="89" t="s">
        <v>177</v>
      </c>
      <c r="K1137" s="140">
        <v>0</v>
      </c>
      <c r="L1137" s="140">
        <v>30</v>
      </c>
      <c r="M1137" s="140">
        <v>30</v>
      </c>
      <c r="N1137" s="140">
        <v>151</v>
      </c>
      <c r="O1137" s="140">
        <v>151</v>
      </c>
      <c r="P1137" s="43" t="s">
        <v>329</v>
      </c>
      <c r="Q1137" s="89" t="s">
        <v>2926</v>
      </c>
      <c r="R1137" s="43" t="s">
        <v>2927</v>
      </c>
      <c r="V1137" s="43" t="s">
        <v>317</v>
      </c>
      <c r="X1137" s="43" t="s">
        <v>318</v>
      </c>
      <c r="Y1137" s="43" t="s">
        <v>361</v>
      </c>
      <c r="Z1137" s="43" t="s">
        <v>361</v>
      </c>
      <c r="AA1137" s="43" t="s">
        <v>320</v>
      </c>
      <c r="AB1137" s="144">
        <v>0</v>
      </c>
      <c r="AF1137" s="43" t="s">
        <v>55</v>
      </c>
      <c r="AG1137" s="43" t="s">
        <v>457</v>
      </c>
      <c r="AH1137" s="43" t="s">
        <v>2969</v>
      </c>
      <c r="AI1137" s="43">
        <v>17320211</v>
      </c>
      <c r="AJ1137" s="140">
        <v>0</v>
      </c>
      <c r="AK1137" s="140">
        <v>0</v>
      </c>
      <c r="AL1137" s="140">
        <v>0</v>
      </c>
      <c r="AM1137" s="140">
        <v>0</v>
      </c>
      <c r="AN1137" s="140">
        <v>0</v>
      </c>
      <c r="AO1137" s="140">
        <v>0</v>
      </c>
      <c r="AP1137" s="140">
        <v>0</v>
      </c>
      <c r="AQ1137" s="140">
        <v>0</v>
      </c>
      <c r="AR1137" s="140">
        <v>0</v>
      </c>
      <c r="AS1137" s="140">
        <v>0</v>
      </c>
      <c r="AT1137" s="140">
        <v>30</v>
      </c>
      <c r="AU1137" s="140">
        <v>0</v>
      </c>
      <c r="AV1137" s="140">
        <v>0</v>
      </c>
      <c r="AW1137" s="140">
        <v>0</v>
      </c>
      <c r="AX1137" s="140">
        <v>0</v>
      </c>
      <c r="AY1137" s="140">
        <v>0</v>
      </c>
      <c r="AZ1137" s="140">
        <v>0</v>
      </c>
      <c r="BA1137" s="140">
        <v>30</v>
      </c>
      <c r="BB1137" s="140">
        <v>0</v>
      </c>
      <c r="BC1137" s="140">
        <v>0</v>
      </c>
      <c r="BD1137" s="140">
        <v>0</v>
      </c>
      <c r="BE1137" s="140">
        <v>0</v>
      </c>
      <c r="BF1137" s="140">
        <v>0</v>
      </c>
      <c r="BG1137" s="140">
        <v>0</v>
      </c>
      <c r="BH1137" s="140">
        <v>0</v>
      </c>
      <c r="BI1137" s="140">
        <v>0</v>
      </c>
      <c r="BJ1137" s="140">
        <v>0</v>
      </c>
      <c r="BK1137" s="140">
        <v>0</v>
      </c>
      <c r="BL1137" s="140">
        <v>0</v>
      </c>
      <c r="BM1137" s="140">
        <v>0</v>
      </c>
      <c r="BN1137" s="140">
        <v>0</v>
      </c>
      <c r="BO1137" s="140">
        <v>0</v>
      </c>
      <c r="BU1137" s="89"/>
      <c r="BX1137" s="43">
        <v>20</v>
      </c>
      <c r="CE1137" s="90">
        <f t="shared" si="159"/>
        <v>1.875</v>
      </c>
      <c r="CF1137" s="90">
        <f t="shared" si="159"/>
        <v>1.875</v>
      </c>
      <c r="CG1137" s="90">
        <f t="shared" si="159"/>
        <v>1.875</v>
      </c>
      <c r="CH1137" s="90">
        <f t="shared" si="159"/>
        <v>1.875</v>
      </c>
      <c r="CI1137" s="90">
        <f t="shared" si="159"/>
        <v>1.875</v>
      </c>
      <c r="CJ1137" s="90">
        <f t="shared" si="159"/>
        <v>1.875</v>
      </c>
      <c r="CK1137" s="90">
        <f t="shared" si="159"/>
        <v>1.875</v>
      </c>
      <c r="CL1137" s="90">
        <f t="shared" si="159"/>
        <v>1.875</v>
      </c>
      <c r="CM1137" s="90">
        <f t="shared" si="159"/>
        <v>1.875</v>
      </c>
      <c r="CN1137" s="90">
        <f t="shared" si="159"/>
        <v>1.875</v>
      </c>
      <c r="CO1137" s="90">
        <f t="shared" si="159"/>
        <v>1.875</v>
      </c>
      <c r="CP1137" s="90">
        <f t="shared" si="159"/>
        <v>1.875</v>
      </c>
      <c r="CQ1137" s="90">
        <f t="shared" si="159"/>
        <v>1.875</v>
      </c>
      <c r="CR1137" s="90">
        <f t="shared" si="159"/>
        <v>1.875</v>
      </c>
      <c r="CS1137" s="90">
        <f t="shared" si="159"/>
        <v>1.875</v>
      </c>
      <c r="CT1137" s="90">
        <f t="shared" si="148"/>
        <v>0</v>
      </c>
      <c r="CU1137" s="90">
        <f t="shared" si="149"/>
        <v>9.375</v>
      </c>
    </row>
    <row r="1138" spans="1:99" ht="12" customHeight="1">
      <c r="A1138" s="43">
        <v>6871</v>
      </c>
      <c r="B1138" s="89" t="s">
        <v>2923</v>
      </c>
      <c r="C1138" s="89" t="s">
        <v>2967</v>
      </c>
      <c r="D1138" s="89" t="s">
        <v>2968</v>
      </c>
      <c r="F1138" s="43">
        <v>526746</v>
      </c>
      <c r="G1138" s="43">
        <v>176345</v>
      </c>
      <c r="H1138" s="89" t="s">
        <v>177</v>
      </c>
      <c r="K1138" s="140">
        <v>0</v>
      </c>
      <c r="L1138" s="140">
        <v>20</v>
      </c>
      <c r="M1138" s="140">
        <v>20</v>
      </c>
      <c r="N1138" s="140">
        <v>151</v>
      </c>
      <c r="O1138" s="140">
        <v>151</v>
      </c>
      <c r="P1138" s="43" t="s">
        <v>329</v>
      </c>
      <c r="Q1138" s="89" t="s">
        <v>2926</v>
      </c>
      <c r="R1138" s="43" t="s">
        <v>2927</v>
      </c>
      <c r="V1138" s="43" t="s">
        <v>317</v>
      </c>
      <c r="X1138" s="43" t="s">
        <v>318</v>
      </c>
      <c r="Y1138" s="43" t="s">
        <v>361</v>
      </c>
      <c r="Z1138" s="43" t="s">
        <v>361</v>
      </c>
      <c r="AA1138" s="43" t="s">
        <v>320</v>
      </c>
      <c r="AB1138" s="144">
        <v>0</v>
      </c>
      <c r="AF1138" s="43" t="s">
        <v>54</v>
      </c>
      <c r="AG1138" s="43" t="s">
        <v>399</v>
      </c>
      <c r="AH1138" s="43" t="s">
        <v>2969</v>
      </c>
      <c r="AI1138" s="43">
        <v>17320211</v>
      </c>
      <c r="AJ1138" s="140">
        <v>0</v>
      </c>
      <c r="AK1138" s="140">
        <v>0</v>
      </c>
      <c r="AL1138" s="140">
        <v>0</v>
      </c>
      <c r="AM1138" s="140">
        <v>0</v>
      </c>
      <c r="AN1138" s="140">
        <v>0</v>
      </c>
      <c r="AO1138" s="140">
        <v>0</v>
      </c>
      <c r="AP1138" s="140">
        <v>0</v>
      </c>
      <c r="AQ1138" s="140">
        <v>0</v>
      </c>
      <c r="AR1138" s="140">
        <v>0</v>
      </c>
      <c r="AS1138" s="140">
        <v>0</v>
      </c>
      <c r="AT1138" s="140">
        <v>20</v>
      </c>
      <c r="AU1138" s="140">
        <v>0</v>
      </c>
      <c r="AV1138" s="140">
        <v>0</v>
      </c>
      <c r="AW1138" s="140">
        <v>0</v>
      </c>
      <c r="AX1138" s="140">
        <v>0</v>
      </c>
      <c r="AY1138" s="140">
        <v>0</v>
      </c>
      <c r="AZ1138" s="140">
        <v>0</v>
      </c>
      <c r="BA1138" s="140">
        <v>20</v>
      </c>
      <c r="BB1138" s="140">
        <v>0</v>
      </c>
      <c r="BC1138" s="140">
        <v>0</v>
      </c>
      <c r="BD1138" s="140">
        <v>0</v>
      </c>
      <c r="BE1138" s="140">
        <v>0</v>
      </c>
      <c r="BF1138" s="140">
        <v>0</v>
      </c>
      <c r="BG1138" s="140">
        <v>0</v>
      </c>
      <c r="BH1138" s="140">
        <v>0</v>
      </c>
      <c r="BI1138" s="140">
        <v>0</v>
      </c>
      <c r="BJ1138" s="140">
        <v>0</v>
      </c>
      <c r="BK1138" s="140">
        <v>0</v>
      </c>
      <c r="BL1138" s="140">
        <v>0</v>
      </c>
      <c r="BM1138" s="140">
        <v>0</v>
      </c>
      <c r="BN1138" s="140">
        <v>0</v>
      </c>
      <c r="BO1138" s="140">
        <v>0</v>
      </c>
      <c r="BU1138" s="89"/>
      <c r="BX1138" s="43">
        <v>20</v>
      </c>
      <c r="CE1138" s="90">
        <f t="shared" si="159"/>
        <v>1.25</v>
      </c>
      <c r="CF1138" s="90">
        <f t="shared" si="159"/>
        <v>1.25</v>
      </c>
      <c r="CG1138" s="90">
        <f t="shared" si="159"/>
        <v>1.25</v>
      </c>
      <c r="CH1138" s="90">
        <f t="shared" si="159"/>
        <v>1.25</v>
      </c>
      <c r="CI1138" s="90">
        <f t="shared" si="159"/>
        <v>1.25</v>
      </c>
      <c r="CJ1138" s="90">
        <f t="shared" si="159"/>
        <v>1.25</v>
      </c>
      <c r="CK1138" s="90">
        <f t="shared" si="159"/>
        <v>1.25</v>
      </c>
      <c r="CL1138" s="90">
        <f t="shared" si="159"/>
        <v>1.25</v>
      </c>
      <c r="CM1138" s="90">
        <f t="shared" si="159"/>
        <v>1.25</v>
      </c>
      <c r="CN1138" s="90">
        <f t="shared" si="159"/>
        <v>1.25</v>
      </c>
      <c r="CO1138" s="90">
        <f t="shared" si="159"/>
        <v>1.25</v>
      </c>
      <c r="CP1138" s="90">
        <f t="shared" si="159"/>
        <v>1.25</v>
      </c>
      <c r="CQ1138" s="90">
        <f t="shared" si="159"/>
        <v>1.25</v>
      </c>
      <c r="CR1138" s="90">
        <f t="shared" si="159"/>
        <v>1.25</v>
      </c>
      <c r="CS1138" s="90">
        <f t="shared" si="159"/>
        <v>1.25</v>
      </c>
      <c r="CT1138" s="90">
        <f t="shared" si="148"/>
        <v>0</v>
      </c>
      <c r="CU1138" s="90">
        <f t="shared" si="149"/>
        <v>6.25</v>
      </c>
    </row>
    <row r="1139" spans="1:99" ht="12" customHeight="1">
      <c r="A1139" s="43">
        <v>6872</v>
      </c>
      <c r="B1139" s="89" t="s">
        <v>2923</v>
      </c>
      <c r="C1139" s="89" t="s">
        <v>2970</v>
      </c>
      <c r="D1139" s="89" t="s">
        <v>2971</v>
      </c>
      <c r="F1139" s="43">
        <v>526497</v>
      </c>
      <c r="G1139" s="43">
        <v>175661</v>
      </c>
      <c r="H1139" s="89" t="s">
        <v>177</v>
      </c>
      <c r="K1139" s="140">
        <v>0</v>
      </c>
      <c r="L1139" s="140">
        <v>3</v>
      </c>
      <c r="M1139" s="140">
        <v>3</v>
      </c>
      <c r="N1139" s="140">
        <v>3</v>
      </c>
      <c r="O1139" s="140">
        <v>3</v>
      </c>
      <c r="Q1139" s="89" t="s">
        <v>2926</v>
      </c>
      <c r="R1139" s="43" t="s">
        <v>2927</v>
      </c>
      <c r="V1139" s="43" t="s">
        <v>317</v>
      </c>
      <c r="X1139" s="43" t="s">
        <v>318</v>
      </c>
      <c r="Y1139" s="43" t="s">
        <v>361</v>
      </c>
      <c r="Z1139" s="43" t="s">
        <v>320</v>
      </c>
      <c r="AA1139" s="43" t="s">
        <v>353</v>
      </c>
      <c r="AB1139" s="144">
        <v>0</v>
      </c>
      <c r="AF1139" s="43" t="s">
        <v>75</v>
      </c>
      <c r="AG1139" s="43" t="s">
        <v>322</v>
      </c>
      <c r="AH1139" s="43" t="s">
        <v>2972</v>
      </c>
      <c r="AI1139" s="43">
        <v>17320342</v>
      </c>
      <c r="AJ1139" s="140">
        <v>0</v>
      </c>
      <c r="AK1139" s="140">
        <v>0</v>
      </c>
      <c r="AL1139" s="140">
        <v>0</v>
      </c>
      <c r="AM1139" s="140">
        <v>0</v>
      </c>
      <c r="AN1139" s="140">
        <v>0</v>
      </c>
      <c r="AO1139" s="140">
        <v>0</v>
      </c>
      <c r="AP1139" s="140">
        <v>0</v>
      </c>
      <c r="AQ1139" s="140">
        <v>0</v>
      </c>
      <c r="AR1139" s="140">
        <v>0</v>
      </c>
      <c r="AS1139" s="140">
        <v>0</v>
      </c>
      <c r="AT1139" s="140">
        <v>3</v>
      </c>
      <c r="AU1139" s="140">
        <v>0</v>
      </c>
      <c r="AV1139" s="140">
        <v>0</v>
      </c>
      <c r="AW1139" s="140">
        <v>0</v>
      </c>
      <c r="AX1139" s="140">
        <v>0</v>
      </c>
      <c r="AY1139" s="140">
        <v>0</v>
      </c>
      <c r="AZ1139" s="140">
        <v>0</v>
      </c>
      <c r="BA1139" s="140">
        <v>3</v>
      </c>
      <c r="BB1139" s="140">
        <v>0</v>
      </c>
      <c r="BC1139" s="140">
        <v>0</v>
      </c>
      <c r="BD1139" s="140">
        <v>0</v>
      </c>
      <c r="BE1139" s="140">
        <v>0</v>
      </c>
      <c r="BF1139" s="140">
        <v>0</v>
      </c>
      <c r="BG1139" s="140">
        <v>0</v>
      </c>
      <c r="BH1139" s="140">
        <v>0</v>
      </c>
      <c r="BI1139" s="140">
        <v>0</v>
      </c>
      <c r="BJ1139" s="140">
        <v>0</v>
      </c>
      <c r="BK1139" s="140">
        <v>0</v>
      </c>
      <c r="BL1139" s="140">
        <v>0</v>
      </c>
      <c r="BM1139" s="140">
        <v>0</v>
      </c>
      <c r="BN1139" s="140">
        <v>0</v>
      </c>
      <c r="BO1139" s="140">
        <v>0</v>
      </c>
      <c r="BU1139" s="89"/>
      <c r="BV1139" s="43" t="s">
        <v>329</v>
      </c>
      <c r="BX1139" s="43">
        <v>20</v>
      </c>
      <c r="CI1139" s="90">
        <f t="shared" ref="CI1139:CS1139" si="160">$M1139/12</f>
        <v>0.25</v>
      </c>
      <c r="CJ1139" s="90">
        <f t="shared" si="160"/>
        <v>0.25</v>
      </c>
      <c r="CK1139" s="90">
        <f t="shared" si="160"/>
        <v>0.25</v>
      </c>
      <c r="CL1139" s="90">
        <f t="shared" si="160"/>
        <v>0.25</v>
      </c>
      <c r="CM1139" s="90">
        <f t="shared" si="160"/>
        <v>0.25</v>
      </c>
      <c r="CN1139" s="90">
        <f t="shared" si="160"/>
        <v>0.25</v>
      </c>
      <c r="CO1139" s="90">
        <f t="shared" si="160"/>
        <v>0.25</v>
      </c>
      <c r="CP1139" s="90">
        <f t="shared" si="160"/>
        <v>0.25</v>
      </c>
      <c r="CQ1139" s="90">
        <f t="shared" si="160"/>
        <v>0.25</v>
      </c>
      <c r="CR1139" s="90">
        <f t="shared" si="160"/>
        <v>0.25</v>
      </c>
      <c r="CS1139" s="90">
        <f t="shared" si="160"/>
        <v>0.25</v>
      </c>
      <c r="CT1139" s="90">
        <f t="shared" si="148"/>
        <v>0</v>
      </c>
      <c r="CU1139" s="90">
        <f t="shared" si="149"/>
        <v>0.25</v>
      </c>
    </row>
    <row r="1140" spans="1:99" ht="12" customHeight="1">
      <c r="A1140" s="43">
        <v>6873</v>
      </c>
      <c r="B1140" s="89" t="s">
        <v>2923</v>
      </c>
      <c r="C1140" s="89" t="s">
        <v>2973</v>
      </c>
      <c r="D1140" s="89" t="s">
        <v>2974</v>
      </c>
      <c r="F1140" s="43">
        <v>526409</v>
      </c>
      <c r="G1140" s="43">
        <v>175595</v>
      </c>
      <c r="H1140" s="89" t="s">
        <v>177</v>
      </c>
      <c r="K1140" s="140">
        <v>0</v>
      </c>
      <c r="L1140" s="140">
        <v>30</v>
      </c>
      <c r="M1140" s="140">
        <v>30</v>
      </c>
      <c r="N1140" s="140">
        <v>45</v>
      </c>
      <c r="O1140" s="140">
        <v>45</v>
      </c>
      <c r="P1140" s="43" t="s">
        <v>329</v>
      </c>
      <c r="Q1140" s="89" t="s">
        <v>2926</v>
      </c>
      <c r="R1140" s="43" t="s">
        <v>2927</v>
      </c>
      <c r="V1140" s="43" t="s">
        <v>317</v>
      </c>
      <c r="X1140" s="43" t="s">
        <v>318</v>
      </c>
      <c r="Y1140" s="43" t="s">
        <v>361</v>
      </c>
      <c r="Z1140" s="43" t="s">
        <v>361</v>
      </c>
      <c r="AA1140" s="43" t="s">
        <v>320</v>
      </c>
      <c r="AB1140" s="144">
        <v>0</v>
      </c>
      <c r="AF1140" s="43" t="s">
        <v>75</v>
      </c>
      <c r="AG1140" s="43" t="s">
        <v>322</v>
      </c>
      <c r="AH1140" s="43" t="s">
        <v>1949</v>
      </c>
      <c r="AI1140" s="43">
        <v>17320215</v>
      </c>
      <c r="AJ1140" s="140">
        <v>0</v>
      </c>
      <c r="AK1140" s="140">
        <v>0</v>
      </c>
      <c r="AL1140" s="140">
        <v>0</v>
      </c>
      <c r="AM1140" s="140">
        <v>0</v>
      </c>
      <c r="AN1140" s="140">
        <v>0</v>
      </c>
      <c r="AO1140" s="140">
        <v>0</v>
      </c>
      <c r="AP1140" s="140">
        <v>0</v>
      </c>
      <c r="AQ1140" s="140">
        <v>0</v>
      </c>
      <c r="AR1140" s="140">
        <v>0</v>
      </c>
      <c r="AS1140" s="140">
        <v>0</v>
      </c>
      <c r="AT1140" s="140">
        <v>30</v>
      </c>
      <c r="AU1140" s="140">
        <v>0</v>
      </c>
      <c r="AV1140" s="140">
        <v>0</v>
      </c>
      <c r="AW1140" s="140">
        <v>0</v>
      </c>
      <c r="AX1140" s="140">
        <v>0</v>
      </c>
      <c r="AY1140" s="140">
        <v>0</v>
      </c>
      <c r="AZ1140" s="140">
        <v>0</v>
      </c>
      <c r="BA1140" s="140">
        <v>30</v>
      </c>
      <c r="BB1140" s="140">
        <v>0</v>
      </c>
      <c r="BC1140" s="140">
        <v>0</v>
      </c>
      <c r="BD1140" s="140">
        <v>0</v>
      </c>
      <c r="BE1140" s="140">
        <v>0</v>
      </c>
      <c r="BF1140" s="140">
        <v>0</v>
      </c>
      <c r="BG1140" s="140">
        <v>0</v>
      </c>
      <c r="BH1140" s="140">
        <v>0</v>
      </c>
      <c r="BI1140" s="140">
        <v>0</v>
      </c>
      <c r="BJ1140" s="140">
        <v>0</v>
      </c>
      <c r="BK1140" s="140">
        <v>0</v>
      </c>
      <c r="BL1140" s="140">
        <v>0</v>
      </c>
      <c r="BM1140" s="140">
        <v>0</v>
      </c>
      <c r="BN1140" s="140">
        <v>0</v>
      </c>
      <c r="BO1140" s="140">
        <v>0</v>
      </c>
      <c r="BU1140" s="89"/>
      <c r="BV1140" s="43" t="s">
        <v>329</v>
      </c>
      <c r="BX1140" s="43">
        <v>20</v>
      </c>
      <c r="CE1140" s="90">
        <f t="shared" ref="CE1140:CS1148" si="161">$M1140/16</f>
        <v>1.875</v>
      </c>
      <c r="CF1140" s="90">
        <f t="shared" si="161"/>
        <v>1.875</v>
      </c>
      <c r="CG1140" s="90">
        <f t="shared" si="161"/>
        <v>1.875</v>
      </c>
      <c r="CH1140" s="90">
        <f t="shared" si="161"/>
        <v>1.875</v>
      </c>
      <c r="CI1140" s="90">
        <f t="shared" si="161"/>
        <v>1.875</v>
      </c>
      <c r="CJ1140" s="90">
        <f t="shared" si="161"/>
        <v>1.875</v>
      </c>
      <c r="CK1140" s="90">
        <f t="shared" si="161"/>
        <v>1.875</v>
      </c>
      <c r="CL1140" s="90">
        <f t="shared" si="161"/>
        <v>1.875</v>
      </c>
      <c r="CM1140" s="90">
        <f t="shared" si="161"/>
        <v>1.875</v>
      </c>
      <c r="CN1140" s="90">
        <f t="shared" si="161"/>
        <v>1.875</v>
      </c>
      <c r="CO1140" s="90">
        <f t="shared" si="161"/>
        <v>1.875</v>
      </c>
      <c r="CP1140" s="90">
        <f t="shared" si="161"/>
        <v>1.875</v>
      </c>
      <c r="CQ1140" s="90">
        <f t="shared" si="161"/>
        <v>1.875</v>
      </c>
      <c r="CR1140" s="90">
        <f t="shared" si="161"/>
        <v>1.875</v>
      </c>
      <c r="CS1140" s="90">
        <f t="shared" si="161"/>
        <v>1.875</v>
      </c>
      <c r="CT1140" s="90">
        <f t="shared" si="148"/>
        <v>0</v>
      </c>
      <c r="CU1140" s="90">
        <f t="shared" si="149"/>
        <v>9.375</v>
      </c>
    </row>
    <row r="1141" spans="1:99" ht="12" customHeight="1">
      <c r="A1141" s="43">
        <v>6873</v>
      </c>
      <c r="B1141" s="89" t="s">
        <v>2923</v>
      </c>
      <c r="C1141" s="89" t="s">
        <v>2973</v>
      </c>
      <c r="D1141" s="89" t="s">
        <v>2974</v>
      </c>
      <c r="F1141" s="43">
        <v>526409</v>
      </c>
      <c r="G1141" s="43">
        <v>175595</v>
      </c>
      <c r="H1141" s="89" t="s">
        <v>177</v>
      </c>
      <c r="K1141" s="140">
        <v>0</v>
      </c>
      <c r="L1141" s="140">
        <v>9</v>
      </c>
      <c r="M1141" s="140">
        <v>9</v>
      </c>
      <c r="N1141" s="140">
        <v>45</v>
      </c>
      <c r="O1141" s="140">
        <v>45</v>
      </c>
      <c r="P1141" s="43" t="s">
        <v>329</v>
      </c>
      <c r="Q1141" s="89" t="s">
        <v>2926</v>
      </c>
      <c r="R1141" s="43" t="s">
        <v>2927</v>
      </c>
      <c r="V1141" s="43" t="s">
        <v>317</v>
      </c>
      <c r="X1141" s="43" t="s">
        <v>318</v>
      </c>
      <c r="Y1141" s="43" t="s">
        <v>361</v>
      </c>
      <c r="Z1141" s="43" t="s">
        <v>320</v>
      </c>
      <c r="AA1141" s="43" t="s">
        <v>353</v>
      </c>
      <c r="AB1141" s="144">
        <v>0</v>
      </c>
      <c r="AF1141" s="43" t="s">
        <v>55</v>
      </c>
      <c r="AG1141" s="43" t="s">
        <v>457</v>
      </c>
      <c r="AH1141" s="43" t="s">
        <v>1949</v>
      </c>
      <c r="AI1141" s="43">
        <v>17320215</v>
      </c>
      <c r="AJ1141" s="140">
        <v>0</v>
      </c>
      <c r="AK1141" s="140">
        <v>0</v>
      </c>
      <c r="AL1141" s="140">
        <v>0</v>
      </c>
      <c r="AM1141" s="140">
        <v>0</v>
      </c>
      <c r="AN1141" s="140">
        <v>0</v>
      </c>
      <c r="AO1141" s="140">
        <v>0</v>
      </c>
      <c r="AP1141" s="140">
        <v>0</v>
      </c>
      <c r="AQ1141" s="140">
        <v>0</v>
      </c>
      <c r="AR1141" s="140">
        <v>0</v>
      </c>
      <c r="AS1141" s="140">
        <v>0</v>
      </c>
      <c r="AT1141" s="140">
        <v>9</v>
      </c>
      <c r="AU1141" s="140">
        <v>0</v>
      </c>
      <c r="AV1141" s="140">
        <v>0</v>
      </c>
      <c r="AW1141" s="140">
        <v>0</v>
      </c>
      <c r="AX1141" s="140">
        <v>0</v>
      </c>
      <c r="AY1141" s="140">
        <v>0</v>
      </c>
      <c r="AZ1141" s="140">
        <v>0</v>
      </c>
      <c r="BA1141" s="140">
        <v>9</v>
      </c>
      <c r="BB1141" s="140">
        <v>0</v>
      </c>
      <c r="BC1141" s="140">
        <v>0</v>
      </c>
      <c r="BD1141" s="140">
        <v>0</v>
      </c>
      <c r="BE1141" s="140">
        <v>0</v>
      </c>
      <c r="BF1141" s="140">
        <v>0</v>
      </c>
      <c r="BG1141" s="140">
        <v>0</v>
      </c>
      <c r="BH1141" s="140">
        <v>0</v>
      </c>
      <c r="BI1141" s="140">
        <v>0</v>
      </c>
      <c r="BJ1141" s="140">
        <v>0</v>
      </c>
      <c r="BK1141" s="140">
        <v>0</v>
      </c>
      <c r="BL1141" s="140">
        <v>0</v>
      </c>
      <c r="BM1141" s="140">
        <v>0</v>
      </c>
      <c r="BN1141" s="140">
        <v>0</v>
      </c>
      <c r="BO1141" s="140">
        <v>0</v>
      </c>
      <c r="BU1141" s="89"/>
      <c r="BV1141" s="43" t="s">
        <v>329</v>
      </c>
      <c r="BX1141" s="43">
        <v>20</v>
      </c>
      <c r="CE1141" s="90">
        <f t="shared" si="161"/>
        <v>0.5625</v>
      </c>
      <c r="CF1141" s="90">
        <f t="shared" si="161"/>
        <v>0.5625</v>
      </c>
      <c r="CG1141" s="90">
        <f t="shared" si="161"/>
        <v>0.5625</v>
      </c>
      <c r="CH1141" s="90">
        <f t="shared" si="161"/>
        <v>0.5625</v>
      </c>
      <c r="CI1141" s="90">
        <f t="shared" si="161"/>
        <v>0.5625</v>
      </c>
      <c r="CJ1141" s="90">
        <f t="shared" si="161"/>
        <v>0.5625</v>
      </c>
      <c r="CK1141" s="90">
        <f t="shared" si="161"/>
        <v>0.5625</v>
      </c>
      <c r="CL1141" s="90">
        <f t="shared" si="161"/>
        <v>0.5625</v>
      </c>
      <c r="CM1141" s="90">
        <f t="shared" si="161"/>
        <v>0.5625</v>
      </c>
      <c r="CN1141" s="90">
        <f t="shared" si="161"/>
        <v>0.5625</v>
      </c>
      <c r="CO1141" s="90">
        <f t="shared" si="161"/>
        <v>0.5625</v>
      </c>
      <c r="CP1141" s="90">
        <f t="shared" si="161"/>
        <v>0.5625</v>
      </c>
      <c r="CQ1141" s="90">
        <f t="shared" si="161"/>
        <v>0.5625</v>
      </c>
      <c r="CR1141" s="90">
        <f t="shared" si="161"/>
        <v>0.5625</v>
      </c>
      <c r="CS1141" s="90">
        <f t="shared" si="161"/>
        <v>0.5625</v>
      </c>
      <c r="CT1141" s="90">
        <f t="shared" si="148"/>
        <v>0</v>
      </c>
      <c r="CU1141" s="90">
        <f t="shared" si="149"/>
        <v>2.8125</v>
      </c>
    </row>
    <row r="1142" spans="1:99" ht="12" customHeight="1">
      <c r="A1142" s="43">
        <v>6873</v>
      </c>
      <c r="B1142" s="89" t="s">
        <v>2923</v>
      </c>
      <c r="C1142" s="89" t="s">
        <v>2973</v>
      </c>
      <c r="D1142" s="89" t="s">
        <v>2974</v>
      </c>
      <c r="F1142" s="43">
        <v>526409</v>
      </c>
      <c r="G1142" s="43">
        <v>175595</v>
      </c>
      <c r="H1142" s="89" t="s">
        <v>177</v>
      </c>
      <c r="K1142" s="140">
        <v>0</v>
      </c>
      <c r="L1142" s="140">
        <v>6</v>
      </c>
      <c r="M1142" s="140">
        <v>6</v>
      </c>
      <c r="N1142" s="140">
        <v>45</v>
      </c>
      <c r="O1142" s="140">
        <v>45</v>
      </c>
      <c r="P1142" s="43" t="s">
        <v>329</v>
      </c>
      <c r="Q1142" s="89" t="s">
        <v>2926</v>
      </c>
      <c r="R1142" s="43" t="s">
        <v>2927</v>
      </c>
      <c r="V1142" s="43" t="s">
        <v>317</v>
      </c>
      <c r="X1142" s="43" t="s">
        <v>318</v>
      </c>
      <c r="Y1142" s="43" t="s">
        <v>361</v>
      </c>
      <c r="Z1142" s="43" t="s">
        <v>320</v>
      </c>
      <c r="AA1142" s="43" t="s">
        <v>353</v>
      </c>
      <c r="AB1142" s="144">
        <v>0</v>
      </c>
      <c r="AF1142" s="43" t="s">
        <v>54</v>
      </c>
      <c r="AG1142" s="43" t="s">
        <v>399</v>
      </c>
      <c r="AH1142" s="43" t="s">
        <v>1949</v>
      </c>
      <c r="AI1142" s="43">
        <v>17320215</v>
      </c>
      <c r="AJ1142" s="140">
        <v>0</v>
      </c>
      <c r="AK1142" s="140">
        <v>0</v>
      </c>
      <c r="AL1142" s="140">
        <v>0</v>
      </c>
      <c r="AM1142" s="140">
        <v>0</v>
      </c>
      <c r="AN1142" s="140">
        <v>0</v>
      </c>
      <c r="AO1142" s="140">
        <v>0</v>
      </c>
      <c r="AP1142" s="140">
        <v>0</v>
      </c>
      <c r="AQ1142" s="140">
        <v>0</v>
      </c>
      <c r="AR1142" s="140">
        <v>0</v>
      </c>
      <c r="AS1142" s="140">
        <v>0</v>
      </c>
      <c r="AT1142" s="140">
        <v>6</v>
      </c>
      <c r="AU1142" s="140">
        <v>0</v>
      </c>
      <c r="AV1142" s="140">
        <v>0</v>
      </c>
      <c r="AW1142" s="140">
        <v>0</v>
      </c>
      <c r="AX1142" s="140">
        <v>0</v>
      </c>
      <c r="AY1142" s="140">
        <v>0</v>
      </c>
      <c r="AZ1142" s="140">
        <v>0</v>
      </c>
      <c r="BA1142" s="140">
        <v>6</v>
      </c>
      <c r="BB1142" s="140">
        <v>0</v>
      </c>
      <c r="BC1142" s="140">
        <v>0</v>
      </c>
      <c r="BD1142" s="140">
        <v>0</v>
      </c>
      <c r="BE1142" s="140">
        <v>0</v>
      </c>
      <c r="BF1142" s="140">
        <v>0</v>
      </c>
      <c r="BG1142" s="140">
        <v>0</v>
      </c>
      <c r="BH1142" s="140">
        <v>0</v>
      </c>
      <c r="BI1142" s="140">
        <v>0</v>
      </c>
      <c r="BJ1142" s="140">
        <v>0</v>
      </c>
      <c r="BK1142" s="140">
        <v>0</v>
      </c>
      <c r="BL1142" s="140">
        <v>0</v>
      </c>
      <c r="BM1142" s="140">
        <v>0</v>
      </c>
      <c r="BN1142" s="140">
        <v>0</v>
      </c>
      <c r="BO1142" s="140">
        <v>0</v>
      </c>
      <c r="BU1142" s="89"/>
      <c r="BV1142" s="43" t="s">
        <v>329</v>
      </c>
      <c r="BX1142" s="43">
        <v>20</v>
      </c>
      <c r="CE1142" s="90">
        <f t="shared" si="161"/>
        <v>0.375</v>
      </c>
      <c r="CF1142" s="90">
        <f t="shared" si="161"/>
        <v>0.375</v>
      </c>
      <c r="CG1142" s="90">
        <f t="shared" si="161"/>
        <v>0.375</v>
      </c>
      <c r="CH1142" s="90">
        <f t="shared" si="161"/>
        <v>0.375</v>
      </c>
      <c r="CI1142" s="90">
        <f t="shared" si="161"/>
        <v>0.375</v>
      </c>
      <c r="CJ1142" s="90">
        <f t="shared" si="161"/>
        <v>0.375</v>
      </c>
      <c r="CK1142" s="90">
        <f t="shared" si="161"/>
        <v>0.375</v>
      </c>
      <c r="CL1142" s="90">
        <f t="shared" si="161"/>
        <v>0.375</v>
      </c>
      <c r="CM1142" s="90">
        <f t="shared" si="161"/>
        <v>0.375</v>
      </c>
      <c r="CN1142" s="90">
        <f t="shared" si="161"/>
        <v>0.375</v>
      </c>
      <c r="CO1142" s="90">
        <f t="shared" si="161"/>
        <v>0.375</v>
      </c>
      <c r="CP1142" s="90">
        <f t="shared" si="161"/>
        <v>0.375</v>
      </c>
      <c r="CQ1142" s="90">
        <f t="shared" si="161"/>
        <v>0.375</v>
      </c>
      <c r="CR1142" s="90">
        <f t="shared" si="161"/>
        <v>0.375</v>
      </c>
      <c r="CS1142" s="90">
        <f t="shared" si="161"/>
        <v>0.375</v>
      </c>
      <c r="CT1142" s="90">
        <f t="shared" si="148"/>
        <v>0</v>
      </c>
      <c r="CU1142" s="90">
        <f t="shared" si="149"/>
        <v>1.875</v>
      </c>
    </row>
    <row r="1143" spans="1:99" ht="12" customHeight="1">
      <c r="A1143" s="43">
        <v>6874</v>
      </c>
      <c r="B1143" s="89" t="s">
        <v>2923</v>
      </c>
      <c r="C1143" s="89" t="s">
        <v>2975</v>
      </c>
      <c r="D1143" s="89" t="s">
        <v>2976</v>
      </c>
      <c r="F1143" s="43">
        <v>526442</v>
      </c>
      <c r="G1143" s="43">
        <v>175680</v>
      </c>
      <c r="H1143" s="89" t="s">
        <v>177</v>
      </c>
      <c r="K1143" s="140">
        <v>0</v>
      </c>
      <c r="L1143" s="140">
        <v>35</v>
      </c>
      <c r="M1143" s="140">
        <v>35</v>
      </c>
      <c r="N1143" s="140">
        <v>52</v>
      </c>
      <c r="O1143" s="140">
        <v>52</v>
      </c>
      <c r="P1143" s="43" t="s">
        <v>329</v>
      </c>
      <c r="Q1143" s="89" t="s">
        <v>2926</v>
      </c>
      <c r="R1143" s="43" t="s">
        <v>2927</v>
      </c>
      <c r="V1143" s="43" t="s">
        <v>317</v>
      </c>
      <c r="X1143" s="43" t="s">
        <v>318</v>
      </c>
      <c r="Y1143" s="43" t="s">
        <v>361</v>
      </c>
      <c r="Z1143" s="43" t="s">
        <v>361</v>
      </c>
      <c r="AA1143" s="43" t="s">
        <v>320</v>
      </c>
      <c r="AB1143" s="144">
        <v>0</v>
      </c>
      <c r="AF1143" s="43" t="s">
        <v>75</v>
      </c>
      <c r="AG1143" s="43" t="s">
        <v>322</v>
      </c>
      <c r="AH1143" s="43" t="s">
        <v>2977</v>
      </c>
      <c r="AI1143" s="43">
        <v>17320341</v>
      </c>
      <c r="AJ1143" s="140">
        <v>0</v>
      </c>
      <c r="AK1143" s="140">
        <v>0</v>
      </c>
      <c r="AL1143" s="140">
        <v>0</v>
      </c>
      <c r="AM1143" s="140">
        <v>0</v>
      </c>
      <c r="AN1143" s="140">
        <v>0</v>
      </c>
      <c r="AO1143" s="140">
        <v>0</v>
      </c>
      <c r="AP1143" s="140">
        <v>0</v>
      </c>
      <c r="AQ1143" s="140">
        <v>0</v>
      </c>
      <c r="AR1143" s="140">
        <v>0</v>
      </c>
      <c r="AS1143" s="140">
        <v>0</v>
      </c>
      <c r="AT1143" s="140">
        <v>35</v>
      </c>
      <c r="AU1143" s="140">
        <v>0</v>
      </c>
      <c r="AV1143" s="140">
        <v>0</v>
      </c>
      <c r="AW1143" s="140">
        <v>0</v>
      </c>
      <c r="AX1143" s="140">
        <v>0</v>
      </c>
      <c r="AY1143" s="140">
        <v>0</v>
      </c>
      <c r="AZ1143" s="140">
        <v>0</v>
      </c>
      <c r="BA1143" s="140">
        <v>35</v>
      </c>
      <c r="BB1143" s="140">
        <v>0</v>
      </c>
      <c r="BC1143" s="140">
        <v>0</v>
      </c>
      <c r="BD1143" s="140">
        <v>0</v>
      </c>
      <c r="BE1143" s="140">
        <v>0</v>
      </c>
      <c r="BF1143" s="140">
        <v>0</v>
      </c>
      <c r="BG1143" s="140">
        <v>0</v>
      </c>
      <c r="BH1143" s="140">
        <v>0</v>
      </c>
      <c r="BI1143" s="140">
        <v>0</v>
      </c>
      <c r="BJ1143" s="140">
        <v>0</v>
      </c>
      <c r="BK1143" s="140">
        <v>0</v>
      </c>
      <c r="BL1143" s="140">
        <v>0</v>
      </c>
      <c r="BM1143" s="140">
        <v>0</v>
      </c>
      <c r="BN1143" s="140">
        <v>0</v>
      </c>
      <c r="BO1143" s="140">
        <v>0</v>
      </c>
      <c r="BU1143" s="89"/>
      <c r="BV1143" s="43" t="s">
        <v>329</v>
      </c>
      <c r="BX1143" s="43">
        <v>20</v>
      </c>
      <c r="CE1143" s="90">
        <f t="shared" si="161"/>
        <v>2.1875</v>
      </c>
      <c r="CF1143" s="90">
        <f t="shared" si="161"/>
        <v>2.1875</v>
      </c>
      <c r="CG1143" s="90">
        <f t="shared" si="161"/>
        <v>2.1875</v>
      </c>
      <c r="CH1143" s="90">
        <f t="shared" si="161"/>
        <v>2.1875</v>
      </c>
      <c r="CI1143" s="90">
        <f t="shared" si="161"/>
        <v>2.1875</v>
      </c>
      <c r="CJ1143" s="90">
        <f t="shared" si="161"/>
        <v>2.1875</v>
      </c>
      <c r="CK1143" s="90">
        <f t="shared" si="161"/>
        <v>2.1875</v>
      </c>
      <c r="CL1143" s="90">
        <f t="shared" si="161"/>
        <v>2.1875</v>
      </c>
      <c r="CM1143" s="90">
        <f t="shared" si="161"/>
        <v>2.1875</v>
      </c>
      <c r="CN1143" s="90">
        <f t="shared" si="161"/>
        <v>2.1875</v>
      </c>
      <c r="CO1143" s="90">
        <f t="shared" si="161"/>
        <v>2.1875</v>
      </c>
      <c r="CP1143" s="90">
        <f t="shared" si="161"/>
        <v>2.1875</v>
      </c>
      <c r="CQ1143" s="90">
        <f t="shared" si="161"/>
        <v>2.1875</v>
      </c>
      <c r="CR1143" s="90">
        <f t="shared" si="161"/>
        <v>2.1875</v>
      </c>
      <c r="CS1143" s="90">
        <f t="shared" si="161"/>
        <v>2.1875</v>
      </c>
      <c r="CT1143" s="90">
        <f t="shared" si="148"/>
        <v>0</v>
      </c>
      <c r="CU1143" s="90">
        <f t="shared" si="149"/>
        <v>10.9375</v>
      </c>
    </row>
    <row r="1144" spans="1:99" ht="12" customHeight="1">
      <c r="A1144" s="43">
        <v>6874</v>
      </c>
      <c r="B1144" s="89" t="s">
        <v>2923</v>
      </c>
      <c r="C1144" s="89" t="s">
        <v>2975</v>
      </c>
      <c r="D1144" s="89" t="s">
        <v>2976</v>
      </c>
      <c r="F1144" s="43">
        <v>526442</v>
      </c>
      <c r="G1144" s="43">
        <v>175680</v>
      </c>
      <c r="H1144" s="89" t="s">
        <v>177</v>
      </c>
      <c r="K1144" s="140">
        <v>0</v>
      </c>
      <c r="L1144" s="140">
        <v>10</v>
      </c>
      <c r="M1144" s="140">
        <v>10</v>
      </c>
      <c r="N1144" s="140">
        <v>52</v>
      </c>
      <c r="O1144" s="140">
        <v>52</v>
      </c>
      <c r="P1144" s="43" t="s">
        <v>329</v>
      </c>
      <c r="Q1144" s="89" t="s">
        <v>2926</v>
      </c>
      <c r="R1144" s="43" t="s">
        <v>2927</v>
      </c>
      <c r="V1144" s="43" t="s">
        <v>317</v>
      </c>
      <c r="X1144" s="43" t="s">
        <v>318</v>
      </c>
      <c r="Y1144" s="43" t="s">
        <v>361</v>
      </c>
      <c r="Z1144" s="43" t="s">
        <v>361</v>
      </c>
      <c r="AA1144" s="43" t="s">
        <v>320</v>
      </c>
      <c r="AB1144" s="144">
        <v>0</v>
      </c>
      <c r="AF1144" s="43" t="s">
        <v>55</v>
      </c>
      <c r="AG1144" s="43" t="s">
        <v>457</v>
      </c>
      <c r="AH1144" s="43" t="s">
        <v>2977</v>
      </c>
      <c r="AI1144" s="43">
        <v>17320341</v>
      </c>
      <c r="AJ1144" s="140">
        <v>0</v>
      </c>
      <c r="AK1144" s="140">
        <v>0</v>
      </c>
      <c r="AL1144" s="140">
        <v>0</v>
      </c>
      <c r="AM1144" s="140">
        <v>0</v>
      </c>
      <c r="AN1144" s="140">
        <v>0</v>
      </c>
      <c r="AO1144" s="140">
        <v>0</v>
      </c>
      <c r="AP1144" s="140">
        <v>0</v>
      </c>
      <c r="AQ1144" s="140">
        <v>0</v>
      </c>
      <c r="AR1144" s="140">
        <v>0</v>
      </c>
      <c r="AS1144" s="140">
        <v>0</v>
      </c>
      <c r="AT1144" s="140">
        <v>10</v>
      </c>
      <c r="AU1144" s="140">
        <v>0</v>
      </c>
      <c r="AV1144" s="140">
        <v>0</v>
      </c>
      <c r="AW1144" s="140">
        <v>0</v>
      </c>
      <c r="AX1144" s="140">
        <v>0</v>
      </c>
      <c r="AY1144" s="140">
        <v>0</v>
      </c>
      <c r="AZ1144" s="140">
        <v>0</v>
      </c>
      <c r="BA1144" s="140">
        <v>10</v>
      </c>
      <c r="BB1144" s="140">
        <v>0</v>
      </c>
      <c r="BC1144" s="140">
        <v>0</v>
      </c>
      <c r="BD1144" s="140">
        <v>0</v>
      </c>
      <c r="BE1144" s="140">
        <v>0</v>
      </c>
      <c r="BF1144" s="140">
        <v>0</v>
      </c>
      <c r="BG1144" s="140">
        <v>0</v>
      </c>
      <c r="BH1144" s="140">
        <v>0</v>
      </c>
      <c r="BI1144" s="140">
        <v>0</v>
      </c>
      <c r="BJ1144" s="140">
        <v>0</v>
      </c>
      <c r="BK1144" s="140">
        <v>0</v>
      </c>
      <c r="BL1144" s="140">
        <v>0</v>
      </c>
      <c r="BM1144" s="140">
        <v>0</v>
      </c>
      <c r="BN1144" s="140">
        <v>0</v>
      </c>
      <c r="BO1144" s="140">
        <v>0</v>
      </c>
      <c r="BU1144" s="89"/>
      <c r="BV1144" s="43" t="s">
        <v>329</v>
      </c>
      <c r="BX1144" s="43">
        <v>20</v>
      </c>
      <c r="CE1144" s="90">
        <f t="shared" si="161"/>
        <v>0.625</v>
      </c>
      <c r="CF1144" s="90">
        <f t="shared" si="161"/>
        <v>0.625</v>
      </c>
      <c r="CG1144" s="90">
        <f t="shared" si="161"/>
        <v>0.625</v>
      </c>
      <c r="CH1144" s="90">
        <f t="shared" si="161"/>
        <v>0.625</v>
      </c>
      <c r="CI1144" s="90">
        <f t="shared" si="161"/>
        <v>0.625</v>
      </c>
      <c r="CJ1144" s="90">
        <f t="shared" si="161"/>
        <v>0.625</v>
      </c>
      <c r="CK1144" s="90">
        <f t="shared" si="161"/>
        <v>0.625</v>
      </c>
      <c r="CL1144" s="90">
        <f t="shared" si="161"/>
        <v>0.625</v>
      </c>
      <c r="CM1144" s="90">
        <f t="shared" si="161"/>
        <v>0.625</v>
      </c>
      <c r="CN1144" s="90">
        <f t="shared" si="161"/>
        <v>0.625</v>
      </c>
      <c r="CO1144" s="90">
        <f t="shared" si="161"/>
        <v>0.625</v>
      </c>
      <c r="CP1144" s="90">
        <f t="shared" si="161"/>
        <v>0.625</v>
      </c>
      <c r="CQ1144" s="90">
        <f t="shared" si="161"/>
        <v>0.625</v>
      </c>
      <c r="CR1144" s="90">
        <f t="shared" si="161"/>
        <v>0.625</v>
      </c>
      <c r="CS1144" s="90">
        <f t="shared" si="161"/>
        <v>0.625</v>
      </c>
      <c r="CT1144" s="90">
        <f t="shared" si="148"/>
        <v>0</v>
      </c>
      <c r="CU1144" s="90">
        <f t="shared" si="149"/>
        <v>3.125</v>
      </c>
    </row>
    <row r="1145" spans="1:99" ht="12" customHeight="1">
      <c r="A1145" s="43">
        <v>6874</v>
      </c>
      <c r="B1145" s="89" t="s">
        <v>2923</v>
      </c>
      <c r="C1145" s="89" t="s">
        <v>2975</v>
      </c>
      <c r="D1145" s="89" t="s">
        <v>2976</v>
      </c>
      <c r="F1145" s="43">
        <v>526442</v>
      </c>
      <c r="G1145" s="43">
        <v>175680</v>
      </c>
      <c r="H1145" s="89" t="s">
        <v>177</v>
      </c>
      <c r="K1145" s="140">
        <v>0</v>
      </c>
      <c r="L1145" s="140">
        <v>7</v>
      </c>
      <c r="M1145" s="140">
        <v>7</v>
      </c>
      <c r="N1145" s="140">
        <v>52</v>
      </c>
      <c r="O1145" s="140">
        <v>52</v>
      </c>
      <c r="P1145" s="43" t="s">
        <v>329</v>
      </c>
      <c r="Q1145" s="89" t="s">
        <v>2926</v>
      </c>
      <c r="R1145" s="43" t="s">
        <v>2927</v>
      </c>
      <c r="V1145" s="43" t="s">
        <v>317</v>
      </c>
      <c r="X1145" s="43" t="s">
        <v>318</v>
      </c>
      <c r="Y1145" s="43" t="s">
        <v>361</v>
      </c>
      <c r="Z1145" s="43" t="s">
        <v>320</v>
      </c>
      <c r="AA1145" s="43" t="s">
        <v>353</v>
      </c>
      <c r="AB1145" s="144">
        <v>0</v>
      </c>
      <c r="AF1145" s="43" t="s">
        <v>54</v>
      </c>
      <c r="AG1145" s="43" t="s">
        <v>399</v>
      </c>
      <c r="AH1145" s="43" t="s">
        <v>2977</v>
      </c>
      <c r="AI1145" s="43">
        <v>17320341</v>
      </c>
      <c r="AJ1145" s="140">
        <v>0</v>
      </c>
      <c r="AK1145" s="140">
        <v>0</v>
      </c>
      <c r="AL1145" s="140">
        <v>0</v>
      </c>
      <c r="AM1145" s="140">
        <v>0</v>
      </c>
      <c r="AN1145" s="140">
        <v>0</v>
      </c>
      <c r="AO1145" s="140">
        <v>0</v>
      </c>
      <c r="AP1145" s="140">
        <v>0</v>
      </c>
      <c r="AQ1145" s="140">
        <v>0</v>
      </c>
      <c r="AR1145" s="140">
        <v>0</v>
      </c>
      <c r="AS1145" s="140">
        <v>0</v>
      </c>
      <c r="AT1145" s="140">
        <v>7</v>
      </c>
      <c r="AU1145" s="140">
        <v>0</v>
      </c>
      <c r="AV1145" s="140">
        <v>0</v>
      </c>
      <c r="AW1145" s="140">
        <v>0</v>
      </c>
      <c r="AX1145" s="140">
        <v>0</v>
      </c>
      <c r="AY1145" s="140">
        <v>0</v>
      </c>
      <c r="AZ1145" s="140">
        <v>0</v>
      </c>
      <c r="BA1145" s="140">
        <v>7</v>
      </c>
      <c r="BB1145" s="140">
        <v>0</v>
      </c>
      <c r="BC1145" s="140">
        <v>0</v>
      </c>
      <c r="BD1145" s="140">
        <v>0</v>
      </c>
      <c r="BE1145" s="140">
        <v>0</v>
      </c>
      <c r="BF1145" s="140">
        <v>0</v>
      </c>
      <c r="BG1145" s="140">
        <v>0</v>
      </c>
      <c r="BH1145" s="140">
        <v>0</v>
      </c>
      <c r="BI1145" s="140">
        <v>0</v>
      </c>
      <c r="BJ1145" s="140">
        <v>0</v>
      </c>
      <c r="BK1145" s="140">
        <v>0</v>
      </c>
      <c r="BL1145" s="140">
        <v>0</v>
      </c>
      <c r="BM1145" s="140">
        <v>0</v>
      </c>
      <c r="BN1145" s="140">
        <v>0</v>
      </c>
      <c r="BO1145" s="140">
        <v>0</v>
      </c>
      <c r="BU1145" s="89"/>
      <c r="BV1145" s="43" t="s">
        <v>329</v>
      </c>
      <c r="BX1145" s="43">
        <v>20</v>
      </c>
      <c r="CE1145" s="90">
        <f t="shared" si="161"/>
        <v>0.4375</v>
      </c>
      <c r="CF1145" s="90">
        <f t="shared" si="161"/>
        <v>0.4375</v>
      </c>
      <c r="CG1145" s="90">
        <f t="shared" si="161"/>
        <v>0.4375</v>
      </c>
      <c r="CH1145" s="90">
        <f t="shared" si="161"/>
        <v>0.4375</v>
      </c>
      <c r="CI1145" s="90">
        <f t="shared" si="161"/>
        <v>0.4375</v>
      </c>
      <c r="CJ1145" s="90">
        <f t="shared" si="161"/>
        <v>0.4375</v>
      </c>
      <c r="CK1145" s="90">
        <f t="shared" si="161"/>
        <v>0.4375</v>
      </c>
      <c r="CL1145" s="90">
        <f t="shared" si="161"/>
        <v>0.4375</v>
      </c>
      <c r="CM1145" s="90">
        <f t="shared" si="161"/>
        <v>0.4375</v>
      </c>
      <c r="CN1145" s="90">
        <f t="shared" si="161"/>
        <v>0.4375</v>
      </c>
      <c r="CO1145" s="90">
        <f t="shared" si="161"/>
        <v>0.4375</v>
      </c>
      <c r="CP1145" s="90">
        <f t="shared" si="161"/>
        <v>0.4375</v>
      </c>
      <c r="CQ1145" s="90">
        <f t="shared" si="161"/>
        <v>0.4375</v>
      </c>
      <c r="CR1145" s="90">
        <f t="shared" si="161"/>
        <v>0.4375</v>
      </c>
      <c r="CS1145" s="90">
        <f t="shared" si="161"/>
        <v>0.4375</v>
      </c>
      <c r="CT1145" s="90">
        <f t="shared" si="148"/>
        <v>0</v>
      </c>
      <c r="CU1145" s="90">
        <f t="shared" si="149"/>
        <v>2.1875</v>
      </c>
    </row>
    <row r="1146" spans="1:99" ht="12" customHeight="1">
      <c r="A1146" s="43">
        <v>6876</v>
      </c>
      <c r="B1146" s="89" t="s">
        <v>2923</v>
      </c>
      <c r="C1146" s="89" t="s">
        <v>2978</v>
      </c>
      <c r="D1146" s="89" t="s">
        <v>2979</v>
      </c>
      <c r="F1146" s="43">
        <v>526665</v>
      </c>
      <c r="G1146" s="43">
        <v>176051</v>
      </c>
      <c r="H1146" s="89" t="s">
        <v>177</v>
      </c>
      <c r="K1146" s="140">
        <v>0</v>
      </c>
      <c r="L1146" s="140">
        <v>60</v>
      </c>
      <c r="M1146" s="140">
        <v>60</v>
      </c>
      <c r="N1146" s="140">
        <v>90</v>
      </c>
      <c r="O1146" s="140">
        <v>90</v>
      </c>
      <c r="P1146" s="43" t="s">
        <v>329</v>
      </c>
      <c r="Q1146" s="89" t="s">
        <v>2926</v>
      </c>
      <c r="R1146" s="43" t="s">
        <v>2927</v>
      </c>
      <c r="V1146" s="43" t="s">
        <v>317</v>
      </c>
      <c r="X1146" s="43" t="s">
        <v>318</v>
      </c>
      <c r="Y1146" s="43" t="s">
        <v>361</v>
      </c>
      <c r="Z1146" s="43" t="s">
        <v>361</v>
      </c>
      <c r="AA1146" s="43" t="s">
        <v>320</v>
      </c>
      <c r="AB1146" s="144">
        <v>0</v>
      </c>
      <c r="AF1146" s="43" t="s">
        <v>75</v>
      </c>
      <c r="AG1146" s="43" t="s">
        <v>322</v>
      </c>
      <c r="AH1146" s="43" t="s">
        <v>2980</v>
      </c>
      <c r="AI1146" s="43">
        <v>17320216</v>
      </c>
      <c r="AJ1146" s="140">
        <v>0</v>
      </c>
      <c r="AK1146" s="140">
        <v>0</v>
      </c>
      <c r="AL1146" s="140">
        <v>0</v>
      </c>
      <c r="AM1146" s="140">
        <v>0</v>
      </c>
      <c r="AN1146" s="140">
        <v>0</v>
      </c>
      <c r="AO1146" s="140">
        <v>0</v>
      </c>
      <c r="AP1146" s="140">
        <v>0</v>
      </c>
      <c r="AQ1146" s="140">
        <v>0</v>
      </c>
      <c r="AR1146" s="140">
        <v>0</v>
      </c>
      <c r="AS1146" s="140">
        <v>0</v>
      </c>
      <c r="AT1146" s="140">
        <v>60</v>
      </c>
      <c r="AU1146" s="140">
        <v>0</v>
      </c>
      <c r="AV1146" s="140">
        <v>0</v>
      </c>
      <c r="AW1146" s="140">
        <v>0</v>
      </c>
      <c r="AX1146" s="140">
        <v>0</v>
      </c>
      <c r="AY1146" s="140">
        <v>0</v>
      </c>
      <c r="AZ1146" s="140">
        <v>0</v>
      </c>
      <c r="BA1146" s="140">
        <v>60</v>
      </c>
      <c r="BB1146" s="140">
        <v>0</v>
      </c>
      <c r="BC1146" s="140">
        <v>0</v>
      </c>
      <c r="BD1146" s="140">
        <v>0</v>
      </c>
      <c r="BE1146" s="140">
        <v>0</v>
      </c>
      <c r="BF1146" s="140">
        <v>0</v>
      </c>
      <c r="BG1146" s="140">
        <v>0</v>
      </c>
      <c r="BH1146" s="140">
        <v>0</v>
      </c>
      <c r="BI1146" s="140">
        <v>0</v>
      </c>
      <c r="BJ1146" s="140">
        <v>0</v>
      </c>
      <c r="BK1146" s="140">
        <v>0</v>
      </c>
      <c r="BL1146" s="140">
        <v>0</v>
      </c>
      <c r="BM1146" s="140">
        <v>0</v>
      </c>
      <c r="BN1146" s="140">
        <v>0</v>
      </c>
      <c r="BO1146" s="140">
        <v>0</v>
      </c>
      <c r="BU1146" s="89"/>
      <c r="BV1146" s="43" t="s">
        <v>329</v>
      </c>
      <c r="BX1146" s="43">
        <v>20</v>
      </c>
      <c r="CE1146" s="90">
        <f t="shared" si="161"/>
        <v>3.75</v>
      </c>
      <c r="CF1146" s="90">
        <f t="shared" si="161"/>
        <v>3.75</v>
      </c>
      <c r="CG1146" s="90">
        <f t="shared" si="161"/>
        <v>3.75</v>
      </c>
      <c r="CH1146" s="90">
        <f t="shared" si="161"/>
        <v>3.75</v>
      </c>
      <c r="CI1146" s="90">
        <f t="shared" si="161"/>
        <v>3.75</v>
      </c>
      <c r="CJ1146" s="90">
        <f t="shared" si="161"/>
        <v>3.75</v>
      </c>
      <c r="CK1146" s="90">
        <f t="shared" si="161"/>
        <v>3.75</v>
      </c>
      <c r="CL1146" s="90">
        <f t="shared" si="161"/>
        <v>3.75</v>
      </c>
      <c r="CM1146" s="90">
        <f t="shared" si="161"/>
        <v>3.75</v>
      </c>
      <c r="CN1146" s="90">
        <f t="shared" si="161"/>
        <v>3.75</v>
      </c>
      <c r="CO1146" s="90">
        <f t="shared" si="161"/>
        <v>3.75</v>
      </c>
      <c r="CP1146" s="90">
        <f t="shared" si="161"/>
        <v>3.75</v>
      </c>
      <c r="CQ1146" s="90">
        <f t="shared" si="161"/>
        <v>3.75</v>
      </c>
      <c r="CR1146" s="90">
        <f t="shared" si="161"/>
        <v>3.75</v>
      </c>
      <c r="CS1146" s="90">
        <f t="shared" si="161"/>
        <v>3.75</v>
      </c>
      <c r="CT1146" s="90">
        <f t="shared" si="148"/>
        <v>0</v>
      </c>
      <c r="CU1146" s="90">
        <f t="shared" si="149"/>
        <v>18.75</v>
      </c>
    </row>
    <row r="1147" spans="1:99" ht="12" customHeight="1">
      <c r="A1147" s="43">
        <v>6876</v>
      </c>
      <c r="B1147" s="89" t="s">
        <v>2923</v>
      </c>
      <c r="C1147" s="89" t="s">
        <v>2978</v>
      </c>
      <c r="D1147" s="89" t="s">
        <v>2979</v>
      </c>
      <c r="F1147" s="43">
        <v>526665</v>
      </c>
      <c r="G1147" s="43">
        <v>176051</v>
      </c>
      <c r="H1147" s="89" t="s">
        <v>177</v>
      </c>
      <c r="K1147" s="140">
        <v>0</v>
      </c>
      <c r="L1147" s="140">
        <v>18</v>
      </c>
      <c r="M1147" s="140">
        <v>18</v>
      </c>
      <c r="N1147" s="140">
        <v>90</v>
      </c>
      <c r="O1147" s="140">
        <v>90</v>
      </c>
      <c r="P1147" s="43" t="s">
        <v>329</v>
      </c>
      <c r="Q1147" s="89" t="s">
        <v>2926</v>
      </c>
      <c r="R1147" s="43" t="s">
        <v>2927</v>
      </c>
      <c r="V1147" s="43" t="s">
        <v>317</v>
      </c>
      <c r="X1147" s="43" t="s">
        <v>318</v>
      </c>
      <c r="Y1147" s="43" t="s">
        <v>361</v>
      </c>
      <c r="Z1147" s="43" t="s">
        <v>361</v>
      </c>
      <c r="AA1147" s="43" t="s">
        <v>320</v>
      </c>
      <c r="AB1147" s="144">
        <v>0</v>
      </c>
      <c r="AF1147" s="43" t="s">
        <v>55</v>
      </c>
      <c r="AG1147" s="43" t="s">
        <v>457</v>
      </c>
      <c r="AH1147" s="43" t="s">
        <v>2980</v>
      </c>
      <c r="AI1147" s="43">
        <v>17320216</v>
      </c>
      <c r="AJ1147" s="140">
        <v>0</v>
      </c>
      <c r="AK1147" s="140">
        <v>0</v>
      </c>
      <c r="AL1147" s="140">
        <v>0</v>
      </c>
      <c r="AM1147" s="140">
        <v>0</v>
      </c>
      <c r="AN1147" s="140">
        <v>0</v>
      </c>
      <c r="AO1147" s="140">
        <v>0</v>
      </c>
      <c r="AP1147" s="140">
        <v>0</v>
      </c>
      <c r="AQ1147" s="140">
        <v>0</v>
      </c>
      <c r="AR1147" s="140">
        <v>0</v>
      </c>
      <c r="AS1147" s="140">
        <v>0</v>
      </c>
      <c r="AT1147" s="140">
        <v>18</v>
      </c>
      <c r="AU1147" s="140">
        <v>0</v>
      </c>
      <c r="AV1147" s="140">
        <v>0</v>
      </c>
      <c r="AW1147" s="140">
        <v>0</v>
      </c>
      <c r="AX1147" s="140">
        <v>0</v>
      </c>
      <c r="AY1147" s="140">
        <v>0</v>
      </c>
      <c r="AZ1147" s="140">
        <v>0</v>
      </c>
      <c r="BA1147" s="140">
        <v>18</v>
      </c>
      <c r="BB1147" s="140">
        <v>0</v>
      </c>
      <c r="BC1147" s="140">
        <v>0</v>
      </c>
      <c r="BD1147" s="140">
        <v>0</v>
      </c>
      <c r="BE1147" s="140">
        <v>0</v>
      </c>
      <c r="BF1147" s="140">
        <v>0</v>
      </c>
      <c r="BG1147" s="140">
        <v>0</v>
      </c>
      <c r="BH1147" s="140">
        <v>0</v>
      </c>
      <c r="BI1147" s="140">
        <v>0</v>
      </c>
      <c r="BJ1147" s="140">
        <v>0</v>
      </c>
      <c r="BK1147" s="140">
        <v>0</v>
      </c>
      <c r="BL1147" s="140">
        <v>0</v>
      </c>
      <c r="BM1147" s="140">
        <v>0</v>
      </c>
      <c r="BN1147" s="140">
        <v>0</v>
      </c>
      <c r="BO1147" s="140">
        <v>0</v>
      </c>
      <c r="BU1147" s="89"/>
      <c r="BV1147" s="43" t="s">
        <v>329</v>
      </c>
      <c r="BX1147" s="43">
        <v>20</v>
      </c>
      <c r="CE1147" s="90">
        <f t="shared" si="161"/>
        <v>1.125</v>
      </c>
      <c r="CF1147" s="90">
        <f t="shared" si="161"/>
        <v>1.125</v>
      </c>
      <c r="CG1147" s="90">
        <f t="shared" si="161"/>
        <v>1.125</v>
      </c>
      <c r="CH1147" s="90">
        <f t="shared" si="161"/>
        <v>1.125</v>
      </c>
      <c r="CI1147" s="90">
        <f t="shared" si="161"/>
        <v>1.125</v>
      </c>
      <c r="CJ1147" s="90">
        <f t="shared" si="161"/>
        <v>1.125</v>
      </c>
      <c r="CK1147" s="90">
        <f t="shared" si="161"/>
        <v>1.125</v>
      </c>
      <c r="CL1147" s="90">
        <f t="shared" si="161"/>
        <v>1.125</v>
      </c>
      <c r="CM1147" s="90">
        <f t="shared" si="161"/>
        <v>1.125</v>
      </c>
      <c r="CN1147" s="90">
        <f t="shared" si="161"/>
        <v>1.125</v>
      </c>
      <c r="CO1147" s="90">
        <f t="shared" si="161"/>
        <v>1.125</v>
      </c>
      <c r="CP1147" s="90">
        <f t="shared" si="161"/>
        <v>1.125</v>
      </c>
      <c r="CQ1147" s="90">
        <f t="shared" si="161"/>
        <v>1.125</v>
      </c>
      <c r="CR1147" s="90">
        <f t="shared" si="161"/>
        <v>1.125</v>
      </c>
      <c r="CS1147" s="90">
        <f t="shared" si="161"/>
        <v>1.125</v>
      </c>
      <c r="CT1147" s="90">
        <f t="shared" si="148"/>
        <v>0</v>
      </c>
      <c r="CU1147" s="90">
        <f t="shared" si="149"/>
        <v>5.625</v>
      </c>
    </row>
    <row r="1148" spans="1:99" ht="12" customHeight="1">
      <c r="A1148" s="43">
        <v>6876</v>
      </c>
      <c r="B1148" s="89" t="s">
        <v>2923</v>
      </c>
      <c r="C1148" s="89" t="s">
        <v>2978</v>
      </c>
      <c r="D1148" s="89" t="s">
        <v>2979</v>
      </c>
      <c r="F1148" s="43">
        <v>526665</v>
      </c>
      <c r="G1148" s="43">
        <v>176051</v>
      </c>
      <c r="H1148" s="89" t="s">
        <v>177</v>
      </c>
      <c r="K1148" s="140">
        <v>0</v>
      </c>
      <c r="L1148" s="140">
        <v>12</v>
      </c>
      <c r="M1148" s="140">
        <v>12</v>
      </c>
      <c r="N1148" s="140">
        <v>90</v>
      </c>
      <c r="O1148" s="140">
        <v>90</v>
      </c>
      <c r="P1148" s="43" t="s">
        <v>329</v>
      </c>
      <c r="Q1148" s="89" t="s">
        <v>2926</v>
      </c>
      <c r="R1148" s="43" t="s">
        <v>2927</v>
      </c>
      <c r="V1148" s="43" t="s">
        <v>317</v>
      </c>
      <c r="X1148" s="43" t="s">
        <v>318</v>
      </c>
      <c r="Y1148" s="43" t="s">
        <v>361</v>
      </c>
      <c r="Z1148" s="43" t="s">
        <v>361</v>
      </c>
      <c r="AA1148" s="43" t="s">
        <v>320</v>
      </c>
      <c r="AB1148" s="144">
        <v>0</v>
      </c>
      <c r="AF1148" s="43" t="s">
        <v>54</v>
      </c>
      <c r="AG1148" s="43" t="s">
        <v>399</v>
      </c>
      <c r="AH1148" s="43" t="s">
        <v>2980</v>
      </c>
      <c r="AI1148" s="43">
        <v>17320216</v>
      </c>
      <c r="AJ1148" s="140">
        <v>0</v>
      </c>
      <c r="AK1148" s="140">
        <v>0</v>
      </c>
      <c r="AL1148" s="140">
        <v>0</v>
      </c>
      <c r="AM1148" s="140">
        <v>0</v>
      </c>
      <c r="AN1148" s="140">
        <v>0</v>
      </c>
      <c r="AO1148" s="140">
        <v>0</v>
      </c>
      <c r="AP1148" s="140">
        <v>0</v>
      </c>
      <c r="AQ1148" s="140">
        <v>0</v>
      </c>
      <c r="AR1148" s="140">
        <v>0</v>
      </c>
      <c r="AS1148" s="140">
        <v>0</v>
      </c>
      <c r="AT1148" s="140">
        <v>12</v>
      </c>
      <c r="AU1148" s="140">
        <v>0</v>
      </c>
      <c r="AV1148" s="140">
        <v>0</v>
      </c>
      <c r="AW1148" s="140">
        <v>0</v>
      </c>
      <c r="AX1148" s="140">
        <v>0</v>
      </c>
      <c r="AY1148" s="140">
        <v>0</v>
      </c>
      <c r="AZ1148" s="140">
        <v>0</v>
      </c>
      <c r="BA1148" s="140">
        <v>12</v>
      </c>
      <c r="BB1148" s="140">
        <v>0</v>
      </c>
      <c r="BC1148" s="140">
        <v>0</v>
      </c>
      <c r="BD1148" s="140">
        <v>0</v>
      </c>
      <c r="BE1148" s="140">
        <v>0</v>
      </c>
      <c r="BF1148" s="140">
        <v>0</v>
      </c>
      <c r="BG1148" s="140">
        <v>0</v>
      </c>
      <c r="BH1148" s="140">
        <v>0</v>
      </c>
      <c r="BI1148" s="140">
        <v>0</v>
      </c>
      <c r="BJ1148" s="140">
        <v>0</v>
      </c>
      <c r="BK1148" s="140">
        <v>0</v>
      </c>
      <c r="BL1148" s="140">
        <v>0</v>
      </c>
      <c r="BM1148" s="140">
        <v>0</v>
      </c>
      <c r="BN1148" s="140">
        <v>0</v>
      </c>
      <c r="BO1148" s="140">
        <v>0</v>
      </c>
      <c r="BU1148" s="89"/>
      <c r="BV1148" s="43" t="s">
        <v>329</v>
      </c>
      <c r="BX1148" s="43">
        <v>20</v>
      </c>
      <c r="CE1148" s="90">
        <f t="shared" si="161"/>
        <v>0.75</v>
      </c>
      <c r="CF1148" s="90">
        <f t="shared" si="161"/>
        <v>0.75</v>
      </c>
      <c r="CG1148" s="90">
        <f t="shared" si="161"/>
        <v>0.75</v>
      </c>
      <c r="CH1148" s="90">
        <f t="shared" si="161"/>
        <v>0.75</v>
      </c>
      <c r="CI1148" s="90">
        <f t="shared" si="161"/>
        <v>0.75</v>
      </c>
      <c r="CJ1148" s="90">
        <f t="shared" si="161"/>
        <v>0.75</v>
      </c>
      <c r="CK1148" s="90">
        <f t="shared" si="161"/>
        <v>0.75</v>
      </c>
      <c r="CL1148" s="90">
        <f t="shared" si="161"/>
        <v>0.75</v>
      </c>
      <c r="CM1148" s="90">
        <f t="shared" si="161"/>
        <v>0.75</v>
      </c>
      <c r="CN1148" s="90">
        <f t="shared" si="161"/>
        <v>0.75</v>
      </c>
      <c r="CO1148" s="90">
        <f t="shared" si="161"/>
        <v>0.75</v>
      </c>
      <c r="CP1148" s="90">
        <f t="shared" si="161"/>
        <v>0.75</v>
      </c>
      <c r="CQ1148" s="90">
        <f t="shared" si="161"/>
        <v>0.75</v>
      </c>
      <c r="CR1148" s="90">
        <f t="shared" si="161"/>
        <v>0.75</v>
      </c>
      <c r="CS1148" s="90">
        <f t="shared" si="161"/>
        <v>0.75</v>
      </c>
      <c r="CT1148" s="90">
        <f t="shared" si="148"/>
        <v>0</v>
      </c>
      <c r="CU1148" s="90">
        <f t="shared" si="149"/>
        <v>3.75</v>
      </c>
    </row>
    <row r="1149" spans="1:99" ht="12" customHeight="1">
      <c r="A1149" s="43">
        <v>6877</v>
      </c>
      <c r="B1149" s="89" t="s">
        <v>2923</v>
      </c>
      <c r="C1149" s="89" t="s">
        <v>2981</v>
      </c>
      <c r="D1149" s="89" t="s">
        <v>2982</v>
      </c>
      <c r="F1149" s="43">
        <v>529311</v>
      </c>
      <c r="G1149" s="43">
        <v>177427</v>
      </c>
      <c r="H1149" s="89" t="s">
        <v>148</v>
      </c>
      <c r="K1149" s="140">
        <v>0</v>
      </c>
      <c r="L1149" s="140">
        <v>59</v>
      </c>
      <c r="M1149" s="140">
        <v>59</v>
      </c>
      <c r="N1149" s="140">
        <v>69</v>
      </c>
      <c r="O1149" s="140">
        <v>69</v>
      </c>
      <c r="P1149" s="43" t="s">
        <v>329</v>
      </c>
      <c r="Q1149" s="89" t="s">
        <v>2926</v>
      </c>
      <c r="R1149" s="43" t="s">
        <v>2927</v>
      </c>
      <c r="V1149" s="43" t="s">
        <v>317</v>
      </c>
      <c r="X1149" s="43" t="s">
        <v>318</v>
      </c>
      <c r="Y1149" s="43" t="s">
        <v>361</v>
      </c>
      <c r="Z1149" s="43" t="s">
        <v>361</v>
      </c>
      <c r="AA1149" s="43" t="s">
        <v>320</v>
      </c>
      <c r="AB1149" s="144">
        <v>0</v>
      </c>
      <c r="AF1149" s="43" t="s">
        <v>75</v>
      </c>
      <c r="AG1149" s="43" t="s">
        <v>322</v>
      </c>
      <c r="AH1149" s="43" t="s">
        <v>2983</v>
      </c>
      <c r="AI1149" s="43">
        <v>17320349</v>
      </c>
      <c r="AJ1149" s="140">
        <v>0</v>
      </c>
      <c r="AK1149" s="140">
        <v>0</v>
      </c>
      <c r="AL1149" s="140">
        <v>0</v>
      </c>
      <c r="AM1149" s="140">
        <v>0</v>
      </c>
      <c r="AN1149" s="140">
        <v>0</v>
      </c>
      <c r="AO1149" s="140">
        <v>0</v>
      </c>
      <c r="AP1149" s="140">
        <v>0</v>
      </c>
      <c r="AQ1149" s="140">
        <v>0</v>
      </c>
      <c r="AR1149" s="140">
        <v>0</v>
      </c>
      <c r="AS1149" s="140">
        <v>0</v>
      </c>
      <c r="AT1149" s="140">
        <v>59</v>
      </c>
      <c r="AU1149" s="140">
        <v>0</v>
      </c>
      <c r="AV1149" s="140">
        <v>0</v>
      </c>
      <c r="AW1149" s="140">
        <v>0</v>
      </c>
      <c r="AX1149" s="140">
        <v>0</v>
      </c>
      <c r="AY1149" s="140">
        <v>0</v>
      </c>
      <c r="AZ1149" s="140">
        <v>0</v>
      </c>
      <c r="BA1149" s="140">
        <v>59</v>
      </c>
      <c r="BB1149" s="140">
        <v>0</v>
      </c>
      <c r="BC1149" s="140">
        <v>0</v>
      </c>
      <c r="BD1149" s="140">
        <v>0</v>
      </c>
      <c r="BE1149" s="140">
        <v>0</v>
      </c>
      <c r="BF1149" s="140">
        <v>0</v>
      </c>
      <c r="BG1149" s="140">
        <v>0</v>
      </c>
      <c r="BH1149" s="140">
        <v>0</v>
      </c>
      <c r="BI1149" s="140">
        <v>0</v>
      </c>
      <c r="BJ1149" s="140">
        <v>0</v>
      </c>
      <c r="BK1149" s="140">
        <v>0</v>
      </c>
      <c r="BL1149" s="140">
        <v>0</v>
      </c>
      <c r="BM1149" s="140">
        <v>0</v>
      </c>
      <c r="BN1149" s="140">
        <v>0</v>
      </c>
      <c r="BO1149" s="140">
        <v>0</v>
      </c>
      <c r="BQ1149" s="43" t="s">
        <v>329</v>
      </c>
      <c r="BU1149" s="89"/>
      <c r="BX1149" s="43">
        <v>21</v>
      </c>
      <c r="CE1149" s="90">
        <f t="shared" ref="CE1149:CE1157" si="162">M1149</f>
        <v>59</v>
      </c>
      <c r="CT1149" s="90">
        <f t="shared" si="148"/>
        <v>0</v>
      </c>
      <c r="CU1149" s="90">
        <f t="shared" si="149"/>
        <v>59</v>
      </c>
    </row>
    <row r="1150" spans="1:99" ht="12" customHeight="1">
      <c r="A1150" s="43">
        <v>6877</v>
      </c>
      <c r="B1150" s="89" t="s">
        <v>2923</v>
      </c>
      <c r="C1150" s="89" t="s">
        <v>2981</v>
      </c>
      <c r="D1150" s="89" t="s">
        <v>2982</v>
      </c>
      <c r="F1150" s="43">
        <v>529311</v>
      </c>
      <c r="G1150" s="43">
        <v>177427</v>
      </c>
      <c r="H1150" s="89" t="s">
        <v>148</v>
      </c>
      <c r="K1150" s="140">
        <v>0</v>
      </c>
      <c r="L1150" s="140">
        <v>6</v>
      </c>
      <c r="M1150" s="140">
        <v>6</v>
      </c>
      <c r="N1150" s="140">
        <v>69</v>
      </c>
      <c r="O1150" s="140">
        <v>69</v>
      </c>
      <c r="P1150" s="43" t="s">
        <v>329</v>
      </c>
      <c r="Q1150" s="89" t="s">
        <v>2926</v>
      </c>
      <c r="R1150" s="43" t="s">
        <v>2927</v>
      </c>
      <c r="V1150" s="43" t="s">
        <v>317</v>
      </c>
      <c r="X1150" s="43" t="s">
        <v>318</v>
      </c>
      <c r="Y1150" s="43" t="s">
        <v>361</v>
      </c>
      <c r="Z1150" s="43" t="s">
        <v>320</v>
      </c>
      <c r="AA1150" s="43" t="s">
        <v>353</v>
      </c>
      <c r="AB1150" s="144">
        <v>0</v>
      </c>
      <c r="AF1150" s="43" t="s">
        <v>55</v>
      </c>
      <c r="AG1150" s="43" t="s">
        <v>457</v>
      </c>
      <c r="AH1150" s="43" t="s">
        <v>2983</v>
      </c>
      <c r="AI1150" s="43">
        <v>17320349</v>
      </c>
      <c r="AJ1150" s="140">
        <v>0</v>
      </c>
      <c r="AK1150" s="140">
        <v>0</v>
      </c>
      <c r="AL1150" s="140">
        <v>0</v>
      </c>
      <c r="AM1150" s="140">
        <v>0</v>
      </c>
      <c r="AN1150" s="140">
        <v>0</v>
      </c>
      <c r="AO1150" s="140">
        <v>0</v>
      </c>
      <c r="AP1150" s="140">
        <v>0</v>
      </c>
      <c r="AQ1150" s="140">
        <v>0</v>
      </c>
      <c r="AR1150" s="140">
        <v>0</v>
      </c>
      <c r="AS1150" s="140">
        <v>0</v>
      </c>
      <c r="AT1150" s="140">
        <v>6</v>
      </c>
      <c r="AU1150" s="140">
        <v>0</v>
      </c>
      <c r="AV1150" s="140">
        <v>0</v>
      </c>
      <c r="AW1150" s="140">
        <v>0</v>
      </c>
      <c r="AX1150" s="140">
        <v>0</v>
      </c>
      <c r="AY1150" s="140">
        <v>0</v>
      </c>
      <c r="AZ1150" s="140">
        <v>0</v>
      </c>
      <c r="BA1150" s="140">
        <v>6</v>
      </c>
      <c r="BB1150" s="140">
        <v>0</v>
      </c>
      <c r="BC1150" s="140">
        <v>0</v>
      </c>
      <c r="BD1150" s="140">
        <v>0</v>
      </c>
      <c r="BE1150" s="140">
        <v>0</v>
      </c>
      <c r="BF1150" s="140">
        <v>0</v>
      </c>
      <c r="BG1150" s="140">
        <v>0</v>
      </c>
      <c r="BH1150" s="140">
        <v>0</v>
      </c>
      <c r="BI1150" s="140">
        <v>0</v>
      </c>
      <c r="BJ1150" s="140">
        <v>0</v>
      </c>
      <c r="BK1150" s="140">
        <v>0</v>
      </c>
      <c r="BL1150" s="140">
        <v>0</v>
      </c>
      <c r="BM1150" s="140">
        <v>0</v>
      </c>
      <c r="BN1150" s="140">
        <v>0</v>
      </c>
      <c r="BO1150" s="140">
        <v>0</v>
      </c>
      <c r="BQ1150" s="43" t="s">
        <v>329</v>
      </c>
      <c r="BU1150" s="89"/>
      <c r="BX1150" s="43">
        <v>21</v>
      </c>
      <c r="CE1150" s="90">
        <f t="shared" si="162"/>
        <v>6</v>
      </c>
      <c r="CT1150" s="90">
        <f t="shared" si="148"/>
        <v>0</v>
      </c>
      <c r="CU1150" s="90">
        <f t="shared" si="149"/>
        <v>6</v>
      </c>
    </row>
    <row r="1151" spans="1:99" ht="12" customHeight="1">
      <c r="A1151" s="43">
        <v>6877</v>
      </c>
      <c r="B1151" s="89" t="s">
        <v>2923</v>
      </c>
      <c r="C1151" s="89" t="s">
        <v>2981</v>
      </c>
      <c r="D1151" s="89" t="s">
        <v>2982</v>
      </c>
      <c r="F1151" s="43">
        <v>529311</v>
      </c>
      <c r="G1151" s="43">
        <v>177427</v>
      </c>
      <c r="H1151" s="89" t="s">
        <v>148</v>
      </c>
      <c r="K1151" s="140">
        <v>0</v>
      </c>
      <c r="L1151" s="140">
        <v>4</v>
      </c>
      <c r="M1151" s="140">
        <v>4</v>
      </c>
      <c r="N1151" s="140">
        <v>69</v>
      </c>
      <c r="O1151" s="140">
        <v>69</v>
      </c>
      <c r="P1151" s="43" t="s">
        <v>329</v>
      </c>
      <c r="Q1151" s="89" t="s">
        <v>2926</v>
      </c>
      <c r="R1151" s="43" t="s">
        <v>2927</v>
      </c>
      <c r="V1151" s="43" t="s">
        <v>317</v>
      </c>
      <c r="X1151" s="43" t="s">
        <v>318</v>
      </c>
      <c r="Y1151" s="43" t="s">
        <v>361</v>
      </c>
      <c r="Z1151" s="43" t="s">
        <v>320</v>
      </c>
      <c r="AA1151" s="43" t="s">
        <v>353</v>
      </c>
      <c r="AB1151" s="144">
        <v>0</v>
      </c>
      <c r="AF1151" s="43" t="s">
        <v>54</v>
      </c>
      <c r="AG1151" s="43" t="s">
        <v>1659</v>
      </c>
      <c r="AH1151" s="43" t="s">
        <v>2983</v>
      </c>
      <c r="AI1151" s="43">
        <v>17320349</v>
      </c>
      <c r="AJ1151" s="140">
        <v>0</v>
      </c>
      <c r="AK1151" s="140">
        <v>0</v>
      </c>
      <c r="AL1151" s="140">
        <v>0</v>
      </c>
      <c r="AM1151" s="140">
        <v>0</v>
      </c>
      <c r="AN1151" s="140">
        <v>0</v>
      </c>
      <c r="AO1151" s="140">
        <v>0</v>
      </c>
      <c r="AP1151" s="140">
        <v>0</v>
      </c>
      <c r="AQ1151" s="140">
        <v>0</v>
      </c>
      <c r="AR1151" s="140">
        <v>0</v>
      </c>
      <c r="AS1151" s="140">
        <v>0</v>
      </c>
      <c r="AT1151" s="140">
        <v>4</v>
      </c>
      <c r="AU1151" s="140">
        <v>0</v>
      </c>
      <c r="AV1151" s="140">
        <v>0</v>
      </c>
      <c r="AW1151" s="140">
        <v>0</v>
      </c>
      <c r="AX1151" s="140">
        <v>0</v>
      </c>
      <c r="AY1151" s="140">
        <v>0</v>
      </c>
      <c r="AZ1151" s="140">
        <v>0</v>
      </c>
      <c r="BA1151" s="140">
        <v>4</v>
      </c>
      <c r="BB1151" s="140">
        <v>0</v>
      </c>
      <c r="BC1151" s="140">
        <v>0</v>
      </c>
      <c r="BD1151" s="140">
        <v>0</v>
      </c>
      <c r="BE1151" s="140">
        <v>0</v>
      </c>
      <c r="BF1151" s="140">
        <v>0</v>
      </c>
      <c r="BG1151" s="140">
        <v>0</v>
      </c>
      <c r="BH1151" s="140">
        <v>0</v>
      </c>
      <c r="BI1151" s="140">
        <v>0</v>
      </c>
      <c r="BJ1151" s="140">
        <v>0</v>
      </c>
      <c r="BK1151" s="140">
        <v>0</v>
      </c>
      <c r="BL1151" s="140">
        <v>0</v>
      </c>
      <c r="BM1151" s="140">
        <v>0</v>
      </c>
      <c r="BN1151" s="140">
        <v>0</v>
      </c>
      <c r="BO1151" s="140">
        <v>0</v>
      </c>
      <c r="BQ1151" s="43" t="s">
        <v>329</v>
      </c>
      <c r="BU1151" s="89"/>
      <c r="BX1151" s="43">
        <v>21</v>
      </c>
      <c r="CE1151" s="90">
        <f t="shared" si="162"/>
        <v>4</v>
      </c>
      <c r="CT1151" s="90">
        <f t="shared" si="148"/>
        <v>0</v>
      </c>
      <c r="CU1151" s="90">
        <f t="shared" si="149"/>
        <v>4</v>
      </c>
    </row>
    <row r="1152" spans="1:99" ht="12" customHeight="1">
      <c r="A1152" s="43">
        <v>6889</v>
      </c>
      <c r="B1152" s="89" t="s">
        <v>2923</v>
      </c>
      <c r="C1152" s="89" t="s">
        <v>2984</v>
      </c>
      <c r="D1152" s="89" t="s">
        <v>2985</v>
      </c>
      <c r="F1152" s="43">
        <v>529292</v>
      </c>
      <c r="G1152" s="43">
        <v>177503</v>
      </c>
      <c r="H1152" s="89" t="s">
        <v>148</v>
      </c>
      <c r="K1152" s="140">
        <v>0</v>
      </c>
      <c r="L1152" s="140">
        <v>79</v>
      </c>
      <c r="M1152" s="140">
        <v>79</v>
      </c>
      <c r="N1152" s="140">
        <v>93</v>
      </c>
      <c r="O1152" s="140">
        <v>93</v>
      </c>
      <c r="P1152" s="43" t="s">
        <v>329</v>
      </c>
      <c r="Q1152" s="89" t="s">
        <v>2926</v>
      </c>
      <c r="R1152" s="43" t="s">
        <v>2927</v>
      </c>
      <c r="V1152" s="43" t="s">
        <v>317</v>
      </c>
      <c r="X1152" s="43" t="s">
        <v>318</v>
      </c>
      <c r="Y1152" s="43" t="s">
        <v>361</v>
      </c>
      <c r="Z1152" s="43" t="s">
        <v>361</v>
      </c>
      <c r="AA1152" s="43" t="s">
        <v>320</v>
      </c>
      <c r="AB1152" s="144">
        <v>0</v>
      </c>
      <c r="AF1152" s="43" t="s">
        <v>75</v>
      </c>
      <c r="AG1152" s="43" t="s">
        <v>322</v>
      </c>
      <c r="AH1152" s="43" t="s">
        <v>2986</v>
      </c>
      <c r="AI1152" s="43">
        <v>17320103</v>
      </c>
      <c r="AJ1152" s="140">
        <v>0</v>
      </c>
      <c r="AK1152" s="140">
        <v>0</v>
      </c>
      <c r="AL1152" s="140">
        <v>0</v>
      </c>
      <c r="AM1152" s="140">
        <v>0</v>
      </c>
      <c r="AN1152" s="140">
        <v>0</v>
      </c>
      <c r="AO1152" s="140">
        <v>0</v>
      </c>
      <c r="AP1152" s="140">
        <v>0</v>
      </c>
      <c r="AQ1152" s="140">
        <v>0</v>
      </c>
      <c r="AR1152" s="140">
        <v>0</v>
      </c>
      <c r="AS1152" s="140">
        <v>0</v>
      </c>
      <c r="AT1152" s="140">
        <v>79</v>
      </c>
      <c r="AU1152" s="140">
        <v>0</v>
      </c>
      <c r="AV1152" s="140">
        <v>0</v>
      </c>
      <c r="AW1152" s="140">
        <v>0</v>
      </c>
      <c r="AX1152" s="140">
        <v>0</v>
      </c>
      <c r="AY1152" s="140">
        <v>0</v>
      </c>
      <c r="AZ1152" s="140">
        <v>0</v>
      </c>
      <c r="BA1152" s="140">
        <v>79</v>
      </c>
      <c r="BB1152" s="140">
        <v>0</v>
      </c>
      <c r="BC1152" s="140">
        <v>0</v>
      </c>
      <c r="BD1152" s="140">
        <v>0</v>
      </c>
      <c r="BE1152" s="140">
        <v>0</v>
      </c>
      <c r="BF1152" s="140">
        <v>0</v>
      </c>
      <c r="BG1152" s="140">
        <v>0</v>
      </c>
      <c r="BH1152" s="140">
        <v>0</v>
      </c>
      <c r="BI1152" s="140">
        <v>0</v>
      </c>
      <c r="BJ1152" s="140">
        <v>0</v>
      </c>
      <c r="BK1152" s="140">
        <v>0</v>
      </c>
      <c r="BL1152" s="140">
        <v>0</v>
      </c>
      <c r="BM1152" s="140">
        <v>0</v>
      </c>
      <c r="BN1152" s="140">
        <v>0</v>
      </c>
      <c r="BO1152" s="140">
        <v>0</v>
      </c>
      <c r="BQ1152" s="43" t="s">
        <v>329</v>
      </c>
      <c r="BU1152" s="89"/>
      <c r="BX1152" s="43">
        <v>21</v>
      </c>
      <c r="CE1152" s="90">
        <f t="shared" si="162"/>
        <v>79</v>
      </c>
      <c r="CT1152" s="90">
        <f t="shared" si="148"/>
        <v>0</v>
      </c>
      <c r="CU1152" s="90">
        <f t="shared" si="149"/>
        <v>79</v>
      </c>
    </row>
    <row r="1153" spans="1:99" ht="12" customHeight="1">
      <c r="A1153" s="43">
        <v>6889</v>
      </c>
      <c r="B1153" s="89" t="s">
        <v>2923</v>
      </c>
      <c r="C1153" s="89" t="s">
        <v>2984</v>
      </c>
      <c r="D1153" s="89" t="s">
        <v>2985</v>
      </c>
      <c r="F1153" s="43">
        <v>529292</v>
      </c>
      <c r="G1153" s="43">
        <v>177503</v>
      </c>
      <c r="H1153" s="89" t="s">
        <v>148</v>
      </c>
      <c r="K1153" s="140">
        <v>0</v>
      </c>
      <c r="L1153" s="140">
        <v>8</v>
      </c>
      <c r="M1153" s="140">
        <v>8</v>
      </c>
      <c r="N1153" s="140">
        <v>93</v>
      </c>
      <c r="O1153" s="140">
        <v>93</v>
      </c>
      <c r="P1153" s="43" t="s">
        <v>329</v>
      </c>
      <c r="Q1153" s="89" t="s">
        <v>2926</v>
      </c>
      <c r="R1153" s="43" t="s">
        <v>2927</v>
      </c>
      <c r="V1153" s="43" t="s">
        <v>317</v>
      </c>
      <c r="X1153" s="43" t="s">
        <v>318</v>
      </c>
      <c r="Y1153" s="43" t="s">
        <v>361</v>
      </c>
      <c r="Z1153" s="43" t="s">
        <v>320</v>
      </c>
      <c r="AA1153" s="43" t="s">
        <v>353</v>
      </c>
      <c r="AB1153" s="144">
        <v>0</v>
      </c>
      <c r="AF1153" s="43" t="s">
        <v>55</v>
      </c>
      <c r="AG1153" s="43" t="s">
        <v>457</v>
      </c>
      <c r="AH1153" s="43" t="s">
        <v>2986</v>
      </c>
      <c r="AI1153" s="43">
        <v>17320103</v>
      </c>
      <c r="AJ1153" s="140">
        <v>0</v>
      </c>
      <c r="AK1153" s="140">
        <v>0</v>
      </c>
      <c r="AL1153" s="140">
        <v>0</v>
      </c>
      <c r="AM1153" s="140">
        <v>0</v>
      </c>
      <c r="AN1153" s="140">
        <v>0</v>
      </c>
      <c r="AO1153" s="140">
        <v>0</v>
      </c>
      <c r="AP1153" s="140">
        <v>0</v>
      </c>
      <c r="AQ1153" s="140">
        <v>0</v>
      </c>
      <c r="AR1153" s="140">
        <v>0</v>
      </c>
      <c r="AS1153" s="140">
        <v>0</v>
      </c>
      <c r="AT1153" s="140">
        <v>8</v>
      </c>
      <c r="AU1153" s="140">
        <v>0</v>
      </c>
      <c r="AV1153" s="140">
        <v>0</v>
      </c>
      <c r="AW1153" s="140">
        <v>0</v>
      </c>
      <c r="AX1153" s="140">
        <v>0</v>
      </c>
      <c r="AY1153" s="140">
        <v>0</v>
      </c>
      <c r="AZ1153" s="140">
        <v>0</v>
      </c>
      <c r="BA1153" s="140">
        <v>8</v>
      </c>
      <c r="BB1153" s="140">
        <v>0</v>
      </c>
      <c r="BC1153" s="140">
        <v>0</v>
      </c>
      <c r="BD1153" s="140">
        <v>0</v>
      </c>
      <c r="BE1153" s="140">
        <v>0</v>
      </c>
      <c r="BF1153" s="140">
        <v>0</v>
      </c>
      <c r="BG1153" s="140">
        <v>0</v>
      </c>
      <c r="BH1153" s="140">
        <v>0</v>
      </c>
      <c r="BI1153" s="140">
        <v>0</v>
      </c>
      <c r="BJ1153" s="140">
        <v>0</v>
      </c>
      <c r="BK1153" s="140">
        <v>0</v>
      </c>
      <c r="BL1153" s="140">
        <v>0</v>
      </c>
      <c r="BM1153" s="140">
        <v>0</v>
      </c>
      <c r="BN1153" s="140">
        <v>0</v>
      </c>
      <c r="BO1153" s="140">
        <v>0</v>
      </c>
      <c r="BQ1153" s="43" t="s">
        <v>329</v>
      </c>
      <c r="BU1153" s="89"/>
      <c r="BX1153" s="43">
        <v>21</v>
      </c>
      <c r="CE1153" s="90">
        <f t="shared" si="162"/>
        <v>8</v>
      </c>
      <c r="CT1153" s="90">
        <f t="shared" si="148"/>
        <v>0</v>
      </c>
      <c r="CU1153" s="90">
        <f t="shared" si="149"/>
        <v>8</v>
      </c>
    </row>
    <row r="1154" spans="1:99" ht="12" customHeight="1">
      <c r="A1154" s="43">
        <v>6889</v>
      </c>
      <c r="B1154" s="89" t="s">
        <v>2923</v>
      </c>
      <c r="C1154" s="89" t="s">
        <v>2984</v>
      </c>
      <c r="D1154" s="89" t="s">
        <v>2985</v>
      </c>
      <c r="F1154" s="43">
        <v>529292</v>
      </c>
      <c r="G1154" s="43">
        <v>177503</v>
      </c>
      <c r="H1154" s="89" t="s">
        <v>148</v>
      </c>
      <c r="K1154" s="140">
        <v>0</v>
      </c>
      <c r="L1154" s="140">
        <v>6</v>
      </c>
      <c r="M1154" s="140">
        <v>6</v>
      </c>
      <c r="N1154" s="140">
        <v>93</v>
      </c>
      <c r="O1154" s="140">
        <v>93</v>
      </c>
      <c r="P1154" s="43" t="s">
        <v>329</v>
      </c>
      <c r="Q1154" s="89" t="s">
        <v>2926</v>
      </c>
      <c r="R1154" s="43" t="s">
        <v>2927</v>
      </c>
      <c r="V1154" s="43" t="s">
        <v>317</v>
      </c>
      <c r="X1154" s="43" t="s">
        <v>318</v>
      </c>
      <c r="Y1154" s="43" t="s">
        <v>361</v>
      </c>
      <c r="Z1154" s="43" t="s">
        <v>320</v>
      </c>
      <c r="AA1154" s="43" t="s">
        <v>353</v>
      </c>
      <c r="AB1154" s="144">
        <v>0</v>
      </c>
      <c r="AF1154" s="43" t="s">
        <v>54</v>
      </c>
      <c r="AG1154" s="43" t="s">
        <v>1659</v>
      </c>
      <c r="AH1154" s="43" t="s">
        <v>2986</v>
      </c>
      <c r="AI1154" s="43">
        <v>17320103</v>
      </c>
      <c r="AJ1154" s="140">
        <v>0</v>
      </c>
      <c r="AK1154" s="140">
        <v>0</v>
      </c>
      <c r="AL1154" s="140">
        <v>0</v>
      </c>
      <c r="AM1154" s="140">
        <v>0</v>
      </c>
      <c r="AN1154" s="140">
        <v>0</v>
      </c>
      <c r="AO1154" s="140">
        <v>0</v>
      </c>
      <c r="AP1154" s="140">
        <v>0</v>
      </c>
      <c r="AQ1154" s="140">
        <v>0</v>
      </c>
      <c r="AR1154" s="140">
        <v>0</v>
      </c>
      <c r="AS1154" s="140">
        <v>0</v>
      </c>
      <c r="AT1154" s="140">
        <v>6</v>
      </c>
      <c r="AU1154" s="140">
        <v>0</v>
      </c>
      <c r="AV1154" s="140">
        <v>0</v>
      </c>
      <c r="AW1154" s="140">
        <v>0</v>
      </c>
      <c r="AX1154" s="140">
        <v>0</v>
      </c>
      <c r="AY1154" s="140">
        <v>0</v>
      </c>
      <c r="AZ1154" s="140">
        <v>0</v>
      </c>
      <c r="BA1154" s="140">
        <v>6</v>
      </c>
      <c r="BB1154" s="140">
        <v>0</v>
      </c>
      <c r="BC1154" s="140">
        <v>0</v>
      </c>
      <c r="BD1154" s="140">
        <v>0</v>
      </c>
      <c r="BE1154" s="140">
        <v>0</v>
      </c>
      <c r="BF1154" s="140">
        <v>0</v>
      </c>
      <c r="BG1154" s="140">
        <v>0</v>
      </c>
      <c r="BH1154" s="140">
        <v>0</v>
      </c>
      <c r="BI1154" s="140">
        <v>0</v>
      </c>
      <c r="BJ1154" s="140">
        <v>0</v>
      </c>
      <c r="BK1154" s="140">
        <v>0</v>
      </c>
      <c r="BL1154" s="140">
        <v>0</v>
      </c>
      <c r="BM1154" s="140">
        <v>0</v>
      </c>
      <c r="BN1154" s="140">
        <v>0</v>
      </c>
      <c r="BO1154" s="140">
        <v>0</v>
      </c>
      <c r="BQ1154" s="43" t="s">
        <v>329</v>
      </c>
      <c r="BU1154" s="89"/>
      <c r="BX1154" s="43">
        <v>21</v>
      </c>
      <c r="CE1154" s="90">
        <f t="shared" si="162"/>
        <v>6</v>
      </c>
      <c r="CT1154" s="90">
        <f t="shared" ref="CT1154:CT1206" si="163">SUM(BZ1154:CD1154)</f>
        <v>0</v>
      </c>
      <c r="CU1154" s="90">
        <f t="shared" ref="CU1154:CU1206" si="164">SUM(BZ1154:CI1154)</f>
        <v>6</v>
      </c>
    </row>
    <row r="1155" spans="1:99" ht="12" customHeight="1">
      <c r="A1155" s="43">
        <v>6890</v>
      </c>
      <c r="B1155" s="89" t="s">
        <v>2923</v>
      </c>
      <c r="C1155" s="89" t="s">
        <v>2987</v>
      </c>
      <c r="D1155" s="89" t="s">
        <v>2988</v>
      </c>
      <c r="F1155" s="43">
        <v>529517</v>
      </c>
      <c r="G1155" s="43">
        <v>177263</v>
      </c>
      <c r="H1155" s="89" t="s">
        <v>148</v>
      </c>
      <c r="K1155" s="140">
        <v>0</v>
      </c>
      <c r="L1155" s="140">
        <v>43</v>
      </c>
      <c r="M1155" s="140">
        <v>43</v>
      </c>
      <c r="N1155" s="140">
        <v>51</v>
      </c>
      <c r="O1155" s="140">
        <v>51</v>
      </c>
      <c r="P1155" s="43" t="s">
        <v>329</v>
      </c>
      <c r="Q1155" s="89" t="s">
        <v>2926</v>
      </c>
      <c r="R1155" s="43" t="s">
        <v>2927</v>
      </c>
      <c r="V1155" s="43" t="s">
        <v>317</v>
      </c>
      <c r="X1155" s="43" t="s">
        <v>318</v>
      </c>
      <c r="Y1155" s="43" t="s">
        <v>361</v>
      </c>
      <c r="Z1155" s="43" t="s">
        <v>361</v>
      </c>
      <c r="AA1155" s="43" t="s">
        <v>320</v>
      </c>
      <c r="AB1155" s="144">
        <v>0</v>
      </c>
      <c r="AF1155" s="43" t="s">
        <v>75</v>
      </c>
      <c r="AG1155" s="43" t="s">
        <v>322</v>
      </c>
      <c r="AH1155" s="43" t="s">
        <v>2989</v>
      </c>
      <c r="AI1155" s="43">
        <v>17320133</v>
      </c>
      <c r="AJ1155" s="140">
        <v>0</v>
      </c>
      <c r="AK1155" s="140">
        <v>0</v>
      </c>
      <c r="AL1155" s="140">
        <v>0</v>
      </c>
      <c r="AM1155" s="140">
        <v>0</v>
      </c>
      <c r="AN1155" s="140">
        <v>0</v>
      </c>
      <c r="AO1155" s="140">
        <v>0</v>
      </c>
      <c r="AP1155" s="140">
        <v>0</v>
      </c>
      <c r="AQ1155" s="140">
        <v>0</v>
      </c>
      <c r="AR1155" s="140">
        <v>0</v>
      </c>
      <c r="AS1155" s="140">
        <v>0</v>
      </c>
      <c r="AT1155" s="140">
        <v>43</v>
      </c>
      <c r="AU1155" s="140">
        <v>0</v>
      </c>
      <c r="AV1155" s="140">
        <v>0</v>
      </c>
      <c r="AW1155" s="140">
        <v>0</v>
      </c>
      <c r="AX1155" s="140">
        <v>0</v>
      </c>
      <c r="AY1155" s="140">
        <v>0</v>
      </c>
      <c r="AZ1155" s="140">
        <v>0</v>
      </c>
      <c r="BA1155" s="140">
        <v>43</v>
      </c>
      <c r="BB1155" s="140">
        <v>0</v>
      </c>
      <c r="BC1155" s="140">
        <v>0</v>
      </c>
      <c r="BD1155" s="140">
        <v>0</v>
      </c>
      <c r="BE1155" s="140">
        <v>0</v>
      </c>
      <c r="BF1155" s="140">
        <v>0</v>
      </c>
      <c r="BG1155" s="140">
        <v>0</v>
      </c>
      <c r="BH1155" s="140">
        <v>0</v>
      </c>
      <c r="BI1155" s="140">
        <v>0</v>
      </c>
      <c r="BJ1155" s="140">
        <v>0</v>
      </c>
      <c r="BK1155" s="140">
        <v>0</v>
      </c>
      <c r="BL1155" s="140">
        <v>0</v>
      </c>
      <c r="BM1155" s="140">
        <v>0</v>
      </c>
      <c r="BN1155" s="140">
        <v>0</v>
      </c>
      <c r="BO1155" s="140">
        <v>0</v>
      </c>
      <c r="BQ1155" s="43" t="s">
        <v>329</v>
      </c>
      <c r="BU1155" s="89"/>
      <c r="BX1155" s="43">
        <v>21</v>
      </c>
      <c r="CE1155" s="90">
        <f t="shared" si="162"/>
        <v>43</v>
      </c>
      <c r="CT1155" s="90">
        <f t="shared" si="163"/>
        <v>0</v>
      </c>
      <c r="CU1155" s="90">
        <f t="shared" si="164"/>
        <v>43</v>
      </c>
    </row>
    <row r="1156" spans="1:99" ht="12" customHeight="1">
      <c r="A1156" s="43">
        <v>6890</v>
      </c>
      <c r="B1156" s="89" t="s">
        <v>2923</v>
      </c>
      <c r="C1156" s="89" t="s">
        <v>2987</v>
      </c>
      <c r="D1156" s="89" t="s">
        <v>2988</v>
      </c>
      <c r="F1156" s="43">
        <v>529517</v>
      </c>
      <c r="G1156" s="43">
        <v>177263</v>
      </c>
      <c r="H1156" s="89" t="s">
        <v>148</v>
      </c>
      <c r="K1156" s="140">
        <v>0</v>
      </c>
      <c r="L1156" s="140">
        <v>5</v>
      </c>
      <c r="M1156" s="140">
        <v>5</v>
      </c>
      <c r="N1156" s="140">
        <v>51</v>
      </c>
      <c r="O1156" s="140">
        <v>51</v>
      </c>
      <c r="P1156" s="43" t="s">
        <v>329</v>
      </c>
      <c r="Q1156" s="89" t="s">
        <v>2926</v>
      </c>
      <c r="R1156" s="43" t="s">
        <v>2927</v>
      </c>
      <c r="V1156" s="43" t="s">
        <v>317</v>
      </c>
      <c r="X1156" s="43" t="s">
        <v>318</v>
      </c>
      <c r="Y1156" s="43" t="s">
        <v>361</v>
      </c>
      <c r="Z1156" s="43" t="s">
        <v>320</v>
      </c>
      <c r="AA1156" s="43" t="s">
        <v>353</v>
      </c>
      <c r="AB1156" s="144">
        <v>0</v>
      </c>
      <c r="AF1156" s="43" t="s">
        <v>55</v>
      </c>
      <c r="AG1156" s="43" t="s">
        <v>457</v>
      </c>
      <c r="AH1156" s="43" t="s">
        <v>2989</v>
      </c>
      <c r="AI1156" s="43">
        <v>17320133</v>
      </c>
      <c r="AJ1156" s="140">
        <v>0</v>
      </c>
      <c r="AK1156" s="140">
        <v>0</v>
      </c>
      <c r="AL1156" s="140">
        <v>0</v>
      </c>
      <c r="AM1156" s="140">
        <v>0</v>
      </c>
      <c r="AN1156" s="140">
        <v>0</v>
      </c>
      <c r="AO1156" s="140">
        <v>0</v>
      </c>
      <c r="AP1156" s="140">
        <v>0</v>
      </c>
      <c r="AQ1156" s="140">
        <v>0</v>
      </c>
      <c r="AR1156" s="140">
        <v>0</v>
      </c>
      <c r="AS1156" s="140">
        <v>0</v>
      </c>
      <c r="AT1156" s="140">
        <v>5</v>
      </c>
      <c r="AU1156" s="140">
        <v>0</v>
      </c>
      <c r="AV1156" s="140">
        <v>0</v>
      </c>
      <c r="AW1156" s="140">
        <v>0</v>
      </c>
      <c r="AX1156" s="140">
        <v>0</v>
      </c>
      <c r="AY1156" s="140">
        <v>0</v>
      </c>
      <c r="AZ1156" s="140">
        <v>0</v>
      </c>
      <c r="BA1156" s="140">
        <v>5</v>
      </c>
      <c r="BB1156" s="140">
        <v>0</v>
      </c>
      <c r="BC1156" s="140">
        <v>0</v>
      </c>
      <c r="BD1156" s="140">
        <v>0</v>
      </c>
      <c r="BE1156" s="140">
        <v>0</v>
      </c>
      <c r="BF1156" s="140">
        <v>0</v>
      </c>
      <c r="BG1156" s="140">
        <v>0</v>
      </c>
      <c r="BH1156" s="140">
        <v>0</v>
      </c>
      <c r="BI1156" s="140">
        <v>0</v>
      </c>
      <c r="BJ1156" s="140">
        <v>0</v>
      </c>
      <c r="BK1156" s="140">
        <v>0</v>
      </c>
      <c r="BL1156" s="140">
        <v>0</v>
      </c>
      <c r="BM1156" s="140">
        <v>0</v>
      </c>
      <c r="BN1156" s="140">
        <v>0</v>
      </c>
      <c r="BO1156" s="140">
        <v>0</v>
      </c>
      <c r="BQ1156" s="43" t="s">
        <v>329</v>
      </c>
      <c r="BU1156" s="89"/>
      <c r="BX1156" s="43">
        <v>21</v>
      </c>
      <c r="CE1156" s="90">
        <f t="shared" si="162"/>
        <v>5</v>
      </c>
      <c r="CT1156" s="90">
        <f t="shared" si="163"/>
        <v>0</v>
      </c>
      <c r="CU1156" s="90">
        <f t="shared" si="164"/>
        <v>5</v>
      </c>
    </row>
    <row r="1157" spans="1:99" ht="12" customHeight="1">
      <c r="A1157" s="43">
        <v>6890</v>
      </c>
      <c r="B1157" s="89" t="s">
        <v>2923</v>
      </c>
      <c r="C1157" s="89" t="s">
        <v>2987</v>
      </c>
      <c r="D1157" s="89" t="s">
        <v>2988</v>
      </c>
      <c r="F1157" s="43">
        <v>529517</v>
      </c>
      <c r="G1157" s="43">
        <v>177263</v>
      </c>
      <c r="H1157" s="89" t="s">
        <v>148</v>
      </c>
      <c r="K1157" s="140">
        <v>0</v>
      </c>
      <c r="L1157" s="140">
        <v>3</v>
      </c>
      <c r="M1157" s="140">
        <v>3</v>
      </c>
      <c r="N1157" s="140">
        <v>51</v>
      </c>
      <c r="O1157" s="140">
        <v>51</v>
      </c>
      <c r="P1157" s="43" t="s">
        <v>329</v>
      </c>
      <c r="Q1157" s="89" t="s">
        <v>2926</v>
      </c>
      <c r="R1157" s="43" t="s">
        <v>2927</v>
      </c>
      <c r="V1157" s="43" t="s">
        <v>317</v>
      </c>
      <c r="X1157" s="43" t="s">
        <v>318</v>
      </c>
      <c r="Y1157" s="43" t="s">
        <v>361</v>
      </c>
      <c r="Z1157" s="43" t="s">
        <v>320</v>
      </c>
      <c r="AA1157" s="43" t="s">
        <v>353</v>
      </c>
      <c r="AB1157" s="144">
        <v>0</v>
      </c>
      <c r="AF1157" s="43" t="s">
        <v>54</v>
      </c>
      <c r="AG1157" s="43" t="s">
        <v>1659</v>
      </c>
      <c r="AH1157" s="43" t="s">
        <v>2989</v>
      </c>
      <c r="AI1157" s="43">
        <v>17320133</v>
      </c>
      <c r="AJ1157" s="140">
        <v>0</v>
      </c>
      <c r="AK1157" s="140">
        <v>0</v>
      </c>
      <c r="AL1157" s="140">
        <v>0</v>
      </c>
      <c r="AM1157" s="140">
        <v>0</v>
      </c>
      <c r="AN1157" s="140">
        <v>0</v>
      </c>
      <c r="AO1157" s="140">
        <v>0</v>
      </c>
      <c r="AP1157" s="140">
        <v>0</v>
      </c>
      <c r="AQ1157" s="140">
        <v>0</v>
      </c>
      <c r="AR1157" s="140">
        <v>0</v>
      </c>
      <c r="AS1157" s="140">
        <v>0</v>
      </c>
      <c r="AT1157" s="140">
        <v>3</v>
      </c>
      <c r="AU1157" s="140">
        <v>0</v>
      </c>
      <c r="AV1157" s="140">
        <v>0</v>
      </c>
      <c r="AW1157" s="140">
        <v>0</v>
      </c>
      <c r="AX1157" s="140">
        <v>0</v>
      </c>
      <c r="AY1157" s="140">
        <v>0</v>
      </c>
      <c r="AZ1157" s="140">
        <v>0</v>
      </c>
      <c r="BA1157" s="140">
        <v>3</v>
      </c>
      <c r="BB1157" s="140">
        <v>0</v>
      </c>
      <c r="BC1157" s="140">
        <v>0</v>
      </c>
      <c r="BD1157" s="140">
        <v>0</v>
      </c>
      <c r="BE1157" s="140">
        <v>0</v>
      </c>
      <c r="BF1157" s="140">
        <v>0</v>
      </c>
      <c r="BG1157" s="140">
        <v>0</v>
      </c>
      <c r="BH1157" s="140">
        <v>0</v>
      </c>
      <c r="BI1157" s="140">
        <v>0</v>
      </c>
      <c r="BJ1157" s="140">
        <v>0</v>
      </c>
      <c r="BK1157" s="140">
        <v>0</v>
      </c>
      <c r="BL1157" s="140">
        <v>0</v>
      </c>
      <c r="BM1157" s="140">
        <v>0</v>
      </c>
      <c r="BN1157" s="140">
        <v>0</v>
      </c>
      <c r="BO1157" s="140">
        <v>0</v>
      </c>
      <c r="BQ1157" s="43" t="s">
        <v>329</v>
      </c>
      <c r="BU1157" s="89"/>
      <c r="BX1157" s="43">
        <v>21</v>
      </c>
      <c r="CE1157" s="90">
        <f t="shared" si="162"/>
        <v>3</v>
      </c>
      <c r="CT1157" s="90">
        <f t="shared" si="163"/>
        <v>0</v>
      </c>
      <c r="CU1157" s="90">
        <f t="shared" si="164"/>
        <v>3</v>
      </c>
    </row>
    <row r="1158" spans="1:99" ht="12" customHeight="1">
      <c r="A1158" s="43">
        <v>6891</v>
      </c>
      <c r="B1158" s="89" t="s">
        <v>2923</v>
      </c>
      <c r="C1158" s="89" t="s">
        <v>2990</v>
      </c>
      <c r="D1158" s="89" t="s">
        <v>2991</v>
      </c>
      <c r="F1158" s="43">
        <v>525542</v>
      </c>
      <c r="G1158" s="43">
        <v>175021</v>
      </c>
      <c r="H1158" s="89" t="s">
        <v>170</v>
      </c>
      <c r="K1158" s="140">
        <v>0</v>
      </c>
      <c r="L1158" s="140">
        <v>35</v>
      </c>
      <c r="M1158" s="140">
        <v>35</v>
      </c>
      <c r="N1158" s="140">
        <v>52</v>
      </c>
      <c r="O1158" s="140">
        <v>52</v>
      </c>
      <c r="P1158" s="43" t="s">
        <v>329</v>
      </c>
      <c r="Q1158" s="89" t="s">
        <v>2926</v>
      </c>
      <c r="R1158" s="43" t="s">
        <v>2927</v>
      </c>
      <c r="V1158" s="43" t="s">
        <v>317</v>
      </c>
      <c r="X1158" s="43" t="s">
        <v>318</v>
      </c>
      <c r="Y1158" s="43" t="s">
        <v>361</v>
      </c>
      <c r="Z1158" s="43" t="s">
        <v>361</v>
      </c>
      <c r="AA1158" s="43" t="s">
        <v>320</v>
      </c>
      <c r="AB1158" s="144">
        <v>0</v>
      </c>
      <c r="AF1158" s="43" t="s">
        <v>75</v>
      </c>
      <c r="AG1158" s="43" t="s">
        <v>322</v>
      </c>
      <c r="AH1158" s="43" t="s">
        <v>2992</v>
      </c>
      <c r="AI1158" s="43">
        <v>17320319</v>
      </c>
      <c r="AJ1158" s="140">
        <v>0</v>
      </c>
      <c r="AK1158" s="140">
        <v>0</v>
      </c>
      <c r="AL1158" s="140">
        <v>0</v>
      </c>
      <c r="AM1158" s="140">
        <v>0</v>
      </c>
      <c r="AN1158" s="140">
        <v>0</v>
      </c>
      <c r="AO1158" s="140">
        <v>0</v>
      </c>
      <c r="AP1158" s="140">
        <v>0</v>
      </c>
      <c r="AQ1158" s="140">
        <v>0</v>
      </c>
      <c r="AR1158" s="140">
        <v>0</v>
      </c>
      <c r="AS1158" s="140">
        <v>0</v>
      </c>
      <c r="AT1158" s="140">
        <v>35</v>
      </c>
      <c r="AU1158" s="140">
        <v>0</v>
      </c>
      <c r="AV1158" s="140">
        <v>0</v>
      </c>
      <c r="AW1158" s="140">
        <v>0</v>
      </c>
      <c r="AX1158" s="140">
        <v>0</v>
      </c>
      <c r="AY1158" s="140">
        <v>0</v>
      </c>
      <c r="AZ1158" s="140">
        <v>0</v>
      </c>
      <c r="BA1158" s="140">
        <v>35</v>
      </c>
      <c r="BB1158" s="140">
        <v>0</v>
      </c>
      <c r="BC1158" s="140">
        <v>0</v>
      </c>
      <c r="BD1158" s="140">
        <v>0</v>
      </c>
      <c r="BE1158" s="140">
        <v>0</v>
      </c>
      <c r="BF1158" s="140">
        <v>0</v>
      </c>
      <c r="BG1158" s="140">
        <v>0</v>
      </c>
      <c r="BH1158" s="140">
        <v>0</v>
      </c>
      <c r="BI1158" s="140">
        <v>0</v>
      </c>
      <c r="BJ1158" s="140">
        <v>0</v>
      </c>
      <c r="BK1158" s="140">
        <v>0</v>
      </c>
      <c r="BL1158" s="140">
        <v>0</v>
      </c>
      <c r="BM1158" s="140">
        <v>0</v>
      </c>
      <c r="BN1158" s="140">
        <v>0</v>
      </c>
      <c r="BO1158" s="140">
        <v>0</v>
      </c>
      <c r="BR1158" s="43" t="s">
        <v>329</v>
      </c>
      <c r="BU1158" s="89"/>
      <c r="BX1158" s="43">
        <v>20</v>
      </c>
      <c r="CE1158" s="90">
        <f t="shared" ref="CE1158:CS1160" si="165">$M1158/16</f>
        <v>2.1875</v>
      </c>
      <c r="CF1158" s="90">
        <f t="shared" si="165"/>
        <v>2.1875</v>
      </c>
      <c r="CG1158" s="90">
        <f t="shared" si="165"/>
        <v>2.1875</v>
      </c>
      <c r="CH1158" s="90">
        <f t="shared" si="165"/>
        <v>2.1875</v>
      </c>
      <c r="CI1158" s="90">
        <f t="shared" si="165"/>
        <v>2.1875</v>
      </c>
      <c r="CJ1158" s="90">
        <f t="shared" si="165"/>
        <v>2.1875</v>
      </c>
      <c r="CK1158" s="90">
        <f t="shared" si="165"/>
        <v>2.1875</v>
      </c>
      <c r="CL1158" s="90">
        <f t="shared" si="165"/>
        <v>2.1875</v>
      </c>
      <c r="CM1158" s="90">
        <f t="shared" si="165"/>
        <v>2.1875</v>
      </c>
      <c r="CN1158" s="90">
        <f t="shared" si="165"/>
        <v>2.1875</v>
      </c>
      <c r="CO1158" s="90">
        <f t="shared" si="165"/>
        <v>2.1875</v>
      </c>
      <c r="CP1158" s="90">
        <f t="shared" si="165"/>
        <v>2.1875</v>
      </c>
      <c r="CQ1158" s="90">
        <f t="shared" si="165"/>
        <v>2.1875</v>
      </c>
      <c r="CR1158" s="90">
        <f t="shared" si="165"/>
        <v>2.1875</v>
      </c>
      <c r="CS1158" s="90">
        <f t="shared" si="165"/>
        <v>2.1875</v>
      </c>
      <c r="CT1158" s="90">
        <f t="shared" si="163"/>
        <v>0</v>
      </c>
      <c r="CU1158" s="90">
        <f t="shared" si="164"/>
        <v>10.9375</v>
      </c>
    </row>
    <row r="1159" spans="1:99" ht="12" customHeight="1">
      <c r="A1159" s="43">
        <v>6891</v>
      </c>
      <c r="B1159" s="89" t="s">
        <v>2923</v>
      </c>
      <c r="C1159" s="89" t="s">
        <v>2990</v>
      </c>
      <c r="D1159" s="89" t="s">
        <v>2991</v>
      </c>
      <c r="F1159" s="43">
        <v>525542</v>
      </c>
      <c r="G1159" s="43">
        <v>175021</v>
      </c>
      <c r="H1159" s="89" t="s">
        <v>170</v>
      </c>
      <c r="K1159" s="140">
        <v>0</v>
      </c>
      <c r="L1159" s="140">
        <v>10</v>
      </c>
      <c r="M1159" s="140">
        <v>10</v>
      </c>
      <c r="N1159" s="140">
        <v>52</v>
      </c>
      <c r="O1159" s="140">
        <v>52</v>
      </c>
      <c r="P1159" s="43" t="s">
        <v>329</v>
      </c>
      <c r="Q1159" s="89" t="s">
        <v>2926</v>
      </c>
      <c r="R1159" s="43" t="s">
        <v>2927</v>
      </c>
      <c r="V1159" s="43" t="s">
        <v>317</v>
      </c>
      <c r="X1159" s="43" t="s">
        <v>318</v>
      </c>
      <c r="Y1159" s="43" t="s">
        <v>361</v>
      </c>
      <c r="Z1159" s="43" t="s">
        <v>361</v>
      </c>
      <c r="AA1159" s="43" t="s">
        <v>320</v>
      </c>
      <c r="AB1159" s="144">
        <v>0</v>
      </c>
      <c r="AF1159" s="43" t="s">
        <v>55</v>
      </c>
      <c r="AG1159" s="43" t="s">
        <v>457</v>
      </c>
      <c r="AH1159" s="43" t="s">
        <v>2992</v>
      </c>
      <c r="AI1159" s="43">
        <v>17320319</v>
      </c>
      <c r="AJ1159" s="140">
        <v>0</v>
      </c>
      <c r="AK1159" s="140">
        <v>0</v>
      </c>
      <c r="AL1159" s="140">
        <v>0</v>
      </c>
      <c r="AM1159" s="140">
        <v>0</v>
      </c>
      <c r="AN1159" s="140">
        <v>0</v>
      </c>
      <c r="AO1159" s="140">
        <v>0</v>
      </c>
      <c r="AP1159" s="140">
        <v>0</v>
      </c>
      <c r="AQ1159" s="140">
        <v>0</v>
      </c>
      <c r="AR1159" s="140">
        <v>0</v>
      </c>
      <c r="AS1159" s="140">
        <v>0</v>
      </c>
      <c r="AT1159" s="140">
        <v>10</v>
      </c>
      <c r="AU1159" s="140">
        <v>0</v>
      </c>
      <c r="AV1159" s="140">
        <v>0</v>
      </c>
      <c r="AW1159" s="140">
        <v>0</v>
      </c>
      <c r="AX1159" s="140">
        <v>0</v>
      </c>
      <c r="AY1159" s="140">
        <v>0</v>
      </c>
      <c r="AZ1159" s="140">
        <v>0</v>
      </c>
      <c r="BA1159" s="140">
        <v>10</v>
      </c>
      <c r="BB1159" s="140">
        <v>0</v>
      </c>
      <c r="BC1159" s="140">
        <v>0</v>
      </c>
      <c r="BD1159" s="140">
        <v>0</v>
      </c>
      <c r="BE1159" s="140">
        <v>0</v>
      </c>
      <c r="BF1159" s="140">
        <v>0</v>
      </c>
      <c r="BG1159" s="140">
        <v>0</v>
      </c>
      <c r="BH1159" s="140">
        <v>0</v>
      </c>
      <c r="BI1159" s="140">
        <v>0</v>
      </c>
      <c r="BJ1159" s="140">
        <v>0</v>
      </c>
      <c r="BK1159" s="140">
        <v>0</v>
      </c>
      <c r="BL1159" s="140">
        <v>0</v>
      </c>
      <c r="BM1159" s="140">
        <v>0</v>
      </c>
      <c r="BN1159" s="140">
        <v>0</v>
      </c>
      <c r="BO1159" s="140">
        <v>0</v>
      </c>
      <c r="BR1159" s="43" t="s">
        <v>329</v>
      </c>
      <c r="BU1159" s="89"/>
      <c r="BX1159" s="43">
        <v>20</v>
      </c>
      <c r="CE1159" s="90">
        <f t="shared" si="165"/>
        <v>0.625</v>
      </c>
      <c r="CF1159" s="90">
        <f t="shared" si="165"/>
        <v>0.625</v>
      </c>
      <c r="CG1159" s="90">
        <f t="shared" si="165"/>
        <v>0.625</v>
      </c>
      <c r="CH1159" s="90">
        <f t="shared" si="165"/>
        <v>0.625</v>
      </c>
      <c r="CI1159" s="90">
        <f t="shared" si="165"/>
        <v>0.625</v>
      </c>
      <c r="CJ1159" s="90">
        <f t="shared" si="165"/>
        <v>0.625</v>
      </c>
      <c r="CK1159" s="90">
        <f t="shared" si="165"/>
        <v>0.625</v>
      </c>
      <c r="CL1159" s="90">
        <f t="shared" si="165"/>
        <v>0.625</v>
      </c>
      <c r="CM1159" s="90">
        <f t="shared" si="165"/>
        <v>0.625</v>
      </c>
      <c r="CN1159" s="90">
        <f t="shared" si="165"/>
        <v>0.625</v>
      </c>
      <c r="CO1159" s="90">
        <f t="shared" si="165"/>
        <v>0.625</v>
      </c>
      <c r="CP1159" s="90">
        <f t="shared" si="165"/>
        <v>0.625</v>
      </c>
      <c r="CQ1159" s="90">
        <f t="shared" si="165"/>
        <v>0.625</v>
      </c>
      <c r="CR1159" s="90">
        <f t="shared" si="165"/>
        <v>0.625</v>
      </c>
      <c r="CS1159" s="90">
        <f t="shared" si="165"/>
        <v>0.625</v>
      </c>
      <c r="CT1159" s="90">
        <f t="shared" si="163"/>
        <v>0</v>
      </c>
      <c r="CU1159" s="90">
        <f t="shared" si="164"/>
        <v>3.125</v>
      </c>
    </row>
    <row r="1160" spans="1:99" ht="12" customHeight="1">
      <c r="A1160" s="43">
        <v>6891</v>
      </c>
      <c r="B1160" s="89" t="s">
        <v>2923</v>
      </c>
      <c r="C1160" s="89" t="s">
        <v>2990</v>
      </c>
      <c r="D1160" s="89" t="s">
        <v>2991</v>
      </c>
      <c r="F1160" s="43">
        <v>525542</v>
      </c>
      <c r="G1160" s="43">
        <v>175021</v>
      </c>
      <c r="H1160" s="89" t="s">
        <v>170</v>
      </c>
      <c r="K1160" s="140">
        <v>0</v>
      </c>
      <c r="L1160" s="140">
        <v>7</v>
      </c>
      <c r="M1160" s="140">
        <v>7</v>
      </c>
      <c r="N1160" s="140">
        <v>52</v>
      </c>
      <c r="O1160" s="140">
        <v>52</v>
      </c>
      <c r="P1160" s="43" t="s">
        <v>329</v>
      </c>
      <c r="Q1160" s="89" t="s">
        <v>2926</v>
      </c>
      <c r="R1160" s="43" t="s">
        <v>2927</v>
      </c>
      <c r="V1160" s="43" t="s">
        <v>317</v>
      </c>
      <c r="X1160" s="43" t="s">
        <v>318</v>
      </c>
      <c r="Y1160" s="43" t="s">
        <v>361</v>
      </c>
      <c r="Z1160" s="43" t="s">
        <v>320</v>
      </c>
      <c r="AA1160" s="43" t="s">
        <v>353</v>
      </c>
      <c r="AB1160" s="144">
        <v>0</v>
      </c>
      <c r="AF1160" s="43" t="s">
        <v>54</v>
      </c>
      <c r="AG1160" s="43" t="s">
        <v>399</v>
      </c>
      <c r="AH1160" s="43" t="s">
        <v>2992</v>
      </c>
      <c r="AI1160" s="43">
        <v>17320319</v>
      </c>
      <c r="AJ1160" s="140">
        <v>0</v>
      </c>
      <c r="AK1160" s="140">
        <v>0</v>
      </c>
      <c r="AL1160" s="140">
        <v>0</v>
      </c>
      <c r="AM1160" s="140">
        <v>0</v>
      </c>
      <c r="AN1160" s="140">
        <v>0</v>
      </c>
      <c r="AO1160" s="140">
        <v>0</v>
      </c>
      <c r="AP1160" s="140">
        <v>0</v>
      </c>
      <c r="AQ1160" s="140">
        <v>0</v>
      </c>
      <c r="AR1160" s="140">
        <v>0</v>
      </c>
      <c r="AS1160" s="140">
        <v>0</v>
      </c>
      <c r="AT1160" s="140">
        <v>7</v>
      </c>
      <c r="AU1160" s="140">
        <v>0</v>
      </c>
      <c r="AV1160" s="140">
        <v>0</v>
      </c>
      <c r="AW1160" s="140">
        <v>0</v>
      </c>
      <c r="AX1160" s="140">
        <v>0</v>
      </c>
      <c r="AY1160" s="140">
        <v>0</v>
      </c>
      <c r="AZ1160" s="140">
        <v>0</v>
      </c>
      <c r="BA1160" s="140">
        <v>7</v>
      </c>
      <c r="BB1160" s="140">
        <v>0</v>
      </c>
      <c r="BC1160" s="140">
        <v>0</v>
      </c>
      <c r="BD1160" s="140">
        <v>0</v>
      </c>
      <c r="BE1160" s="140">
        <v>0</v>
      </c>
      <c r="BF1160" s="140">
        <v>0</v>
      </c>
      <c r="BG1160" s="140">
        <v>0</v>
      </c>
      <c r="BH1160" s="140">
        <v>0</v>
      </c>
      <c r="BI1160" s="140">
        <v>0</v>
      </c>
      <c r="BJ1160" s="140">
        <v>0</v>
      </c>
      <c r="BK1160" s="140">
        <v>0</v>
      </c>
      <c r="BL1160" s="140">
        <v>0</v>
      </c>
      <c r="BM1160" s="140">
        <v>0</v>
      </c>
      <c r="BN1160" s="140">
        <v>0</v>
      </c>
      <c r="BO1160" s="140">
        <v>0</v>
      </c>
      <c r="BR1160" s="43" t="s">
        <v>329</v>
      </c>
      <c r="BU1160" s="89"/>
      <c r="BX1160" s="43">
        <v>20</v>
      </c>
      <c r="CE1160" s="90">
        <f t="shared" si="165"/>
        <v>0.4375</v>
      </c>
      <c r="CF1160" s="90">
        <f t="shared" si="165"/>
        <v>0.4375</v>
      </c>
      <c r="CG1160" s="90">
        <f t="shared" si="165"/>
        <v>0.4375</v>
      </c>
      <c r="CH1160" s="90">
        <f t="shared" si="165"/>
        <v>0.4375</v>
      </c>
      <c r="CI1160" s="90">
        <f t="shared" si="165"/>
        <v>0.4375</v>
      </c>
      <c r="CJ1160" s="90">
        <f t="shared" si="165"/>
        <v>0.4375</v>
      </c>
      <c r="CK1160" s="90">
        <f t="shared" si="165"/>
        <v>0.4375</v>
      </c>
      <c r="CL1160" s="90">
        <f t="shared" si="165"/>
        <v>0.4375</v>
      </c>
      <c r="CM1160" s="90">
        <f t="shared" si="165"/>
        <v>0.4375</v>
      </c>
      <c r="CN1160" s="90">
        <f t="shared" si="165"/>
        <v>0.4375</v>
      </c>
      <c r="CO1160" s="90">
        <f t="shared" si="165"/>
        <v>0.4375</v>
      </c>
      <c r="CP1160" s="90">
        <f t="shared" si="165"/>
        <v>0.4375</v>
      </c>
      <c r="CQ1160" s="90">
        <f t="shared" si="165"/>
        <v>0.4375</v>
      </c>
      <c r="CR1160" s="90">
        <f t="shared" si="165"/>
        <v>0.4375</v>
      </c>
      <c r="CS1160" s="90">
        <f t="shared" si="165"/>
        <v>0.4375</v>
      </c>
      <c r="CT1160" s="90">
        <f t="shared" si="163"/>
        <v>0</v>
      </c>
      <c r="CU1160" s="90">
        <f t="shared" si="164"/>
        <v>2.1875</v>
      </c>
    </row>
    <row r="1161" spans="1:99" ht="12" customHeight="1">
      <c r="A1161" s="43">
        <v>6892</v>
      </c>
      <c r="B1161" s="89" t="s">
        <v>2923</v>
      </c>
      <c r="C1161" s="89" t="s">
        <v>2993</v>
      </c>
      <c r="D1161" s="89" t="s">
        <v>2994</v>
      </c>
      <c r="F1161" s="43">
        <v>525690</v>
      </c>
      <c r="G1161" s="43">
        <v>174971</v>
      </c>
      <c r="H1161" s="89" t="s">
        <v>170</v>
      </c>
      <c r="K1161" s="140">
        <v>0</v>
      </c>
      <c r="L1161" s="140">
        <v>478</v>
      </c>
      <c r="M1161" s="140">
        <v>478</v>
      </c>
      <c r="N1161" s="140">
        <v>713</v>
      </c>
      <c r="O1161" s="140">
        <v>713</v>
      </c>
      <c r="P1161" s="43" t="s">
        <v>329</v>
      </c>
      <c r="Q1161" s="89" t="s">
        <v>2926</v>
      </c>
      <c r="R1161" s="43" t="s">
        <v>2927</v>
      </c>
      <c r="V1161" s="43" t="s">
        <v>317</v>
      </c>
      <c r="X1161" s="43" t="s">
        <v>318</v>
      </c>
      <c r="Y1161" s="43" t="s">
        <v>361</v>
      </c>
      <c r="Z1161" s="43" t="s">
        <v>361</v>
      </c>
      <c r="AA1161" s="43" t="s">
        <v>320</v>
      </c>
      <c r="AB1161" s="144">
        <v>0</v>
      </c>
      <c r="AF1161" s="43" t="s">
        <v>75</v>
      </c>
      <c r="AG1161" s="43" t="s">
        <v>322</v>
      </c>
      <c r="AH1161" s="43" t="s">
        <v>2995</v>
      </c>
      <c r="AI1161" s="43">
        <v>17320108</v>
      </c>
      <c r="AJ1161" s="140">
        <v>0</v>
      </c>
      <c r="AK1161" s="140">
        <v>0</v>
      </c>
      <c r="AL1161" s="140">
        <v>0</v>
      </c>
      <c r="AM1161" s="140">
        <v>0</v>
      </c>
      <c r="AN1161" s="140">
        <v>0</v>
      </c>
      <c r="AO1161" s="140">
        <v>0</v>
      </c>
      <c r="AP1161" s="140">
        <v>0</v>
      </c>
      <c r="AQ1161" s="140">
        <v>0</v>
      </c>
      <c r="AR1161" s="140">
        <v>0</v>
      </c>
      <c r="AS1161" s="140">
        <v>0</v>
      </c>
      <c r="AT1161" s="140">
        <v>478</v>
      </c>
      <c r="AU1161" s="140">
        <v>0</v>
      </c>
      <c r="AV1161" s="140">
        <v>0</v>
      </c>
      <c r="AW1161" s="140">
        <v>0</v>
      </c>
      <c r="AX1161" s="140">
        <v>0</v>
      </c>
      <c r="AY1161" s="140">
        <v>0</v>
      </c>
      <c r="AZ1161" s="140">
        <v>0</v>
      </c>
      <c r="BA1161" s="140">
        <v>478</v>
      </c>
      <c r="BB1161" s="140">
        <v>0</v>
      </c>
      <c r="BC1161" s="140">
        <v>0</v>
      </c>
      <c r="BD1161" s="140">
        <v>0</v>
      </c>
      <c r="BE1161" s="140">
        <v>0</v>
      </c>
      <c r="BF1161" s="140">
        <v>0</v>
      </c>
      <c r="BG1161" s="140">
        <v>0</v>
      </c>
      <c r="BH1161" s="140">
        <v>0</v>
      </c>
      <c r="BI1161" s="140">
        <v>0</v>
      </c>
      <c r="BJ1161" s="140">
        <v>0</v>
      </c>
      <c r="BK1161" s="140">
        <v>0</v>
      </c>
      <c r="BL1161" s="140">
        <v>0</v>
      </c>
      <c r="BM1161" s="140">
        <v>0</v>
      </c>
      <c r="BN1161" s="140">
        <v>0</v>
      </c>
      <c r="BO1161" s="140">
        <v>0</v>
      </c>
      <c r="BR1161" s="43" t="s">
        <v>329</v>
      </c>
      <c r="BU1161" s="89"/>
      <c r="BX1161" s="43">
        <v>20</v>
      </c>
      <c r="CE1161" s="90">
        <f t="shared" ref="CE1161:CI1163" si="166">$M1161/5</f>
        <v>95.6</v>
      </c>
      <c r="CF1161" s="90">
        <f t="shared" si="166"/>
        <v>95.6</v>
      </c>
      <c r="CG1161" s="90">
        <f t="shared" si="166"/>
        <v>95.6</v>
      </c>
      <c r="CH1161" s="90">
        <f t="shared" si="166"/>
        <v>95.6</v>
      </c>
      <c r="CI1161" s="90">
        <f t="shared" si="166"/>
        <v>95.6</v>
      </c>
      <c r="CT1161" s="90">
        <f t="shared" si="163"/>
        <v>0</v>
      </c>
      <c r="CU1161" s="90">
        <f t="shared" si="164"/>
        <v>478</v>
      </c>
    </row>
    <row r="1162" spans="1:99" ht="12" customHeight="1">
      <c r="A1162" s="43">
        <v>6892</v>
      </c>
      <c r="B1162" s="89" t="s">
        <v>2923</v>
      </c>
      <c r="C1162" s="89" t="s">
        <v>2993</v>
      </c>
      <c r="D1162" s="89" t="s">
        <v>2994</v>
      </c>
      <c r="F1162" s="43">
        <v>525690</v>
      </c>
      <c r="G1162" s="43">
        <v>174971</v>
      </c>
      <c r="H1162" s="89" t="s">
        <v>170</v>
      </c>
      <c r="K1162" s="140">
        <v>0</v>
      </c>
      <c r="L1162" s="140">
        <v>141</v>
      </c>
      <c r="M1162" s="140">
        <v>141</v>
      </c>
      <c r="N1162" s="140">
        <v>713</v>
      </c>
      <c r="O1162" s="140">
        <v>713</v>
      </c>
      <c r="P1162" s="43" t="s">
        <v>329</v>
      </c>
      <c r="Q1162" s="89" t="s">
        <v>2926</v>
      </c>
      <c r="R1162" s="43" t="s">
        <v>2927</v>
      </c>
      <c r="V1162" s="43" t="s">
        <v>317</v>
      </c>
      <c r="X1162" s="43" t="s">
        <v>318</v>
      </c>
      <c r="Y1162" s="43" t="s">
        <v>361</v>
      </c>
      <c r="Z1162" s="43" t="s">
        <v>361</v>
      </c>
      <c r="AA1162" s="43" t="s">
        <v>320</v>
      </c>
      <c r="AB1162" s="144">
        <v>0</v>
      </c>
      <c r="AF1162" s="43" t="s">
        <v>55</v>
      </c>
      <c r="AG1162" s="43" t="s">
        <v>457</v>
      </c>
      <c r="AH1162" s="43" t="s">
        <v>2995</v>
      </c>
      <c r="AI1162" s="43">
        <v>17320108</v>
      </c>
      <c r="AJ1162" s="140">
        <v>0</v>
      </c>
      <c r="AK1162" s="140">
        <v>0</v>
      </c>
      <c r="AL1162" s="140">
        <v>0</v>
      </c>
      <c r="AM1162" s="140">
        <v>0</v>
      </c>
      <c r="AN1162" s="140">
        <v>0</v>
      </c>
      <c r="AO1162" s="140">
        <v>0</v>
      </c>
      <c r="AP1162" s="140">
        <v>0</v>
      </c>
      <c r="AQ1162" s="140">
        <v>0</v>
      </c>
      <c r="AR1162" s="140">
        <v>0</v>
      </c>
      <c r="AS1162" s="140">
        <v>0</v>
      </c>
      <c r="AT1162" s="140">
        <v>141</v>
      </c>
      <c r="AU1162" s="140">
        <v>0</v>
      </c>
      <c r="AV1162" s="140">
        <v>0</v>
      </c>
      <c r="AW1162" s="140">
        <v>0</v>
      </c>
      <c r="AX1162" s="140">
        <v>0</v>
      </c>
      <c r="AY1162" s="140">
        <v>0</v>
      </c>
      <c r="AZ1162" s="140">
        <v>0</v>
      </c>
      <c r="BA1162" s="140">
        <v>141</v>
      </c>
      <c r="BB1162" s="140">
        <v>0</v>
      </c>
      <c r="BC1162" s="140">
        <v>0</v>
      </c>
      <c r="BD1162" s="140">
        <v>0</v>
      </c>
      <c r="BE1162" s="140">
        <v>0</v>
      </c>
      <c r="BF1162" s="140">
        <v>0</v>
      </c>
      <c r="BG1162" s="140">
        <v>0</v>
      </c>
      <c r="BH1162" s="140">
        <v>0</v>
      </c>
      <c r="BI1162" s="140">
        <v>0</v>
      </c>
      <c r="BJ1162" s="140">
        <v>0</v>
      </c>
      <c r="BK1162" s="140">
        <v>0</v>
      </c>
      <c r="BL1162" s="140">
        <v>0</v>
      </c>
      <c r="BM1162" s="140">
        <v>0</v>
      </c>
      <c r="BN1162" s="140">
        <v>0</v>
      </c>
      <c r="BO1162" s="140">
        <v>0</v>
      </c>
      <c r="BR1162" s="43" t="s">
        <v>329</v>
      </c>
      <c r="BU1162" s="89"/>
      <c r="BX1162" s="43">
        <v>20</v>
      </c>
      <c r="CE1162" s="90">
        <f t="shared" si="166"/>
        <v>28.2</v>
      </c>
      <c r="CF1162" s="90">
        <f t="shared" si="166"/>
        <v>28.2</v>
      </c>
      <c r="CG1162" s="90">
        <f t="shared" si="166"/>
        <v>28.2</v>
      </c>
      <c r="CH1162" s="90">
        <f t="shared" si="166"/>
        <v>28.2</v>
      </c>
      <c r="CI1162" s="90">
        <f t="shared" si="166"/>
        <v>28.2</v>
      </c>
      <c r="CT1162" s="90">
        <f t="shared" si="163"/>
        <v>0</v>
      </c>
      <c r="CU1162" s="90">
        <f t="shared" si="164"/>
        <v>141</v>
      </c>
    </row>
    <row r="1163" spans="1:99" ht="12" customHeight="1">
      <c r="A1163" s="43">
        <v>6892</v>
      </c>
      <c r="B1163" s="89" t="s">
        <v>2923</v>
      </c>
      <c r="C1163" s="89" t="s">
        <v>2993</v>
      </c>
      <c r="D1163" s="89" t="s">
        <v>2994</v>
      </c>
      <c r="F1163" s="43">
        <v>525690</v>
      </c>
      <c r="G1163" s="43">
        <v>174971</v>
      </c>
      <c r="H1163" s="89" t="s">
        <v>170</v>
      </c>
      <c r="K1163" s="140">
        <v>0</v>
      </c>
      <c r="L1163" s="140">
        <v>94</v>
      </c>
      <c r="M1163" s="140">
        <v>94</v>
      </c>
      <c r="N1163" s="140">
        <v>713</v>
      </c>
      <c r="O1163" s="140">
        <v>713</v>
      </c>
      <c r="P1163" s="43" t="s">
        <v>329</v>
      </c>
      <c r="Q1163" s="89" t="s">
        <v>2926</v>
      </c>
      <c r="R1163" s="43" t="s">
        <v>2927</v>
      </c>
      <c r="V1163" s="43" t="s">
        <v>317</v>
      </c>
      <c r="X1163" s="43" t="s">
        <v>318</v>
      </c>
      <c r="Y1163" s="43" t="s">
        <v>361</v>
      </c>
      <c r="Z1163" s="43" t="s">
        <v>361</v>
      </c>
      <c r="AA1163" s="43" t="s">
        <v>320</v>
      </c>
      <c r="AB1163" s="144">
        <v>0</v>
      </c>
      <c r="AF1163" s="43" t="s">
        <v>54</v>
      </c>
      <c r="AG1163" s="43" t="s">
        <v>399</v>
      </c>
      <c r="AH1163" s="43" t="s">
        <v>2995</v>
      </c>
      <c r="AI1163" s="43">
        <v>17320108</v>
      </c>
      <c r="AJ1163" s="140">
        <v>0</v>
      </c>
      <c r="AK1163" s="140">
        <v>0</v>
      </c>
      <c r="AL1163" s="140">
        <v>0</v>
      </c>
      <c r="AM1163" s="140">
        <v>0</v>
      </c>
      <c r="AN1163" s="140">
        <v>0</v>
      </c>
      <c r="AO1163" s="140">
        <v>0</v>
      </c>
      <c r="AP1163" s="140">
        <v>0</v>
      </c>
      <c r="AQ1163" s="140">
        <v>0</v>
      </c>
      <c r="AR1163" s="140">
        <v>0</v>
      </c>
      <c r="AS1163" s="140">
        <v>0</v>
      </c>
      <c r="AT1163" s="140">
        <v>94</v>
      </c>
      <c r="AU1163" s="140">
        <v>0</v>
      </c>
      <c r="AV1163" s="140">
        <v>0</v>
      </c>
      <c r="AW1163" s="140">
        <v>0</v>
      </c>
      <c r="AX1163" s="140">
        <v>0</v>
      </c>
      <c r="AY1163" s="140">
        <v>0</v>
      </c>
      <c r="AZ1163" s="140">
        <v>0</v>
      </c>
      <c r="BA1163" s="140">
        <v>94</v>
      </c>
      <c r="BB1163" s="140">
        <v>0</v>
      </c>
      <c r="BC1163" s="140">
        <v>0</v>
      </c>
      <c r="BD1163" s="140">
        <v>0</v>
      </c>
      <c r="BE1163" s="140">
        <v>0</v>
      </c>
      <c r="BF1163" s="140">
        <v>0</v>
      </c>
      <c r="BG1163" s="140">
        <v>0</v>
      </c>
      <c r="BH1163" s="140">
        <v>0</v>
      </c>
      <c r="BI1163" s="140">
        <v>0</v>
      </c>
      <c r="BJ1163" s="140">
        <v>0</v>
      </c>
      <c r="BK1163" s="140">
        <v>0</v>
      </c>
      <c r="BL1163" s="140">
        <v>0</v>
      </c>
      <c r="BM1163" s="140">
        <v>0</v>
      </c>
      <c r="BN1163" s="140">
        <v>0</v>
      </c>
      <c r="BO1163" s="140">
        <v>0</v>
      </c>
      <c r="BR1163" s="43" t="s">
        <v>329</v>
      </c>
      <c r="BU1163" s="89"/>
      <c r="BX1163" s="43">
        <v>20</v>
      </c>
      <c r="CE1163" s="90">
        <f t="shared" si="166"/>
        <v>18.8</v>
      </c>
      <c r="CF1163" s="90">
        <f t="shared" si="166"/>
        <v>18.8</v>
      </c>
      <c r="CG1163" s="90">
        <f t="shared" si="166"/>
        <v>18.8</v>
      </c>
      <c r="CH1163" s="90">
        <f t="shared" si="166"/>
        <v>18.8</v>
      </c>
      <c r="CI1163" s="90">
        <f t="shared" si="166"/>
        <v>18.8</v>
      </c>
      <c r="CT1163" s="90">
        <f t="shared" si="163"/>
        <v>0</v>
      </c>
      <c r="CU1163" s="90">
        <f t="shared" si="164"/>
        <v>94</v>
      </c>
    </row>
    <row r="1164" spans="1:99" ht="12" customHeight="1">
      <c r="A1164" s="43">
        <v>6893</v>
      </c>
      <c r="B1164" s="89" t="s">
        <v>2923</v>
      </c>
      <c r="C1164" s="89" t="s">
        <v>2996</v>
      </c>
      <c r="D1164" s="89" t="s">
        <v>2997</v>
      </c>
      <c r="F1164" s="43">
        <v>525561</v>
      </c>
      <c r="G1164" s="43">
        <v>174936</v>
      </c>
      <c r="H1164" s="89" t="s">
        <v>170</v>
      </c>
      <c r="K1164" s="140">
        <v>0</v>
      </c>
      <c r="L1164" s="140">
        <v>49</v>
      </c>
      <c r="M1164" s="140">
        <v>49</v>
      </c>
      <c r="N1164" s="140">
        <v>73</v>
      </c>
      <c r="O1164" s="140">
        <v>73</v>
      </c>
      <c r="P1164" s="43" t="s">
        <v>329</v>
      </c>
      <c r="Q1164" s="89" t="s">
        <v>2926</v>
      </c>
      <c r="R1164" s="43" t="s">
        <v>2927</v>
      </c>
      <c r="V1164" s="43" t="s">
        <v>317</v>
      </c>
      <c r="X1164" s="43" t="s">
        <v>318</v>
      </c>
      <c r="Y1164" s="43" t="s">
        <v>361</v>
      </c>
      <c r="Z1164" s="43" t="s">
        <v>361</v>
      </c>
      <c r="AA1164" s="43" t="s">
        <v>320</v>
      </c>
      <c r="AB1164" s="144">
        <v>0</v>
      </c>
      <c r="AF1164" s="43" t="s">
        <v>75</v>
      </c>
      <c r="AG1164" s="43" t="s">
        <v>322</v>
      </c>
      <c r="AH1164" s="43" t="s">
        <v>2998</v>
      </c>
      <c r="AI1164" s="43">
        <v>17320320</v>
      </c>
      <c r="AJ1164" s="140">
        <v>0</v>
      </c>
      <c r="AK1164" s="140">
        <v>0</v>
      </c>
      <c r="AL1164" s="140">
        <v>0</v>
      </c>
      <c r="AM1164" s="140">
        <v>0</v>
      </c>
      <c r="AN1164" s="140">
        <v>0</v>
      </c>
      <c r="AO1164" s="140">
        <v>0</v>
      </c>
      <c r="AP1164" s="140">
        <v>0</v>
      </c>
      <c r="AQ1164" s="140">
        <v>0</v>
      </c>
      <c r="AR1164" s="140">
        <v>0</v>
      </c>
      <c r="AS1164" s="140">
        <v>0</v>
      </c>
      <c r="AT1164" s="140">
        <v>49</v>
      </c>
      <c r="AU1164" s="140">
        <v>0</v>
      </c>
      <c r="AV1164" s="140">
        <v>0</v>
      </c>
      <c r="AW1164" s="140">
        <v>0</v>
      </c>
      <c r="AX1164" s="140">
        <v>0</v>
      </c>
      <c r="AY1164" s="140">
        <v>0</v>
      </c>
      <c r="AZ1164" s="140">
        <v>0</v>
      </c>
      <c r="BA1164" s="140">
        <v>49</v>
      </c>
      <c r="BB1164" s="140">
        <v>0</v>
      </c>
      <c r="BC1164" s="140">
        <v>0</v>
      </c>
      <c r="BD1164" s="140">
        <v>0</v>
      </c>
      <c r="BE1164" s="140">
        <v>0</v>
      </c>
      <c r="BF1164" s="140">
        <v>0</v>
      </c>
      <c r="BG1164" s="140">
        <v>0</v>
      </c>
      <c r="BH1164" s="140">
        <v>0</v>
      </c>
      <c r="BI1164" s="140">
        <v>0</v>
      </c>
      <c r="BJ1164" s="140">
        <v>0</v>
      </c>
      <c r="BK1164" s="140">
        <v>0</v>
      </c>
      <c r="BL1164" s="140">
        <v>0</v>
      </c>
      <c r="BM1164" s="140">
        <v>0</v>
      </c>
      <c r="BN1164" s="140">
        <v>0</v>
      </c>
      <c r="BO1164" s="140">
        <v>0</v>
      </c>
      <c r="BQ1164" s="89"/>
      <c r="BR1164" s="43" t="s">
        <v>329</v>
      </c>
      <c r="BU1164" s="89"/>
      <c r="BX1164" s="43">
        <v>20</v>
      </c>
      <c r="CE1164" s="90">
        <f t="shared" ref="CE1164:CS1166" si="167">$M1164/16</f>
        <v>3.0625</v>
      </c>
      <c r="CF1164" s="90">
        <f t="shared" si="167"/>
        <v>3.0625</v>
      </c>
      <c r="CG1164" s="90">
        <f t="shared" si="167"/>
        <v>3.0625</v>
      </c>
      <c r="CH1164" s="90">
        <f t="shared" si="167"/>
        <v>3.0625</v>
      </c>
      <c r="CI1164" s="90">
        <f t="shared" si="167"/>
        <v>3.0625</v>
      </c>
      <c r="CJ1164" s="90">
        <f t="shared" si="167"/>
        <v>3.0625</v>
      </c>
      <c r="CK1164" s="90">
        <f t="shared" si="167"/>
        <v>3.0625</v>
      </c>
      <c r="CL1164" s="90">
        <f t="shared" si="167"/>
        <v>3.0625</v>
      </c>
      <c r="CM1164" s="90">
        <f t="shared" si="167"/>
        <v>3.0625</v>
      </c>
      <c r="CN1164" s="90">
        <f t="shared" si="167"/>
        <v>3.0625</v>
      </c>
      <c r="CO1164" s="90">
        <f t="shared" si="167"/>
        <v>3.0625</v>
      </c>
      <c r="CP1164" s="90">
        <f t="shared" si="167"/>
        <v>3.0625</v>
      </c>
      <c r="CQ1164" s="90">
        <f t="shared" si="167"/>
        <v>3.0625</v>
      </c>
      <c r="CR1164" s="90">
        <f t="shared" si="167"/>
        <v>3.0625</v>
      </c>
      <c r="CS1164" s="90">
        <f t="shared" si="167"/>
        <v>3.0625</v>
      </c>
      <c r="CT1164" s="90">
        <f t="shared" si="163"/>
        <v>0</v>
      </c>
      <c r="CU1164" s="90">
        <f t="shared" si="164"/>
        <v>15.3125</v>
      </c>
    </row>
    <row r="1165" spans="1:99" ht="12" customHeight="1">
      <c r="A1165" s="43">
        <v>6893</v>
      </c>
      <c r="B1165" s="89" t="s">
        <v>2923</v>
      </c>
      <c r="C1165" s="89" t="s">
        <v>2996</v>
      </c>
      <c r="D1165" s="89" t="s">
        <v>2997</v>
      </c>
      <c r="F1165" s="43">
        <v>525561</v>
      </c>
      <c r="G1165" s="43">
        <v>174936</v>
      </c>
      <c r="H1165" s="89" t="s">
        <v>170</v>
      </c>
      <c r="K1165" s="140">
        <v>0</v>
      </c>
      <c r="L1165" s="140">
        <v>14</v>
      </c>
      <c r="M1165" s="140">
        <v>14</v>
      </c>
      <c r="N1165" s="140">
        <v>73</v>
      </c>
      <c r="O1165" s="140">
        <v>73</v>
      </c>
      <c r="P1165" s="43" t="s">
        <v>329</v>
      </c>
      <c r="Q1165" s="89" t="s">
        <v>2926</v>
      </c>
      <c r="R1165" s="43" t="s">
        <v>2927</v>
      </c>
      <c r="V1165" s="43" t="s">
        <v>317</v>
      </c>
      <c r="X1165" s="43" t="s">
        <v>318</v>
      </c>
      <c r="Y1165" s="43" t="s">
        <v>361</v>
      </c>
      <c r="Z1165" s="43" t="s">
        <v>361</v>
      </c>
      <c r="AA1165" s="43" t="s">
        <v>320</v>
      </c>
      <c r="AB1165" s="144">
        <v>0</v>
      </c>
      <c r="AF1165" s="43" t="s">
        <v>55</v>
      </c>
      <c r="AG1165" s="43" t="s">
        <v>457</v>
      </c>
      <c r="AH1165" s="43" t="s">
        <v>2998</v>
      </c>
      <c r="AI1165" s="43">
        <v>17320320</v>
      </c>
      <c r="AJ1165" s="140">
        <v>0</v>
      </c>
      <c r="AK1165" s="140">
        <v>0</v>
      </c>
      <c r="AL1165" s="140">
        <v>0</v>
      </c>
      <c r="AM1165" s="140">
        <v>0</v>
      </c>
      <c r="AN1165" s="140">
        <v>0</v>
      </c>
      <c r="AO1165" s="140">
        <v>0</v>
      </c>
      <c r="AP1165" s="140">
        <v>0</v>
      </c>
      <c r="AQ1165" s="140">
        <v>0</v>
      </c>
      <c r="AR1165" s="140">
        <v>0</v>
      </c>
      <c r="AS1165" s="140">
        <v>0</v>
      </c>
      <c r="AT1165" s="140">
        <v>14</v>
      </c>
      <c r="AU1165" s="140">
        <v>0</v>
      </c>
      <c r="AV1165" s="140">
        <v>0</v>
      </c>
      <c r="AW1165" s="140">
        <v>0</v>
      </c>
      <c r="AX1165" s="140">
        <v>0</v>
      </c>
      <c r="AY1165" s="140">
        <v>0</v>
      </c>
      <c r="AZ1165" s="140">
        <v>0</v>
      </c>
      <c r="BA1165" s="140">
        <v>14</v>
      </c>
      <c r="BB1165" s="140">
        <v>0</v>
      </c>
      <c r="BC1165" s="140">
        <v>0</v>
      </c>
      <c r="BD1165" s="140">
        <v>0</v>
      </c>
      <c r="BE1165" s="140">
        <v>0</v>
      </c>
      <c r="BF1165" s="140">
        <v>0</v>
      </c>
      <c r="BG1165" s="140">
        <v>0</v>
      </c>
      <c r="BH1165" s="140">
        <v>0</v>
      </c>
      <c r="BI1165" s="140">
        <v>0</v>
      </c>
      <c r="BJ1165" s="140">
        <v>0</v>
      </c>
      <c r="BK1165" s="140">
        <v>0</v>
      </c>
      <c r="BL1165" s="140">
        <v>0</v>
      </c>
      <c r="BM1165" s="140">
        <v>0</v>
      </c>
      <c r="BN1165" s="140">
        <v>0</v>
      </c>
      <c r="BO1165" s="140">
        <v>0</v>
      </c>
      <c r="BQ1165" s="89"/>
      <c r="BR1165" s="43" t="s">
        <v>329</v>
      </c>
      <c r="BU1165" s="89"/>
      <c r="BX1165" s="43">
        <v>20</v>
      </c>
      <c r="CE1165" s="90">
        <f t="shared" si="167"/>
        <v>0.875</v>
      </c>
      <c r="CF1165" s="90">
        <f t="shared" si="167"/>
        <v>0.875</v>
      </c>
      <c r="CG1165" s="90">
        <f t="shared" si="167"/>
        <v>0.875</v>
      </c>
      <c r="CH1165" s="90">
        <f t="shared" si="167"/>
        <v>0.875</v>
      </c>
      <c r="CI1165" s="90">
        <f t="shared" si="167"/>
        <v>0.875</v>
      </c>
      <c r="CJ1165" s="90">
        <f t="shared" si="167"/>
        <v>0.875</v>
      </c>
      <c r="CK1165" s="90">
        <f t="shared" si="167"/>
        <v>0.875</v>
      </c>
      <c r="CL1165" s="90">
        <f t="shared" si="167"/>
        <v>0.875</v>
      </c>
      <c r="CM1165" s="90">
        <f t="shared" si="167"/>
        <v>0.875</v>
      </c>
      <c r="CN1165" s="90">
        <f t="shared" si="167"/>
        <v>0.875</v>
      </c>
      <c r="CO1165" s="90">
        <f t="shared" si="167"/>
        <v>0.875</v>
      </c>
      <c r="CP1165" s="90">
        <f t="shared" si="167"/>
        <v>0.875</v>
      </c>
      <c r="CQ1165" s="90">
        <f t="shared" si="167"/>
        <v>0.875</v>
      </c>
      <c r="CR1165" s="90">
        <f t="shared" si="167"/>
        <v>0.875</v>
      </c>
      <c r="CS1165" s="90">
        <f t="shared" si="167"/>
        <v>0.875</v>
      </c>
      <c r="CT1165" s="90">
        <f t="shared" si="163"/>
        <v>0</v>
      </c>
      <c r="CU1165" s="90">
        <f t="shared" si="164"/>
        <v>4.375</v>
      </c>
    </row>
    <row r="1166" spans="1:99" ht="12" customHeight="1">
      <c r="A1166" s="43">
        <v>6893</v>
      </c>
      <c r="B1166" s="89" t="s">
        <v>2923</v>
      </c>
      <c r="C1166" s="89" t="s">
        <v>2996</v>
      </c>
      <c r="D1166" s="89" t="s">
        <v>2997</v>
      </c>
      <c r="F1166" s="43">
        <v>525561</v>
      </c>
      <c r="G1166" s="43">
        <v>174936</v>
      </c>
      <c r="H1166" s="89" t="s">
        <v>170</v>
      </c>
      <c r="K1166" s="140">
        <v>0</v>
      </c>
      <c r="L1166" s="140">
        <v>10</v>
      </c>
      <c r="M1166" s="140">
        <v>10</v>
      </c>
      <c r="N1166" s="140">
        <v>73</v>
      </c>
      <c r="O1166" s="140">
        <v>73</v>
      </c>
      <c r="P1166" s="43" t="s">
        <v>329</v>
      </c>
      <c r="Q1166" s="89" t="s">
        <v>2926</v>
      </c>
      <c r="R1166" s="43" t="s">
        <v>2927</v>
      </c>
      <c r="V1166" s="43" t="s">
        <v>317</v>
      </c>
      <c r="X1166" s="43" t="s">
        <v>318</v>
      </c>
      <c r="Y1166" s="43" t="s">
        <v>361</v>
      </c>
      <c r="Z1166" s="43" t="s">
        <v>361</v>
      </c>
      <c r="AA1166" s="43" t="s">
        <v>320</v>
      </c>
      <c r="AB1166" s="144">
        <v>0</v>
      </c>
      <c r="AF1166" s="43" t="s">
        <v>54</v>
      </c>
      <c r="AG1166" s="43" t="s">
        <v>399</v>
      </c>
      <c r="AH1166" s="43" t="s">
        <v>2998</v>
      </c>
      <c r="AI1166" s="43">
        <v>17320320</v>
      </c>
      <c r="AJ1166" s="140">
        <v>0</v>
      </c>
      <c r="AK1166" s="140">
        <v>0</v>
      </c>
      <c r="AL1166" s="140">
        <v>0</v>
      </c>
      <c r="AM1166" s="140">
        <v>0</v>
      </c>
      <c r="AN1166" s="140">
        <v>0</v>
      </c>
      <c r="AO1166" s="140">
        <v>0</v>
      </c>
      <c r="AP1166" s="140">
        <v>0</v>
      </c>
      <c r="AQ1166" s="140">
        <v>0</v>
      </c>
      <c r="AR1166" s="140">
        <v>0</v>
      </c>
      <c r="AS1166" s="140">
        <v>0</v>
      </c>
      <c r="AT1166" s="140">
        <v>10</v>
      </c>
      <c r="AU1166" s="140">
        <v>0</v>
      </c>
      <c r="AV1166" s="140">
        <v>0</v>
      </c>
      <c r="AW1166" s="140">
        <v>0</v>
      </c>
      <c r="AX1166" s="140">
        <v>0</v>
      </c>
      <c r="AY1166" s="140">
        <v>0</v>
      </c>
      <c r="AZ1166" s="140">
        <v>0</v>
      </c>
      <c r="BA1166" s="140">
        <v>10</v>
      </c>
      <c r="BB1166" s="140">
        <v>0</v>
      </c>
      <c r="BC1166" s="140">
        <v>0</v>
      </c>
      <c r="BD1166" s="140">
        <v>0</v>
      </c>
      <c r="BE1166" s="140">
        <v>0</v>
      </c>
      <c r="BF1166" s="140">
        <v>0</v>
      </c>
      <c r="BG1166" s="140">
        <v>0</v>
      </c>
      <c r="BH1166" s="140">
        <v>0</v>
      </c>
      <c r="BI1166" s="140">
        <v>0</v>
      </c>
      <c r="BJ1166" s="140">
        <v>0</v>
      </c>
      <c r="BK1166" s="140">
        <v>0</v>
      </c>
      <c r="BL1166" s="140">
        <v>0</v>
      </c>
      <c r="BM1166" s="140">
        <v>0</v>
      </c>
      <c r="BN1166" s="140">
        <v>0</v>
      </c>
      <c r="BO1166" s="140">
        <v>0</v>
      </c>
      <c r="BQ1166" s="89"/>
      <c r="BR1166" s="43" t="s">
        <v>329</v>
      </c>
      <c r="BU1166" s="89"/>
      <c r="BX1166" s="43">
        <v>20</v>
      </c>
      <c r="CE1166" s="90">
        <f t="shared" si="167"/>
        <v>0.625</v>
      </c>
      <c r="CF1166" s="90">
        <f t="shared" si="167"/>
        <v>0.625</v>
      </c>
      <c r="CG1166" s="90">
        <f t="shared" si="167"/>
        <v>0.625</v>
      </c>
      <c r="CH1166" s="90">
        <f t="shared" si="167"/>
        <v>0.625</v>
      </c>
      <c r="CI1166" s="90">
        <f t="shared" si="167"/>
        <v>0.625</v>
      </c>
      <c r="CJ1166" s="90">
        <f t="shared" si="167"/>
        <v>0.625</v>
      </c>
      <c r="CK1166" s="90">
        <f t="shared" si="167"/>
        <v>0.625</v>
      </c>
      <c r="CL1166" s="90">
        <f t="shared" si="167"/>
        <v>0.625</v>
      </c>
      <c r="CM1166" s="90">
        <f t="shared" si="167"/>
        <v>0.625</v>
      </c>
      <c r="CN1166" s="90">
        <f t="shared" si="167"/>
        <v>0.625</v>
      </c>
      <c r="CO1166" s="90">
        <f t="shared" si="167"/>
        <v>0.625</v>
      </c>
      <c r="CP1166" s="90">
        <f t="shared" si="167"/>
        <v>0.625</v>
      </c>
      <c r="CQ1166" s="90">
        <f t="shared" si="167"/>
        <v>0.625</v>
      </c>
      <c r="CR1166" s="90">
        <f t="shared" si="167"/>
        <v>0.625</v>
      </c>
      <c r="CS1166" s="90">
        <f t="shared" si="167"/>
        <v>0.625</v>
      </c>
      <c r="CT1166" s="90">
        <f t="shared" si="163"/>
        <v>0</v>
      </c>
      <c r="CU1166" s="90">
        <f t="shared" si="164"/>
        <v>3.125</v>
      </c>
    </row>
    <row r="1167" spans="1:99" ht="12" customHeight="1">
      <c r="A1167" s="43">
        <v>6895</v>
      </c>
      <c r="B1167" s="89" t="s">
        <v>2923</v>
      </c>
      <c r="C1167" s="89" t="s">
        <v>2999</v>
      </c>
      <c r="D1167" s="89" t="s">
        <v>3000</v>
      </c>
      <c r="F1167" s="43">
        <v>525545</v>
      </c>
      <c r="G1167" s="43">
        <v>175231</v>
      </c>
      <c r="H1167" s="89" t="s">
        <v>170</v>
      </c>
      <c r="K1167" s="140">
        <v>0</v>
      </c>
      <c r="L1167" s="140">
        <v>11</v>
      </c>
      <c r="M1167" s="140">
        <v>11</v>
      </c>
      <c r="N1167" s="140">
        <v>16</v>
      </c>
      <c r="O1167" s="140">
        <v>16</v>
      </c>
      <c r="P1167" s="43" t="s">
        <v>329</v>
      </c>
      <c r="Q1167" s="89" t="s">
        <v>2926</v>
      </c>
      <c r="R1167" s="43" t="s">
        <v>2927</v>
      </c>
      <c r="V1167" s="43" t="s">
        <v>317</v>
      </c>
      <c r="X1167" s="43" t="s">
        <v>318</v>
      </c>
      <c r="Y1167" s="43" t="s">
        <v>361</v>
      </c>
      <c r="Z1167" s="43" t="s">
        <v>361</v>
      </c>
      <c r="AA1167" s="43" t="s">
        <v>320</v>
      </c>
      <c r="AB1167" s="144">
        <v>0</v>
      </c>
      <c r="AF1167" s="43" t="s">
        <v>75</v>
      </c>
      <c r="AG1167" s="43" t="s">
        <v>322</v>
      </c>
      <c r="AH1167" s="43" t="s">
        <v>3001</v>
      </c>
      <c r="AI1167" s="43">
        <v>17320067</v>
      </c>
      <c r="AJ1167" s="140">
        <v>0</v>
      </c>
      <c r="AK1167" s="140">
        <v>0</v>
      </c>
      <c r="AL1167" s="140">
        <v>0</v>
      </c>
      <c r="AM1167" s="140">
        <v>0</v>
      </c>
      <c r="AN1167" s="140">
        <v>0</v>
      </c>
      <c r="AO1167" s="140">
        <v>0</v>
      </c>
      <c r="AP1167" s="140">
        <v>0</v>
      </c>
      <c r="AQ1167" s="140">
        <v>0</v>
      </c>
      <c r="AR1167" s="140">
        <v>0</v>
      </c>
      <c r="AS1167" s="140">
        <v>0</v>
      </c>
      <c r="AT1167" s="140">
        <v>11</v>
      </c>
      <c r="AU1167" s="140">
        <v>0</v>
      </c>
      <c r="AV1167" s="140">
        <v>0</v>
      </c>
      <c r="AW1167" s="140">
        <v>0</v>
      </c>
      <c r="AX1167" s="140">
        <v>0</v>
      </c>
      <c r="AY1167" s="140">
        <v>0</v>
      </c>
      <c r="AZ1167" s="140">
        <v>0</v>
      </c>
      <c r="BA1167" s="140">
        <v>11</v>
      </c>
      <c r="BB1167" s="140">
        <v>0</v>
      </c>
      <c r="BC1167" s="140">
        <v>0</v>
      </c>
      <c r="BD1167" s="140">
        <v>0</v>
      </c>
      <c r="BE1167" s="140">
        <v>0</v>
      </c>
      <c r="BF1167" s="140">
        <v>0</v>
      </c>
      <c r="BG1167" s="140">
        <v>0</v>
      </c>
      <c r="BH1167" s="140">
        <v>0</v>
      </c>
      <c r="BI1167" s="140">
        <v>0</v>
      </c>
      <c r="BJ1167" s="140">
        <v>0</v>
      </c>
      <c r="BK1167" s="140">
        <v>0</v>
      </c>
      <c r="BL1167" s="140">
        <v>0</v>
      </c>
      <c r="BM1167" s="140">
        <v>0</v>
      </c>
      <c r="BN1167" s="140">
        <v>0</v>
      </c>
      <c r="BO1167" s="140">
        <v>0</v>
      </c>
      <c r="BQ1167" s="89"/>
      <c r="BR1167" s="43" t="s">
        <v>329</v>
      </c>
      <c r="BU1167" s="89"/>
      <c r="BX1167" s="43">
        <v>20</v>
      </c>
      <c r="CI1167" s="90">
        <f t="shared" ref="CI1167:CS1169" si="168">$M1167/12</f>
        <v>0.91666666666666663</v>
      </c>
      <c r="CJ1167" s="90">
        <f t="shared" si="168"/>
        <v>0.91666666666666663</v>
      </c>
      <c r="CK1167" s="90">
        <f t="shared" si="168"/>
        <v>0.91666666666666663</v>
      </c>
      <c r="CL1167" s="90">
        <f t="shared" si="168"/>
        <v>0.91666666666666663</v>
      </c>
      <c r="CM1167" s="90">
        <f t="shared" si="168"/>
        <v>0.91666666666666663</v>
      </c>
      <c r="CN1167" s="90">
        <f t="shared" si="168"/>
        <v>0.91666666666666663</v>
      </c>
      <c r="CO1167" s="90">
        <f t="shared" si="168"/>
        <v>0.91666666666666663</v>
      </c>
      <c r="CP1167" s="90">
        <f t="shared" si="168"/>
        <v>0.91666666666666663</v>
      </c>
      <c r="CQ1167" s="90">
        <f t="shared" si="168"/>
        <v>0.91666666666666663</v>
      </c>
      <c r="CR1167" s="90">
        <f t="shared" si="168"/>
        <v>0.91666666666666663</v>
      </c>
      <c r="CS1167" s="90">
        <f t="shared" si="168"/>
        <v>0.91666666666666663</v>
      </c>
      <c r="CT1167" s="90">
        <f t="shared" si="163"/>
        <v>0</v>
      </c>
      <c r="CU1167" s="90">
        <f t="shared" si="164"/>
        <v>0.91666666666666663</v>
      </c>
    </row>
    <row r="1168" spans="1:99" ht="12" customHeight="1">
      <c r="A1168" s="43">
        <v>6895</v>
      </c>
      <c r="B1168" s="89" t="s">
        <v>2923</v>
      </c>
      <c r="C1168" s="89" t="s">
        <v>2999</v>
      </c>
      <c r="D1168" s="89" t="s">
        <v>3000</v>
      </c>
      <c r="F1168" s="43">
        <v>525545</v>
      </c>
      <c r="G1168" s="43">
        <v>175231</v>
      </c>
      <c r="H1168" s="89" t="s">
        <v>170</v>
      </c>
      <c r="K1168" s="140">
        <v>0</v>
      </c>
      <c r="L1168" s="140">
        <v>3</v>
      </c>
      <c r="M1168" s="140">
        <v>3</v>
      </c>
      <c r="N1168" s="140">
        <v>16</v>
      </c>
      <c r="O1168" s="140">
        <v>16</v>
      </c>
      <c r="P1168" s="43" t="s">
        <v>329</v>
      </c>
      <c r="Q1168" s="89" t="s">
        <v>2926</v>
      </c>
      <c r="R1168" s="43" t="s">
        <v>2927</v>
      </c>
      <c r="V1168" s="43" t="s">
        <v>317</v>
      </c>
      <c r="X1168" s="43" t="s">
        <v>318</v>
      </c>
      <c r="Y1168" s="43" t="s">
        <v>361</v>
      </c>
      <c r="Z1168" s="43" t="s">
        <v>320</v>
      </c>
      <c r="AA1168" s="43" t="s">
        <v>353</v>
      </c>
      <c r="AB1168" s="144">
        <v>0</v>
      </c>
      <c r="AF1168" s="43" t="s">
        <v>55</v>
      </c>
      <c r="AG1168" s="43" t="s">
        <v>457</v>
      </c>
      <c r="AH1168" s="43" t="s">
        <v>3001</v>
      </c>
      <c r="AI1168" s="43">
        <v>17320067</v>
      </c>
      <c r="AJ1168" s="140">
        <v>0</v>
      </c>
      <c r="AK1168" s="140">
        <v>0</v>
      </c>
      <c r="AL1168" s="140">
        <v>0</v>
      </c>
      <c r="AM1168" s="140">
        <v>0</v>
      </c>
      <c r="AN1168" s="140">
        <v>0</v>
      </c>
      <c r="AO1168" s="140">
        <v>0</v>
      </c>
      <c r="AP1168" s="140">
        <v>0</v>
      </c>
      <c r="AQ1168" s="140">
        <v>0</v>
      </c>
      <c r="AR1168" s="140">
        <v>0</v>
      </c>
      <c r="AS1168" s="140">
        <v>0</v>
      </c>
      <c r="AT1168" s="140">
        <v>3</v>
      </c>
      <c r="AU1168" s="140">
        <v>0</v>
      </c>
      <c r="AV1168" s="140">
        <v>0</v>
      </c>
      <c r="AW1168" s="140">
        <v>0</v>
      </c>
      <c r="AX1168" s="140">
        <v>0</v>
      </c>
      <c r="AY1168" s="140">
        <v>0</v>
      </c>
      <c r="AZ1168" s="140">
        <v>0</v>
      </c>
      <c r="BA1168" s="140">
        <v>3</v>
      </c>
      <c r="BB1168" s="140">
        <v>0</v>
      </c>
      <c r="BC1168" s="140">
        <v>0</v>
      </c>
      <c r="BD1168" s="140">
        <v>0</v>
      </c>
      <c r="BE1168" s="140">
        <v>0</v>
      </c>
      <c r="BF1168" s="140">
        <v>0</v>
      </c>
      <c r="BG1168" s="140">
        <v>0</v>
      </c>
      <c r="BH1168" s="140">
        <v>0</v>
      </c>
      <c r="BI1168" s="140">
        <v>0</v>
      </c>
      <c r="BJ1168" s="140">
        <v>0</v>
      </c>
      <c r="BK1168" s="140">
        <v>0</v>
      </c>
      <c r="BL1168" s="140">
        <v>0</v>
      </c>
      <c r="BM1168" s="140">
        <v>0</v>
      </c>
      <c r="BN1168" s="140">
        <v>0</v>
      </c>
      <c r="BO1168" s="140">
        <v>0</v>
      </c>
      <c r="BQ1168" s="89"/>
      <c r="BR1168" s="43" t="s">
        <v>329</v>
      </c>
      <c r="BU1168" s="89"/>
      <c r="BX1168" s="43">
        <v>20</v>
      </c>
      <c r="CI1168" s="90">
        <f t="shared" si="168"/>
        <v>0.25</v>
      </c>
      <c r="CJ1168" s="90">
        <f t="shared" si="168"/>
        <v>0.25</v>
      </c>
      <c r="CK1168" s="90">
        <f t="shared" si="168"/>
        <v>0.25</v>
      </c>
      <c r="CL1168" s="90">
        <f t="shared" si="168"/>
        <v>0.25</v>
      </c>
      <c r="CM1168" s="90">
        <f t="shared" si="168"/>
        <v>0.25</v>
      </c>
      <c r="CN1168" s="90">
        <f t="shared" si="168"/>
        <v>0.25</v>
      </c>
      <c r="CO1168" s="90">
        <f t="shared" si="168"/>
        <v>0.25</v>
      </c>
      <c r="CP1168" s="90">
        <f t="shared" si="168"/>
        <v>0.25</v>
      </c>
      <c r="CQ1168" s="90">
        <f t="shared" si="168"/>
        <v>0.25</v>
      </c>
      <c r="CR1168" s="90">
        <f t="shared" si="168"/>
        <v>0.25</v>
      </c>
      <c r="CS1168" s="90">
        <f t="shared" si="168"/>
        <v>0.25</v>
      </c>
      <c r="CT1168" s="90">
        <f t="shared" si="163"/>
        <v>0</v>
      </c>
      <c r="CU1168" s="90">
        <f t="shared" si="164"/>
        <v>0.25</v>
      </c>
    </row>
    <row r="1169" spans="1:99" ht="12" customHeight="1">
      <c r="A1169" s="43">
        <v>6895</v>
      </c>
      <c r="B1169" s="89" t="s">
        <v>2923</v>
      </c>
      <c r="C1169" s="89" t="s">
        <v>2999</v>
      </c>
      <c r="D1169" s="89" t="s">
        <v>3000</v>
      </c>
      <c r="F1169" s="43">
        <v>525545</v>
      </c>
      <c r="G1169" s="43">
        <v>175231</v>
      </c>
      <c r="H1169" s="89" t="s">
        <v>170</v>
      </c>
      <c r="K1169" s="140">
        <v>0</v>
      </c>
      <c r="L1169" s="140">
        <v>2</v>
      </c>
      <c r="M1169" s="140">
        <v>2</v>
      </c>
      <c r="N1169" s="140">
        <v>16</v>
      </c>
      <c r="O1169" s="140">
        <v>16</v>
      </c>
      <c r="P1169" s="43" t="s">
        <v>329</v>
      </c>
      <c r="Q1169" s="89" t="s">
        <v>2926</v>
      </c>
      <c r="R1169" s="43" t="s">
        <v>2927</v>
      </c>
      <c r="V1169" s="43" t="s">
        <v>317</v>
      </c>
      <c r="X1169" s="43" t="s">
        <v>318</v>
      </c>
      <c r="Y1169" s="43" t="s">
        <v>361</v>
      </c>
      <c r="Z1169" s="43" t="s">
        <v>320</v>
      </c>
      <c r="AA1169" s="43" t="s">
        <v>353</v>
      </c>
      <c r="AB1169" s="144">
        <v>0</v>
      </c>
      <c r="AF1169" s="43" t="s">
        <v>54</v>
      </c>
      <c r="AG1169" s="43" t="s">
        <v>399</v>
      </c>
      <c r="AH1169" s="43" t="s">
        <v>3001</v>
      </c>
      <c r="AI1169" s="43">
        <v>17320067</v>
      </c>
      <c r="AJ1169" s="140">
        <v>0</v>
      </c>
      <c r="AK1169" s="140">
        <v>0</v>
      </c>
      <c r="AL1169" s="140">
        <v>0</v>
      </c>
      <c r="AM1169" s="140">
        <v>0</v>
      </c>
      <c r="AN1169" s="140">
        <v>0</v>
      </c>
      <c r="AO1169" s="140">
        <v>0</v>
      </c>
      <c r="AP1169" s="140">
        <v>0</v>
      </c>
      <c r="AQ1169" s="140">
        <v>0</v>
      </c>
      <c r="AR1169" s="140">
        <v>0</v>
      </c>
      <c r="AS1169" s="140">
        <v>0</v>
      </c>
      <c r="AT1169" s="140">
        <v>2</v>
      </c>
      <c r="AU1169" s="140">
        <v>0</v>
      </c>
      <c r="AV1169" s="140">
        <v>0</v>
      </c>
      <c r="AW1169" s="140">
        <v>0</v>
      </c>
      <c r="AX1169" s="140">
        <v>0</v>
      </c>
      <c r="AY1169" s="140">
        <v>0</v>
      </c>
      <c r="AZ1169" s="140">
        <v>0</v>
      </c>
      <c r="BA1169" s="140">
        <v>2</v>
      </c>
      <c r="BB1169" s="140">
        <v>0</v>
      </c>
      <c r="BC1169" s="140">
        <v>0</v>
      </c>
      <c r="BD1169" s="140">
        <v>0</v>
      </c>
      <c r="BE1169" s="140">
        <v>0</v>
      </c>
      <c r="BF1169" s="140">
        <v>0</v>
      </c>
      <c r="BG1169" s="140">
        <v>0</v>
      </c>
      <c r="BH1169" s="140">
        <v>0</v>
      </c>
      <c r="BI1169" s="140">
        <v>0</v>
      </c>
      <c r="BJ1169" s="140">
        <v>0</v>
      </c>
      <c r="BK1169" s="140">
        <v>0</v>
      </c>
      <c r="BL1169" s="140">
        <v>0</v>
      </c>
      <c r="BM1169" s="140">
        <v>0</v>
      </c>
      <c r="BN1169" s="140">
        <v>0</v>
      </c>
      <c r="BO1169" s="140">
        <v>0</v>
      </c>
      <c r="BQ1169" s="89"/>
      <c r="BR1169" s="43" t="s">
        <v>329</v>
      </c>
      <c r="BU1169" s="89"/>
      <c r="BX1169" s="43">
        <v>20</v>
      </c>
      <c r="CI1169" s="90">
        <f t="shared" si="168"/>
        <v>0.16666666666666666</v>
      </c>
      <c r="CJ1169" s="90">
        <f t="shared" si="168"/>
        <v>0.16666666666666666</v>
      </c>
      <c r="CK1169" s="90">
        <f t="shared" si="168"/>
        <v>0.16666666666666666</v>
      </c>
      <c r="CL1169" s="90">
        <f t="shared" si="168"/>
        <v>0.16666666666666666</v>
      </c>
      <c r="CM1169" s="90">
        <f t="shared" si="168"/>
        <v>0.16666666666666666</v>
      </c>
      <c r="CN1169" s="90">
        <f t="shared" si="168"/>
        <v>0.16666666666666666</v>
      </c>
      <c r="CO1169" s="90">
        <f t="shared" si="168"/>
        <v>0.16666666666666666</v>
      </c>
      <c r="CP1169" s="90">
        <f t="shared" si="168"/>
        <v>0.16666666666666666</v>
      </c>
      <c r="CQ1169" s="90">
        <f t="shared" si="168"/>
        <v>0.16666666666666666</v>
      </c>
      <c r="CR1169" s="90">
        <f t="shared" si="168"/>
        <v>0.16666666666666666</v>
      </c>
      <c r="CS1169" s="90">
        <f t="shared" si="168"/>
        <v>0.16666666666666666</v>
      </c>
      <c r="CT1169" s="90">
        <f t="shared" si="163"/>
        <v>0</v>
      </c>
      <c r="CU1169" s="90">
        <f t="shared" si="164"/>
        <v>0.16666666666666666</v>
      </c>
    </row>
    <row r="1170" spans="1:99" ht="12" customHeight="1">
      <c r="A1170" s="43">
        <v>6896</v>
      </c>
      <c r="B1170" s="89" t="s">
        <v>2923</v>
      </c>
      <c r="C1170" s="89" t="s">
        <v>3002</v>
      </c>
      <c r="D1170" s="89" t="s">
        <v>3003</v>
      </c>
      <c r="F1170" s="43">
        <v>525597</v>
      </c>
      <c r="G1170" s="43">
        <v>175113</v>
      </c>
      <c r="H1170" s="89" t="s">
        <v>170</v>
      </c>
      <c r="K1170" s="140">
        <v>0</v>
      </c>
      <c r="L1170" s="140">
        <v>4</v>
      </c>
      <c r="M1170" s="140">
        <v>4</v>
      </c>
      <c r="N1170" s="140">
        <v>4</v>
      </c>
      <c r="O1170" s="140">
        <v>4</v>
      </c>
      <c r="Q1170" s="89" t="s">
        <v>2926</v>
      </c>
      <c r="R1170" s="43" t="s">
        <v>2927</v>
      </c>
      <c r="V1170" s="43" t="s">
        <v>317</v>
      </c>
      <c r="X1170" s="43" t="s">
        <v>318</v>
      </c>
      <c r="Y1170" s="43" t="s">
        <v>361</v>
      </c>
      <c r="Z1170" s="43" t="s">
        <v>320</v>
      </c>
      <c r="AA1170" s="43" t="s">
        <v>353</v>
      </c>
      <c r="AB1170" s="144">
        <v>0</v>
      </c>
      <c r="AF1170" s="43" t="s">
        <v>75</v>
      </c>
      <c r="AG1170" s="43" t="s">
        <v>322</v>
      </c>
      <c r="AH1170" s="43" t="s">
        <v>3004</v>
      </c>
      <c r="AI1170" s="43">
        <v>17320113</v>
      </c>
      <c r="AJ1170" s="140">
        <v>0</v>
      </c>
      <c r="AK1170" s="140">
        <v>0</v>
      </c>
      <c r="AL1170" s="140">
        <v>0</v>
      </c>
      <c r="AM1170" s="140">
        <v>0</v>
      </c>
      <c r="AN1170" s="140">
        <v>0</v>
      </c>
      <c r="AO1170" s="140">
        <v>0</v>
      </c>
      <c r="AP1170" s="140">
        <v>0</v>
      </c>
      <c r="AQ1170" s="140">
        <v>0</v>
      </c>
      <c r="AR1170" s="140">
        <v>0</v>
      </c>
      <c r="AS1170" s="140">
        <v>0</v>
      </c>
      <c r="AT1170" s="140">
        <v>4</v>
      </c>
      <c r="AU1170" s="140">
        <v>0</v>
      </c>
      <c r="AV1170" s="140">
        <v>0</v>
      </c>
      <c r="AW1170" s="140">
        <v>0</v>
      </c>
      <c r="AX1170" s="140">
        <v>0</v>
      </c>
      <c r="AY1170" s="140">
        <v>0</v>
      </c>
      <c r="AZ1170" s="140">
        <v>0</v>
      </c>
      <c r="BA1170" s="140">
        <v>4</v>
      </c>
      <c r="BB1170" s="140">
        <v>0</v>
      </c>
      <c r="BC1170" s="140">
        <v>0</v>
      </c>
      <c r="BD1170" s="140">
        <v>0</v>
      </c>
      <c r="BE1170" s="140">
        <v>0</v>
      </c>
      <c r="BF1170" s="140">
        <v>0</v>
      </c>
      <c r="BG1170" s="140">
        <v>0</v>
      </c>
      <c r="BH1170" s="140">
        <v>0</v>
      </c>
      <c r="BI1170" s="140">
        <v>0</v>
      </c>
      <c r="BJ1170" s="140">
        <v>0</v>
      </c>
      <c r="BK1170" s="140">
        <v>0</v>
      </c>
      <c r="BL1170" s="140">
        <v>0</v>
      </c>
      <c r="BM1170" s="140">
        <v>0</v>
      </c>
      <c r="BN1170" s="140">
        <v>0</v>
      </c>
      <c r="BO1170" s="140">
        <v>0</v>
      </c>
      <c r="BQ1170" s="89"/>
      <c r="BR1170" s="43" t="s">
        <v>329</v>
      </c>
      <c r="BU1170" s="89"/>
      <c r="BX1170" s="43">
        <v>20</v>
      </c>
      <c r="CN1170" s="90">
        <f t="shared" ref="CN1170:CS1170" si="169">$M1170/7</f>
        <v>0.5714285714285714</v>
      </c>
      <c r="CO1170" s="90">
        <f t="shared" si="169"/>
        <v>0.5714285714285714</v>
      </c>
      <c r="CP1170" s="90">
        <f t="shared" si="169"/>
        <v>0.5714285714285714</v>
      </c>
      <c r="CQ1170" s="90">
        <f t="shared" si="169"/>
        <v>0.5714285714285714</v>
      </c>
      <c r="CR1170" s="90">
        <f t="shared" si="169"/>
        <v>0.5714285714285714</v>
      </c>
      <c r="CS1170" s="90">
        <f t="shared" si="169"/>
        <v>0.5714285714285714</v>
      </c>
      <c r="CT1170" s="90">
        <f t="shared" si="163"/>
        <v>0</v>
      </c>
      <c r="CU1170" s="90">
        <f t="shared" si="164"/>
        <v>0</v>
      </c>
    </row>
    <row r="1171" spans="1:99" ht="12" customHeight="1">
      <c r="A1171" s="43">
        <v>6897</v>
      </c>
      <c r="B1171" s="89" t="s">
        <v>2923</v>
      </c>
      <c r="C1171" s="89" t="s">
        <v>3005</v>
      </c>
      <c r="D1171" s="89" t="s">
        <v>3006</v>
      </c>
      <c r="F1171" s="43">
        <v>527569</v>
      </c>
      <c r="G1171" s="43">
        <v>175602</v>
      </c>
      <c r="H1171" s="89" t="s">
        <v>175</v>
      </c>
      <c r="K1171" s="140">
        <v>0</v>
      </c>
      <c r="L1171" s="140">
        <v>13</v>
      </c>
      <c r="M1171" s="140">
        <v>13</v>
      </c>
      <c r="N1171" s="140">
        <v>20</v>
      </c>
      <c r="O1171" s="140">
        <v>20</v>
      </c>
      <c r="P1171" s="43" t="s">
        <v>329</v>
      </c>
      <c r="Q1171" s="89" t="s">
        <v>2926</v>
      </c>
      <c r="R1171" s="43" t="s">
        <v>2927</v>
      </c>
      <c r="V1171" s="43" t="s">
        <v>317</v>
      </c>
      <c r="X1171" s="43" t="s">
        <v>318</v>
      </c>
      <c r="Y1171" s="43" t="s">
        <v>361</v>
      </c>
      <c r="Z1171" s="43" t="s">
        <v>361</v>
      </c>
      <c r="AA1171" s="43" t="s">
        <v>320</v>
      </c>
      <c r="AB1171" s="144">
        <v>0</v>
      </c>
      <c r="AF1171" s="43" t="s">
        <v>75</v>
      </c>
      <c r="AG1171" s="43" t="s">
        <v>322</v>
      </c>
      <c r="AH1171" s="43" t="s">
        <v>3007</v>
      </c>
      <c r="AI1171" s="43">
        <v>17320204</v>
      </c>
      <c r="AJ1171" s="140">
        <v>0</v>
      </c>
      <c r="AK1171" s="140">
        <v>0</v>
      </c>
      <c r="AL1171" s="140">
        <v>0</v>
      </c>
      <c r="AM1171" s="140">
        <v>0</v>
      </c>
      <c r="AN1171" s="140">
        <v>0</v>
      </c>
      <c r="AO1171" s="140">
        <v>0</v>
      </c>
      <c r="AP1171" s="140">
        <v>0</v>
      </c>
      <c r="AQ1171" s="140">
        <v>0</v>
      </c>
      <c r="AR1171" s="140">
        <v>0</v>
      </c>
      <c r="AS1171" s="140">
        <v>0</v>
      </c>
      <c r="AT1171" s="140">
        <v>13</v>
      </c>
      <c r="AU1171" s="140">
        <v>0</v>
      </c>
      <c r="AV1171" s="140">
        <v>0</v>
      </c>
      <c r="AW1171" s="140">
        <v>0</v>
      </c>
      <c r="AX1171" s="140">
        <v>0</v>
      </c>
      <c r="AY1171" s="140">
        <v>0</v>
      </c>
      <c r="AZ1171" s="140">
        <v>0</v>
      </c>
      <c r="BA1171" s="140">
        <v>13</v>
      </c>
      <c r="BB1171" s="140">
        <v>0</v>
      </c>
      <c r="BC1171" s="140">
        <v>0</v>
      </c>
      <c r="BD1171" s="140">
        <v>0</v>
      </c>
      <c r="BE1171" s="140">
        <v>0</v>
      </c>
      <c r="BF1171" s="140">
        <v>0</v>
      </c>
      <c r="BG1171" s="140">
        <v>0</v>
      </c>
      <c r="BH1171" s="140">
        <v>0</v>
      </c>
      <c r="BI1171" s="140">
        <v>0</v>
      </c>
      <c r="BJ1171" s="140">
        <v>0</v>
      </c>
      <c r="BK1171" s="140">
        <v>0</v>
      </c>
      <c r="BL1171" s="140">
        <v>0</v>
      </c>
      <c r="BM1171" s="140">
        <v>0</v>
      </c>
      <c r="BN1171" s="140">
        <v>0</v>
      </c>
      <c r="BO1171" s="140">
        <v>0</v>
      </c>
      <c r="BP1171" s="43" t="s">
        <v>139</v>
      </c>
      <c r="BQ1171" s="89"/>
      <c r="BS1171" s="43" t="s">
        <v>329</v>
      </c>
      <c r="BU1171" s="89"/>
      <c r="BX1171" s="43">
        <v>20</v>
      </c>
      <c r="CI1171" s="90">
        <f t="shared" ref="CI1171:CS1176" si="170">$M1171/12</f>
        <v>1.0833333333333333</v>
      </c>
      <c r="CJ1171" s="90">
        <f t="shared" si="170"/>
        <v>1.0833333333333333</v>
      </c>
      <c r="CK1171" s="90">
        <f t="shared" si="170"/>
        <v>1.0833333333333333</v>
      </c>
      <c r="CL1171" s="90">
        <f t="shared" si="170"/>
        <v>1.0833333333333333</v>
      </c>
      <c r="CM1171" s="90">
        <f t="shared" si="170"/>
        <v>1.0833333333333333</v>
      </c>
      <c r="CN1171" s="90">
        <f t="shared" si="170"/>
        <v>1.0833333333333333</v>
      </c>
      <c r="CO1171" s="90">
        <f t="shared" si="170"/>
        <v>1.0833333333333333</v>
      </c>
      <c r="CP1171" s="90">
        <f t="shared" si="170"/>
        <v>1.0833333333333333</v>
      </c>
      <c r="CQ1171" s="90">
        <f t="shared" si="170"/>
        <v>1.0833333333333333</v>
      </c>
      <c r="CR1171" s="90">
        <f t="shared" si="170"/>
        <v>1.0833333333333333</v>
      </c>
      <c r="CS1171" s="90">
        <f t="shared" si="170"/>
        <v>1.0833333333333333</v>
      </c>
      <c r="CT1171" s="90">
        <f t="shared" si="163"/>
        <v>0</v>
      </c>
      <c r="CU1171" s="90">
        <f t="shared" si="164"/>
        <v>1.0833333333333333</v>
      </c>
    </row>
    <row r="1172" spans="1:99" ht="12" customHeight="1">
      <c r="A1172" s="43">
        <v>6897</v>
      </c>
      <c r="B1172" s="89" t="s">
        <v>2923</v>
      </c>
      <c r="C1172" s="89" t="s">
        <v>3005</v>
      </c>
      <c r="D1172" s="89" t="s">
        <v>3006</v>
      </c>
      <c r="F1172" s="43">
        <v>527569</v>
      </c>
      <c r="G1172" s="43">
        <v>175602</v>
      </c>
      <c r="H1172" s="89" t="s">
        <v>175</v>
      </c>
      <c r="K1172" s="140">
        <v>0</v>
      </c>
      <c r="L1172" s="140">
        <v>4</v>
      </c>
      <c r="M1172" s="140">
        <v>4</v>
      </c>
      <c r="N1172" s="140">
        <v>20</v>
      </c>
      <c r="O1172" s="140">
        <v>20</v>
      </c>
      <c r="P1172" s="43" t="s">
        <v>329</v>
      </c>
      <c r="Q1172" s="89" t="s">
        <v>2926</v>
      </c>
      <c r="R1172" s="43" t="s">
        <v>2927</v>
      </c>
      <c r="V1172" s="43" t="s">
        <v>317</v>
      </c>
      <c r="X1172" s="43" t="s">
        <v>318</v>
      </c>
      <c r="Y1172" s="43" t="s">
        <v>361</v>
      </c>
      <c r="Z1172" s="43" t="s">
        <v>320</v>
      </c>
      <c r="AA1172" s="43" t="s">
        <v>353</v>
      </c>
      <c r="AB1172" s="144">
        <v>0</v>
      </c>
      <c r="AF1172" s="43" t="s">
        <v>55</v>
      </c>
      <c r="AG1172" s="43" t="s">
        <v>457</v>
      </c>
      <c r="AH1172" s="43" t="s">
        <v>3007</v>
      </c>
      <c r="AI1172" s="43">
        <v>17320204</v>
      </c>
      <c r="AJ1172" s="140">
        <v>0</v>
      </c>
      <c r="AK1172" s="140">
        <v>0</v>
      </c>
      <c r="AL1172" s="140">
        <v>0</v>
      </c>
      <c r="AM1172" s="140">
        <v>0</v>
      </c>
      <c r="AN1172" s="140">
        <v>0</v>
      </c>
      <c r="AO1172" s="140">
        <v>0</v>
      </c>
      <c r="AP1172" s="140">
        <v>0</v>
      </c>
      <c r="AQ1172" s="140">
        <v>0</v>
      </c>
      <c r="AR1172" s="140">
        <v>0</v>
      </c>
      <c r="AS1172" s="140">
        <v>0</v>
      </c>
      <c r="AT1172" s="140">
        <v>4</v>
      </c>
      <c r="AU1172" s="140">
        <v>0</v>
      </c>
      <c r="AV1172" s="140">
        <v>0</v>
      </c>
      <c r="AW1172" s="140">
        <v>0</v>
      </c>
      <c r="AX1172" s="140">
        <v>0</v>
      </c>
      <c r="AY1172" s="140">
        <v>0</v>
      </c>
      <c r="AZ1172" s="140">
        <v>0</v>
      </c>
      <c r="BA1172" s="140">
        <v>4</v>
      </c>
      <c r="BB1172" s="140">
        <v>0</v>
      </c>
      <c r="BC1172" s="140">
        <v>0</v>
      </c>
      <c r="BD1172" s="140">
        <v>0</v>
      </c>
      <c r="BE1172" s="140">
        <v>0</v>
      </c>
      <c r="BF1172" s="140">
        <v>0</v>
      </c>
      <c r="BG1172" s="140">
        <v>0</v>
      </c>
      <c r="BH1172" s="140">
        <v>0</v>
      </c>
      <c r="BI1172" s="140">
        <v>0</v>
      </c>
      <c r="BJ1172" s="140">
        <v>0</v>
      </c>
      <c r="BK1172" s="140">
        <v>0</v>
      </c>
      <c r="BL1172" s="140">
        <v>0</v>
      </c>
      <c r="BM1172" s="140">
        <v>0</v>
      </c>
      <c r="BN1172" s="140">
        <v>0</v>
      </c>
      <c r="BO1172" s="140">
        <v>0</v>
      </c>
      <c r="BP1172" s="43" t="s">
        <v>139</v>
      </c>
      <c r="BQ1172" s="89"/>
      <c r="BS1172" s="43" t="s">
        <v>329</v>
      </c>
      <c r="BU1172" s="89"/>
      <c r="BX1172" s="43">
        <v>20</v>
      </c>
      <c r="CI1172" s="90">
        <f t="shared" si="170"/>
        <v>0.33333333333333331</v>
      </c>
      <c r="CJ1172" s="90">
        <f t="shared" si="170"/>
        <v>0.33333333333333331</v>
      </c>
      <c r="CK1172" s="90">
        <f t="shared" si="170"/>
        <v>0.33333333333333331</v>
      </c>
      <c r="CL1172" s="90">
        <f t="shared" si="170"/>
        <v>0.33333333333333331</v>
      </c>
      <c r="CM1172" s="90">
        <f t="shared" si="170"/>
        <v>0.33333333333333331</v>
      </c>
      <c r="CN1172" s="90">
        <f t="shared" si="170"/>
        <v>0.33333333333333331</v>
      </c>
      <c r="CO1172" s="90">
        <f t="shared" si="170"/>
        <v>0.33333333333333331</v>
      </c>
      <c r="CP1172" s="90">
        <f t="shared" si="170"/>
        <v>0.33333333333333331</v>
      </c>
      <c r="CQ1172" s="90">
        <f t="shared" si="170"/>
        <v>0.33333333333333331</v>
      </c>
      <c r="CR1172" s="90">
        <f t="shared" si="170"/>
        <v>0.33333333333333331</v>
      </c>
      <c r="CS1172" s="90">
        <f t="shared" si="170"/>
        <v>0.33333333333333331</v>
      </c>
      <c r="CT1172" s="90">
        <f t="shared" si="163"/>
        <v>0</v>
      </c>
      <c r="CU1172" s="90">
        <f t="shared" si="164"/>
        <v>0.33333333333333331</v>
      </c>
    </row>
    <row r="1173" spans="1:99" ht="12" customHeight="1">
      <c r="A1173" s="43">
        <v>6897</v>
      </c>
      <c r="B1173" s="89" t="s">
        <v>2923</v>
      </c>
      <c r="C1173" s="89" t="s">
        <v>3005</v>
      </c>
      <c r="D1173" s="89" t="s">
        <v>3006</v>
      </c>
      <c r="F1173" s="43">
        <v>527569</v>
      </c>
      <c r="G1173" s="43">
        <v>175602</v>
      </c>
      <c r="H1173" s="89" t="s">
        <v>175</v>
      </c>
      <c r="K1173" s="140">
        <v>0</v>
      </c>
      <c r="L1173" s="140">
        <v>3</v>
      </c>
      <c r="M1173" s="140">
        <v>3</v>
      </c>
      <c r="N1173" s="140">
        <v>20</v>
      </c>
      <c r="O1173" s="140">
        <v>20</v>
      </c>
      <c r="P1173" s="43" t="s">
        <v>329</v>
      </c>
      <c r="Q1173" s="89" t="s">
        <v>2926</v>
      </c>
      <c r="R1173" s="43" t="s">
        <v>2927</v>
      </c>
      <c r="V1173" s="43" t="s">
        <v>317</v>
      </c>
      <c r="X1173" s="43" t="s">
        <v>318</v>
      </c>
      <c r="Y1173" s="43" t="s">
        <v>361</v>
      </c>
      <c r="Z1173" s="43" t="s">
        <v>320</v>
      </c>
      <c r="AA1173" s="43" t="s">
        <v>353</v>
      </c>
      <c r="AB1173" s="144">
        <v>0</v>
      </c>
      <c r="AF1173" s="43" t="s">
        <v>54</v>
      </c>
      <c r="AG1173" s="43" t="s">
        <v>399</v>
      </c>
      <c r="AH1173" s="43" t="s">
        <v>3007</v>
      </c>
      <c r="AI1173" s="43">
        <v>17320204</v>
      </c>
      <c r="AJ1173" s="140">
        <v>0</v>
      </c>
      <c r="AK1173" s="140">
        <v>0</v>
      </c>
      <c r="AL1173" s="140">
        <v>0</v>
      </c>
      <c r="AM1173" s="140">
        <v>0</v>
      </c>
      <c r="AN1173" s="140">
        <v>0</v>
      </c>
      <c r="AO1173" s="140">
        <v>0</v>
      </c>
      <c r="AP1173" s="140">
        <v>0</v>
      </c>
      <c r="AQ1173" s="140">
        <v>0</v>
      </c>
      <c r="AR1173" s="140">
        <v>0</v>
      </c>
      <c r="AS1173" s="140">
        <v>0</v>
      </c>
      <c r="AT1173" s="140">
        <v>3</v>
      </c>
      <c r="AU1173" s="140">
        <v>0</v>
      </c>
      <c r="AV1173" s="140">
        <v>0</v>
      </c>
      <c r="AW1173" s="140">
        <v>0</v>
      </c>
      <c r="AX1173" s="140">
        <v>0</v>
      </c>
      <c r="AY1173" s="140">
        <v>0</v>
      </c>
      <c r="AZ1173" s="140">
        <v>0</v>
      </c>
      <c r="BA1173" s="140">
        <v>3</v>
      </c>
      <c r="BB1173" s="140">
        <v>0</v>
      </c>
      <c r="BC1173" s="140">
        <v>0</v>
      </c>
      <c r="BD1173" s="140">
        <v>0</v>
      </c>
      <c r="BE1173" s="140">
        <v>0</v>
      </c>
      <c r="BF1173" s="140">
        <v>0</v>
      </c>
      <c r="BG1173" s="140">
        <v>0</v>
      </c>
      <c r="BH1173" s="140">
        <v>0</v>
      </c>
      <c r="BI1173" s="140">
        <v>0</v>
      </c>
      <c r="BJ1173" s="140">
        <v>0</v>
      </c>
      <c r="BK1173" s="140">
        <v>0</v>
      </c>
      <c r="BL1173" s="140">
        <v>0</v>
      </c>
      <c r="BM1173" s="140">
        <v>0</v>
      </c>
      <c r="BN1173" s="140">
        <v>0</v>
      </c>
      <c r="BO1173" s="140">
        <v>0</v>
      </c>
      <c r="BP1173" s="43" t="s">
        <v>139</v>
      </c>
      <c r="BQ1173" s="89"/>
      <c r="BS1173" s="43" t="s">
        <v>329</v>
      </c>
      <c r="BU1173" s="89"/>
      <c r="BX1173" s="43">
        <v>20</v>
      </c>
      <c r="CI1173" s="90">
        <f t="shared" si="170"/>
        <v>0.25</v>
      </c>
      <c r="CJ1173" s="90">
        <f t="shared" si="170"/>
        <v>0.25</v>
      </c>
      <c r="CK1173" s="90">
        <f t="shared" si="170"/>
        <v>0.25</v>
      </c>
      <c r="CL1173" s="90">
        <f t="shared" si="170"/>
        <v>0.25</v>
      </c>
      <c r="CM1173" s="90">
        <f t="shared" si="170"/>
        <v>0.25</v>
      </c>
      <c r="CN1173" s="90">
        <f t="shared" si="170"/>
        <v>0.25</v>
      </c>
      <c r="CO1173" s="90">
        <f t="shared" si="170"/>
        <v>0.25</v>
      </c>
      <c r="CP1173" s="90">
        <f t="shared" si="170"/>
        <v>0.25</v>
      </c>
      <c r="CQ1173" s="90">
        <f t="shared" si="170"/>
        <v>0.25</v>
      </c>
      <c r="CR1173" s="90">
        <f t="shared" si="170"/>
        <v>0.25</v>
      </c>
      <c r="CS1173" s="90">
        <f t="shared" si="170"/>
        <v>0.25</v>
      </c>
      <c r="CT1173" s="90">
        <f t="shared" si="163"/>
        <v>0</v>
      </c>
      <c r="CU1173" s="90">
        <f t="shared" si="164"/>
        <v>0.25</v>
      </c>
    </row>
    <row r="1174" spans="1:99" ht="12" customHeight="1">
      <c r="A1174" s="43">
        <v>6898</v>
      </c>
      <c r="B1174" s="89" t="s">
        <v>2923</v>
      </c>
      <c r="C1174" s="89" t="s">
        <v>3008</v>
      </c>
      <c r="D1174" s="89" t="s">
        <v>3009</v>
      </c>
      <c r="F1174" s="43">
        <v>527216</v>
      </c>
      <c r="G1174" s="43">
        <v>175541</v>
      </c>
      <c r="H1174" s="89" t="s">
        <v>174</v>
      </c>
      <c r="K1174" s="140">
        <v>0</v>
      </c>
      <c r="L1174" s="140">
        <v>105</v>
      </c>
      <c r="M1174" s="140">
        <v>105</v>
      </c>
      <c r="N1174" s="140">
        <v>157</v>
      </c>
      <c r="O1174" s="140">
        <v>157</v>
      </c>
      <c r="P1174" s="43" t="s">
        <v>329</v>
      </c>
      <c r="Q1174" s="89" t="s">
        <v>2926</v>
      </c>
      <c r="R1174" s="43" t="s">
        <v>2927</v>
      </c>
      <c r="V1174" s="43" t="s">
        <v>317</v>
      </c>
      <c r="X1174" s="43" t="s">
        <v>318</v>
      </c>
      <c r="Y1174" s="43" t="s">
        <v>361</v>
      </c>
      <c r="Z1174" s="43" t="s">
        <v>361</v>
      </c>
      <c r="AA1174" s="43" t="s">
        <v>320</v>
      </c>
      <c r="AB1174" s="144">
        <v>0</v>
      </c>
      <c r="AF1174" s="43" t="s">
        <v>75</v>
      </c>
      <c r="AG1174" s="43" t="s">
        <v>322</v>
      </c>
      <c r="AH1174" s="43" t="s">
        <v>3010</v>
      </c>
      <c r="AI1174" s="43">
        <v>17320350</v>
      </c>
      <c r="AJ1174" s="140">
        <v>0</v>
      </c>
      <c r="AK1174" s="140">
        <v>0</v>
      </c>
      <c r="AL1174" s="140">
        <v>0</v>
      </c>
      <c r="AM1174" s="140">
        <v>0</v>
      </c>
      <c r="AN1174" s="140">
        <v>0</v>
      </c>
      <c r="AO1174" s="140">
        <v>0</v>
      </c>
      <c r="AP1174" s="140">
        <v>0</v>
      </c>
      <c r="AQ1174" s="140">
        <v>0</v>
      </c>
      <c r="AR1174" s="140">
        <v>0</v>
      </c>
      <c r="AS1174" s="140">
        <v>0</v>
      </c>
      <c r="AT1174" s="140">
        <v>105</v>
      </c>
      <c r="AU1174" s="140">
        <v>0</v>
      </c>
      <c r="AV1174" s="140">
        <v>0</v>
      </c>
      <c r="AW1174" s="140">
        <v>0</v>
      </c>
      <c r="AX1174" s="140">
        <v>0</v>
      </c>
      <c r="AY1174" s="140">
        <v>0</v>
      </c>
      <c r="AZ1174" s="140">
        <v>0</v>
      </c>
      <c r="BA1174" s="140">
        <v>105</v>
      </c>
      <c r="BB1174" s="140">
        <v>0</v>
      </c>
      <c r="BC1174" s="140">
        <v>0</v>
      </c>
      <c r="BD1174" s="140">
        <v>0</v>
      </c>
      <c r="BE1174" s="140">
        <v>0</v>
      </c>
      <c r="BF1174" s="140">
        <v>0</v>
      </c>
      <c r="BG1174" s="140">
        <v>0</v>
      </c>
      <c r="BH1174" s="140">
        <v>0</v>
      </c>
      <c r="BI1174" s="140">
        <v>0</v>
      </c>
      <c r="BJ1174" s="140">
        <v>0</v>
      </c>
      <c r="BK1174" s="140">
        <v>0</v>
      </c>
      <c r="BL1174" s="140">
        <v>0</v>
      </c>
      <c r="BM1174" s="140">
        <v>0</v>
      </c>
      <c r="BN1174" s="140">
        <v>0</v>
      </c>
      <c r="BO1174" s="140">
        <v>0</v>
      </c>
      <c r="BP1174" s="43" t="s">
        <v>139</v>
      </c>
      <c r="BQ1174" s="89"/>
      <c r="BS1174" s="43" t="s">
        <v>329</v>
      </c>
      <c r="BU1174" s="89"/>
      <c r="BX1174" s="43">
        <v>20</v>
      </c>
      <c r="CI1174" s="90">
        <f t="shared" si="170"/>
        <v>8.75</v>
      </c>
      <c r="CJ1174" s="90">
        <f t="shared" si="170"/>
        <v>8.75</v>
      </c>
      <c r="CK1174" s="90">
        <f t="shared" si="170"/>
        <v>8.75</v>
      </c>
      <c r="CL1174" s="90">
        <f t="shared" si="170"/>
        <v>8.75</v>
      </c>
      <c r="CM1174" s="90">
        <f t="shared" si="170"/>
        <v>8.75</v>
      </c>
      <c r="CN1174" s="90">
        <f t="shared" si="170"/>
        <v>8.75</v>
      </c>
      <c r="CO1174" s="90">
        <f t="shared" si="170"/>
        <v>8.75</v>
      </c>
      <c r="CP1174" s="90">
        <f t="shared" si="170"/>
        <v>8.75</v>
      </c>
      <c r="CQ1174" s="90">
        <f t="shared" si="170"/>
        <v>8.75</v>
      </c>
      <c r="CR1174" s="90">
        <f t="shared" si="170"/>
        <v>8.75</v>
      </c>
      <c r="CS1174" s="90">
        <f t="shared" si="170"/>
        <v>8.75</v>
      </c>
      <c r="CT1174" s="90">
        <f t="shared" si="163"/>
        <v>0</v>
      </c>
      <c r="CU1174" s="90">
        <f t="shared" si="164"/>
        <v>8.75</v>
      </c>
    </row>
    <row r="1175" spans="1:99" ht="12" customHeight="1">
      <c r="A1175" s="43">
        <v>6898</v>
      </c>
      <c r="B1175" s="89" t="s">
        <v>2923</v>
      </c>
      <c r="C1175" s="89" t="s">
        <v>3008</v>
      </c>
      <c r="D1175" s="89" t="s">
        <v>3009</v>
      </c>
      <c r="F1175" s="43">
        <v>527216</v>
      </c>
      <c r="G1175" s="43">
        <v>175541</v>
      </c>
      <c r="H1175" s="89" t="s">
        <v>174</v>
      </c>
      <c r="K1175" s="140">
        <v>0</v>
      </c>
      <c r="L1175" s="140">
        <v>31</v>
      </c>
      <c r="M1175" s="140">
        <v>31</v>
      </c>
      <c r="N1175" s="140">
        <v>157</v>
      </c>
      <c r="O1175" s="140">
        <v>157</v>
      </c>
      <c r="P1175" s="43" t="s">
        <v>329</v>
      </c>
      <c r="Q1175" s="89" t="s">
        <v>2926</v>
      </c>
      <c r="R1175" s="43" t="s">
        <v>2927</v>
      </c>
      <c r="V1175" s="43" t="s">
        <v>317</v>
      </c>
      <c r="X1175" s="43" t="s">
        <v>318</v>
      </c>
      <c r="Y1175" s="43" t="s">
        <v>361</v>
      </c>
      <c r="Z1175" s="43" t="s">
        <v>361</v>
      </c>
      <c r="AA1175" s="43" t="s">
        <v>320</v>
      </c>
      <c r="AB1175" s="144">
        <v>0</v>
      </c>
      <c r="AF1175" s="43" t="s">
        <v>55</v>
      </c>
      <c r="AG1175" s="43" t="s">
        <v>457</v>
      </c>
      <c r="AH1175" s="43" t="s">
        <v>3010</v>
      </c>
      <c r="AI1175" s="43">
        <v>17320350</v>
      </c>
      <c r="AJ1175" s="140">
        <v>0</v>
      </c>
      <c r="AK1175" s="140">
        <v>0</v>
      </c>
      <c r="AL1175" s="140">
        <v>0</v>
      </c>
      <c r="AM1175" s="140">
        <v>0</v>
      </c>
      <c r="AN1175" s="140">
        <v>0</v>
      </c>
      <c r="AO1175" s="140">
        <v>0</v>
      </c>
      <c r="AP1175" s="140">
        <v>0</v>
      </c>
      <c r="AQ1175" s="140">
        <v>0</v>
      </c>
      <c r="AR1175" s="140">
        <v>0</v>
      </c>
      <c r="AS1175" s="140">
        <v>0</v>
      </c>
      <c r="AT1175" s="140">
        <v>31</v>
      </c>
      <c r="AU1175" s="140">
        <v>0</v>
      </c>
      <c r="AV1175" s="140">
        <v>0</v>
      </c>
      <c r="AW1175" s="140">
        <v>0</v>
      </c>
      <c r="AX1175" s="140">
        <v>0</v>
      </c>
      <c r="AY1175" s="140">
        <v>0</v>
      </c>
      <c r="AZ1175" s="140">
        <v>0</v>
      </c>
      <c r="BA1175" s="140">
        <v>31</v>
      </c>
      <c r="BB1175" s="140">
        <v>0</v>
      </c>
      <c r="BC1175" s="140">
        <v>0</v>
      </c>
      <c r="BD1175" s="140">
        <v>0</v>
      </c>
      <c r="BE1175" s="140">
        <v>0</v>
      </c>
      <c r="BF1175" s="140">
        <v>0</v>
      </c>
      <c r="BG1175" s="140">
        <v>0</v>
      </c>
      <c r="BH1175" s="140">
        <v>0</v>
      </c>
      <c r="BI1175" s="140">
        <v>0</v>
      </c>
      <c r="BJ1175" s="140">
        <v>0</v>
      </c>
      <c r="BK1175" s="140">
        <v>0</v>
      </c>
      <c r="BL1175" s="140">
        <v>0</v>
      </c>
      <c r="BM1175" s="140">
        <v>0</v>
      </c>
      <c r="BN1175" s="140">
        <v>0</v>
      </c>
      <c r="BO1175" s="140">
        <v>0</v>
      </c>
      <c r="BP1175" s="43" t="s">
        <v>139</v>
      </c>
      <c r="BQ1175" s="89"/>
      <c r="BS1175" s="43" t="s">
        <v>329</v>
      </c>
      <c r="BU1175" s="89"/>
      <c r="BX1175" s="43">
        <v>20</v>
      </c>
      <c r="CI1175" s="90">
        <f t="shared" si="170"/>
        <v>2.5833333333333335</v>
      </c>
      <c r="CJ1175" s="90">
        <f t="shared" si="170"/>
        <v>2.5833333333333335</v>
      </c>
      <c r="CK1175" s="90">
        <f t="shared" si="170"/>
        <v>2.5833333333333335</v>
      </c>
      <c r="CL1175" s="90">
        <f t="shared" si="170"/>
        <v>2.5833333333333335</v>
      </c>
      <c r="CM1175" s="90">
        <f t="shared" si="170"/>
        <v>2.5833333333333335</v>
      </c>
      <c r="CN1175" s="90">
        <f t="shared" si="170"/>
        <v>2.5833333333333335</v>
      </c>
      <c r="CO1175" s="90">
        <f t="shared" si="170"/>
        <v>2.5833333333333335</v>
      </c>
      <c r="CP1175" s="90">
        <f t="shared" si="170"/>
        <v>2.5833333333333335</v>
      </c>
      <c r="CQ1175" s="90">
        <f t="shared" si="170"/>
        <v>2.5833333333333335</v>
      </c>
      <c r="CR1175" s="90">
        <f t="shared" si="170"/>
        <v>2.5833333333333335</v>
      </c>
      <c r="CS1175" s="90">
        <f t="shared" si="170"/>
        <v>2.5833333333333335</v>
      </c>
      <c r="CT1175" s="90">
        <f t="shared" si="163"/>
        <v>0</v>
      </c>
      <c r="CU1175" s="90">
        <f t="shared" si="164"/>
        <v>2.5833333333333335</v>
      </c>
    </row>
    <row r="1176" spans="1:99" ht="12" customHeight="1">
      <c r="A1176" s="43">
        <v>6898</v>
      </c>
      <c r="B1176" s="89" t="s">
        <v>2923</v>
      </c>
      <c r="C1176" s="89" t="s">
        <v>3008</v>
      </c>
      <c r="D1176" s="89" t="s">
        <v>3009</v>
      </c>
      <c r="F1176" s="43">
        <v>527216</v>
      </c>
      <c r="G1176" s="43">
        <v>175541</v>
      </c>
      <c r="H1176" s="89" t="s">
        <v>174</v>
      </c>
      <c r="K1176" s="140">
        <v>0</v>
      </c>
      <c r="L1176" s="140">
        <v>21</v>
      </c>
      <c r="M1176" s="140">
        <v>21</v>
      </c>
      <c r="N1176" s="140">
        <v>157</v>
      </c>
      <c r="O1176" s="140">
        <v>157</v>
      </c>
      <c r="P1176" s="43" t="s">
        <v>329</v>
      </c>
      <c r="Q1176" s="89" t="s">
        <v>2926</v>
      </c>
      <c r="R1176" s="43" t="s">
        <v>2927</v>
      </c>
      <c r="V1176" s="43" t="s">
        <v>317</v>
      </c>
      <c r="X1176" s="43" t="s">
        <v>318</v>
      </c>
      <c r="Y1176" s="43" t="s">
        <v>361</v>
      </c>
      <c r="Z1176" s="43" t="s">
        <v>361</v>
      </c>
      <c r="AA1176" s="43" t="s">
        <v>320</v>
      </c>
      <c r="AB1176" s="144">
        <v>0</v>
      </c>
      <c r="AF1176" s="43" t="s">
        <v>54</v>
      </c>
      <c r="AG1176" s="43" t="s">
        <v>399</v>
      </c>
      <c r="AH1176" s="43" t="s">
        <v>3010</v>
      </c>
      <c r="AI1176" s="43">
        <v>17320350</v>
      </c>
      <c r="AJ1176" s="140">
        <v>0</v>
      </c>
      <c r="AK1176" s="140">
        <v>0</v>
      </c>
      <c r="AL1176" s="140">
        <v>0</v>
      </c>
      <c r="AM1176" s="140">
        <v>0</v>
      </c>
      <c r="AN1176" s="140">
        <v>0</v>
      </c>
      <c r="AO1176" s="140">
        <v>0</v>
      </c>
      <c r="AP1176" s="140">
        <v>0</v>
      </c>
      <c r="AQ1176" s="140">
        <v>0</v>
      </c>
      <c r="AR1176" s="140">
        <v>0</v>
      </c>
      <c r="AS1176" s="140">
        <v>0</v>
      </c>
      <c r="AT1176" s="140">
        <v>21</v>
      </c>
      <c r="AU1176" s="140">
        <v>0</v>
      </c>
      <c r="AV1176" s="140">
        <v>0</v>
      </c>
      <c r="AW1176" s="140">
        <v>0</v>
      </c>
      <c r="AX1176" s="140">
        <v>0</v>
      </c>
      <c r="AY1176" s="140">
        <v>0</v>
      </c>
      <c r="AZ1176" s="140">
        <v>0</v>
      </c>
      <c r="BA1176" s="140">
        <v>21</v>
      </c>
      <c r="BB1176" s="140">
        <v>0</v>
      </c>
      <c r="BC1176" s="140">
        <v>0</v>
      </c>
      <c r="BD1176" s="140">
        <v>0</v>
      </c>
      <c r="BE1176" s="140">
        <v>0</v>
      </c>
      <c r="BF1176" s="140">
        <v>0</v>
      </c>
      <c r="BG1176" s="140">
        <v>0</v>
      </c>
      <c r="BH1176" s="140">
        <v>0</v>
      </c>
      <c r="BI1176" s="140">
        <v>0</v>
      </c>
      <c r="BJ1176" s="140">
        <v>0</v>
      </c>
      <c r="BK1176" s="140">
        <v>0</v>
      </c>
      <c r="BL1176" s="140">
        <v>0</v>
      </c>
      <c r="BM1176" s="140">
        <v>0</v>
      </c>
      <c r="BN1176" s="140">
        <v>0</v>
      </c>
      <c r="BO1176" s="140">
        <v>0</v>
      </c>
      <c r="BP1176" s="43" t="s">
        <v>139</v>
      </c>
      <c r="BQ1176" s="89"/>
      <c r="BS1176" s="43" t="s">
        <v>329</v>
      </c>
      <c r="BU1176" s="89"/>
      <c r="BX1176" s="43">
        <v>20</v>
      </c>
      <c r="CI1176" s="90">
        <f t="shared" si="170"/>
        <v>1.75</v>
      </c>
      <c r="CJ1176" s="90">
        <f t="shared" si="170"/>
        <v>1.75</v>
      </c>
      <c r="CK1176" s="90">
        <f t="shared" si="170"/>
        <v>1.75</v>
      </c>
      <c r="CL1176" s="90">
        <f t="shared" si="170"/>
        <v>1.75</v>
      </c>
      <c r="CM1176" s="90">
        <f t="shared" si="170"/>
        <v>1.75</v>
      </c>
      <c r="CN1176" s="90">
        <f t="shared" si="170"/>
        <v>1.75</v>
      </c>
      <c r="CO1176" s="90">
        <f t="shared" si="170"/>
        <v>1.75</v>
      </c>
      <c r="CP1176" s="90">
        <f t="shared" si="170"/>
        <v>1.75</v>
      </c>
      <c r="CQ1176" s="90">
        <f t="shared" si="170"/>
        <v>1.75</v>
      </c>
      <c r="CR1176" s="90">
        <f t="shared" si="170"/>
        <v>1.75</v>
      </c>
      <c r="CS1176" s="90">
        <f t="shared" si="170"/>
        <v>1.75</v>
      </c>
      <c r="CT1176" s="90">
        <f t="shared" si="163"/>
        <v>0</v>
      </c>
      <c r="CU1176" s="90">
        <f t="shared" si="164"/>
        <v>1.75</v>
      </c>
    </row>
    <row r="1177" spans="1:99" ht="12" customHeight="1">
      <c r="A1177" s="43">
        <v>6899</v>
      </c>
      <c r="B1177" s="89" t="s">
        <v>2923</v>
      </c>
      <c r="C1177" s="89" t="s">
        <v>3011</v>
      </c>
      <c r="D1177" s="89" t="s">
        <v>3012</v>
      </c>
      <c r="F1177" s="43">
        <v>527207</v>
      </c>
      <c r="G1177" s="43">
        <v>175690</v>
      </c>
      <c r="H1177" s="89" t="s">
        <v>147</v>
      </c>
      <c r="K1177" s="140">
        <v>0</v>
      </c>
      <c r="L1177" s="140">
        <v>140</v>
      </c>
      <c r="M1177" s="140">
        <v>140</v>
      </c>
      <c r="N1177" s="140">
        <v>209</v>
      </c>
      <c r="O1177" s="140">
        <v>209</v>
      </c>
      <c r="P1177" s="43" t="s">
        <v>329</v>
      </c>
      <c r="Q1177" s="89" t="s">
        <v>2926</v>
      </c>
      <c r="R1177" s="43" t="s">
        <v>2927</v>
      </c>
      <c r="V1177" s="43" t="s">
        <v>317</v>
      </c>
      <c r="X1177" s="43" t="s">
        <v>318</v>
      </c>
      <c r="Y1177" s="43" t="s">
        <v>361</v>
      </c>
      <c r="Z1177" s="43" t="s">
        <v>361</v>
      </c>
      <c r="AA1177" s="43" t="s">
        <v>320</v>
      </c>
      <c r="AB1177" s="144">
        <v>0</v>
      </c>
      <c r="AF1177" s="43" t="s">
        <v>75</v>
      </c>
      <c r="AG1177" s="43" t="s">
        <v>322</v>
      </c>
      <c r="AH1177" s="43" t="s">
        <v>3013</v>
      </c>
      <c r="AI1177" s="43">
        <v>17320338</v>
      </c>
      <c r="AJ1177" s="140">
        <v>0</v>
      </c>
      <c r="AK1177" s="140">
        <v>0</v>
      </c>
      <c r="AL1177" s="140">
        <v>0</v>
      </c>
      <c r="AM1177" s="140">
        <v>0</v>
      </c>
      <c r="AN1177" s="140">
        <v>0</v>
      </c>
      <c r="AO1177" s="140">
        <v>0</v>
      </c>
      <c r="AP1177" s="140">
        <v>0</v>
      </c>
      <c r="AQ1177" s="140">
        <v>0</v>
      </c>
      <c r="AR1177" s="140">
        <v>0</v>
      </c>
      <c r="AS1177" s="140">
        <v>0</v>
      </c>
      <c r="AT1177" s="140">
        <v>140</v>
      </c>
      <c r="AU1177" s="140">
        <v>0</v>
      </c>
      <c r="AV1177" s="140">
        <v>0</v>
      </c>
      <c r="AW1177" s="140">
        <v>0</v>
      </c>
      <c r="AX1177" s="140">
        <v>0</v>
      </c>
      <c r="AY1177" s="140">
        <v>0</v>
      </c>
      <c r="AZ1177" s="140">
        <v>0</v>
      </c>
      <c r="BA1177" s="140">
        <v>140</v>
      </c>
      <c r="BB1177" s="140">
        <v>0</v>
      </c>
      <c r="BC1177" s="140">
        <v>0</v>
      </c>
      <c r="BD1177" s="140">
        <v>0</v>
      </c>
      <c r="BE1177" s="140">
        <v>0</v>
      </c>
      <c r="BF1177" s="140">
        <v>0</v>
      </c>
      <c r="BG1177" s="140">
        <v>0</v>
      </c>
      <c r="BH1177" s="140">
        <v>0</v>
      </c>
      <c r="BI1177" s="140">
        <v>0</v>
      </c>
      <c r="BJ1177" s="140">
        <v>0</v>
      </c>
      <c r="BK1177" s="140">
        <v>0</v>
      </c>
      <c r="BL1177" s="140">
        <v>0</v>
      </c>
      <c r="BM1177" s="140">
        <v>0</v>
      </c>
      <c r="BN1177" s="140">
        <v>0</v>
      </c>
      <c r="BO1177" s="140">
        <v>0</v>
      </c>
      <c r="BQ1177" s="89"/>
      <c r="BS1177" s="43" t="s">
        <v>329</v>
      </c>
      <c r="BU1177" s="89"/>
      <c r="BX1177" s="43">
        <v>20</v>
      </c>
      <c r="CN1177" s="90">
        <f t="shared" ref="CN1177:CS1179" si="171">$M1177/7</f>
        <v>20</v>
      </c>
      <c r="CO1177" s="90">
        <f t="shared" si="171"/>
        <v>20</v>
      </c>
      <c r="CP1177" s="90">
        <f t="shared" si="171"/>
        <v>20</v>
      </c>
      <c r="CQ1177" s="90">
        <f t="shared" si="171"/>
        <v>20</v>
      </c>
      <c r="CR1177" s="90">
        <f t="shared" si="171"/>
        <v>20</v>
      </c>
      <c r="CS1177" s="90">
        <f t="shared" si="171"/>
        <v>20</v>
      </c>
      <c r="CT1177" s="90">
        <f t="shared" si="163"/>
        <v>0</v>
      </c>
      <c r="CU1177" s="90">
        <f t="shared" si="164"/>
        <v>0</v>
      </c>
    </row>
    <row r="1178" spans="1:99" ht="12" customHeight="1">
      <c r="A1178" s="43">
        <v>6899</v>
      </c>
      <c r="B1178" s="89" t="s">
        <v>2923</v>
      </c>
      <c r="C1178" s="89" t="s">
        <v>3011</v>
      </c>
      <c r="D1178" s="89" t="s">
        <v>3012</v>
      </c>
      <c r="F1178" s="43">
        <v>527207</v>
      </c>
      <c r="G1178" s="43">
        <v>175690</v>
      </c>
      <c r="H1178" s="89" t="s">
        <v>147</v>
      </c>
      <c r="K1178" s="140">
        <v>0</v>
      </c>
      <c r="L1178" s="140">
        <v>41</v>
      </c>
      <c r="M1178" s="140">
        <v>41</v>
      </c>
      <c r="N1178" s="140">
        <v>209</v>
      </c>
      <c r="O1178" s="140">
        <v>209</v>
      </c>
      <c r="P1178" s="43" t="s">
        <v>329</v>
      </c>
      <c r="Q1178" s="89" t="s">
        <v>2926</v>
      </c>
      <c r="R1178" s="43" t="s">
        <v>2927</v>
      </c>
      <c r="V1178" s="43" t="s">
        <v>317</v>
      </c>
      <c r="X1178" s="43" t="s">
        <v>318</v>
      </c>
      <c r="Y1178" s="43" t="s">
        <v>361</v>
      </c>
      <c r="Z1178" s="43" t="s">
        <v>361</v>
      </c>
      <c r="AA1178" s="43" t="s">
        <v>320</v>
      </c>
      <c r="AB1178" s="144">
        <v>0</v>
      </c>
      <c r="AF1178" s="43" t="s">
        <v>55</v>
      </c>
      <c r="AG1178" s="43" t="s">
        <v>457</v>
      </c>
      <c r="AH1178" s="43" t="s">
        <v>3013</v>
      </c>
      <c r="AI1178" s="43">
        <v>17320338</v>
      </c>
      <c r="AJ1178" s="140">
        <v>0</v>
      </c>
      <c r="AK1178" s="140">
        <v>0</v>
      </c>
      <c r="AL1178" s="140">
        <v>0</v>
      </c>
      <c r="AM1178" s="140">
        <v>0</v>
      </c>
      <c r="AN1178" s="140">
        <v>0</v>
      </c>
      <c r="AO1178" s="140">
        <v>0</v>
      </c>
      <c r="AP1178" s="140">
        <v>0</v>
      </c>
      <c r="AQ1178" s="140">
        <v>0</v>
      </c>
      <c r="AR1178" s="140">
        <v>0</v>
      </c>
      <c r="AS1178" s="140">
        <v>0</v>
      </c>
      <c r="AT1178" s="140">
        <v>41</v>
      </c>
      <c r="AU1178" s="140">
        <v>0</v>
      </c>
      <c r="AV1178" s="140">
        <v>0</v>
      </c>
      <c r="AW1178" s="140">
        <v>0</v>
      </c>
      <c r="AX1178" s="140">
        <v>0</v>
      </c>
      <c r="AY1178" s="140">
        <v>0</v>
      </c>
      <c r="AZ1178" s="140">
        <v>0</v>
      </c>
      <c r="BA1178" s="140">
        <v>41</v>
      </c>
      <c r="BB1178" s="140">
        <v>0</v>
      </c>
      <c r="BC1178" s="140">
        <v>0</v>
      </c>
      <c r="BD1178" s="140">
        <v>0</v>
      </c>
      <c r="BE1178" s="140">
        <v>0</v>
      </c>
      <c r="BF1178" s="140">
        <v>0</v>
      </c>
      <c r="BG1178" s="140">
        <v>0</v>
      </c>
      <c r="BH1178" s="140">
        <v>0</v>
      </c>
      <c r="BI1178" s="140">
        <v>0</v>
      </c>
      <c r="BJ1178" s="140">
        <v>0</v>
      </c>
      <c r="BK1178" s="140">
        <v>0</v>
      </c>
      <c r="BL1178" s="140">
        <v>0</v>
      </c>
      <c r="BM1178" s="140">
        <v>0</v>
      </c>
      <c r="BN1178" s="140">
        <v>0</v>
      </c>
      <c r="BO1178" s="140">
        <v>0</v>
      </c>
      <c r="BQ1178" s="89"/>
      <c r="BS1178" s="43" t="s">
        <v>329</v>
      </c>
      <c r="BU1178" s="89"/>
      <c r="BX1178" s="43">
        <v>20</v>
      </c>
      <c r="CN1178" s="90">
        <f t="shared" si="171"/>
        <v>5.8571428571428568</v>
      </c>
      <c r="CO1178" s="90">
        <f t="shared" si="171"/>
        <v>5.8571428571428568</v>
      </c>
      <c r="CP1178" s="90">
        <f t="shared" si="171"/>
        <v>5.8571428571428568</v>
      </c>
      <c r="CQ1178" s="90">
        <f t="shared" si="171"/>
        <v>5.8571428571428568</v>
      </c>
      <c r="CR1178" s="90">
        <f t="shared" si="171"/>
        <v>5.8571428571428568</v>
      </c>
      <c r="CS1178" s="90">
        <f t="shared" si="171"/>
        <v>5.8571428571428568</v>
      </c>
      <c r="CT1178" s="90">
        <f t="shared" si="163"/>
        <v>0</v>
      </c>
      <c r="CU1178" s="90">
        <f t="shared" si="164"/>
        <v>0</v>
      </c>
    </row>
    <row r="1179" spans="1:99" ht="12" customHeight="1">
      <c r="A1179" s="43">
        <v>6899</v>
      </c>
      <c r="B1179" s="89" t="s">
        <v>2923</v>
      </c>
      <c r="C1179" s="89" t="s">
        <v>3011</v>
      </c>
      <c r="D1179" s="89" t="s">
        <v>3012</v>
      </c>
      <c r="F1179" s="43">
        <v>527207</v>
      </c>
      <c r="G1179" s="43">
        <v>175690</v>
      </c>
      <c r="H1179" s="89" t="s">
        <v>147</v>
      </c>
      <c r="K1179" s="140">
        <v>0</v>
      </c>
      <c r="L1179" s="140">
        <v>28</v>
      </c>
      <c r="M1179" s="140">
        <v>28</v>
      </c>
      <c r="N1179" s="140">
        <v>209</v>
      </c>
      <c r="O1179" s="140">
        <v>209</v>
      </c>
      <c r="P1179" s="43" t="s">
        <v>329</v>
      </c>
      <c r="Q1179" s="89" t="s">
        <v>2926</v>
      </c>
      <c r="R1179" s="43" t="s">
        <v>2927</v>
      </c>
      <c r="V1179" s="43" t="s">
        <v>317</v>
      </c>
      <c r="X1179" s="43" t="s">
        <v>318</v>
      </c>
      <c r="Y1179" s="43" t="s">
        <v>361</v>
      </c>
      <c r="Z1179" s="43" t="s">
        <v>361</v>
      </c>
      <c r="AA1179" s="43" t="s">
        <v>320</v>
      </c>
      <c r="AB1179" s="144">
        <v>0</v>
      </c>
      <c r="AF1179" s="43" t="s">
        <v>54</v>
      </c>
      <c r="AG1179" s="43" t="s">
        <v>399</v>
      </c>
      <c r="AH1179" s="43" t="s">
        <v>3013</v>
      </c>
      <c r="AI1179" s="43">
        <v>17320338</v>
      </c>
      <c r="AJ1179" s="140">
        <v>0</v>
      </c>
      <c r="AK1179" s="140">
        <v>0</v>
      </c>
      <c r="AL1179" s="140">
        <v>0</v>
      </c>
      <c r="AM1179" s="140">
        <v>0</v>
      </c>
      <c r="AN1179" s="140">
        <v>0</v>
      </c>
      <c r="AO1179" s="140">
        <v>0</v>
      </c>
      <c r="AP1179" s="140">
        <v>0</v>
      </c>
      <c r="AQ1179" s="140">
        <v>0</v>
      </c>
      <c r="AR1179" s="140">
        <v>0</v>
      </c>
      <c r="AS1179" s="140">
        <v>0</v>
      </c>
      <c r="AT1179" s="140">
        <v>28</v>
      </c>
      <c r="AU1179" s="140">
        <v>0</v>
      </c>
      <c r="AV1179" s="140">
        <v>0</v>
      </c>
      <c r="AW1179" s="140">
        <v>0</v>
      </c>
      <c r="AX1179" s="140">
        <v>0</v>
      </c>
      <c r="AY1179" s="140">
        <v>0</v>
      </c>
      <c r="AZ1179" s="140">
        <v>0</v>
      </c>
      <c r="BA1179" s="140">
        <v>28</v>
      </c>
      <c r="BB1179" s="140">
        <v>0</v>
      </c>
      <c r="BC1179" s="140">
        <v>0</v>
      </c>
      <c r="BD1179" s="140">
        <v>0</v>
      </c>
      <c r="BE1179" s="140">
        <v>0</v>
      </c>
      <c r="BF1179" s="140">
        <v>0</v>
      </c>
      <c r="BG1179" s="140">
        <v>0</v>
      </c>
      <c r="BH1179" s="140">
        <v>0</v>
      </c>
      <c r="BI1179" s="140">
        <v>0</v>
      </c>
      <c r="BJ1179" s="140">
        <v>0</v>
      </c>
      <c r="BK1179" s="140">
        <v>0</v>
      </c>
      <c r="BL1179" s="140">
        <v>0</v>
      </c>
      <c r="BM1179" s="140">
        <v>0</v>
      </c>
      <c r="BN1179" s="140">
        <v>0</v>
      </c>
      <c r="BO1179" s="140">
        <v>0</v>
      </c>
      <c r="BQ1179" s="89"/>
      <c r="BS1179" s="43" t="s">
        <v>329</v>
      </c>
      <c r="BU1179" s="89"/>
      <c r="BX1179" s="43">
        <v>20</v>
      </c>
      <c r="CN1179" s="90">
        <f t="shared" si="171"/>
        <v>4</v>
      </c>
      <c r="CO1179" s="90">
        <f t="shared" si="171"/>
        <v>4</v>
      </c>
      <c r="CP1179" s="90">
        <f t="shared" si="171"/>
        <v>4</v>
      </c>
      <c r="CQ1179" s="90">
        <f t="shared" si="171"/>
        <v>4</v>
      </c>
      <c r="CR1179" s="90">
        <f t="shared" si="171"/>
        <v>4</v>
      </c>
      <c r="CS1179" s="90">
        <f t="shared" si="171"/>
        <v>4</v>
      </c>
      <c r="CT1179" s="90">
        <f t="shared" si="163"/>
        <v>0</v>
      </c>
      <c r="CU1179" s="90">
        <f t="shared" si="164"/>
        <v>0</v>
      </c>
    </row>
    <row r="1180" spans="1:99" ht="12" customHeight="1">
      <c r="A1180" s="43">
        <v>6901</v>
      </c>
      <c r="B1180" s="89" t="s">
        <v>2923</v>
      </c>
      <c r="C1180" s="89" t="s">
        <v>3014</v>
      </c>
      <c r="D1180" s="89" t="s">
        <v>3015</v>
      </c>
      <c r="F1180" s="43">
        <v>524170</v>
      </c>
      <c r="G1180" s="43">
        <v>175517</v>
      </c>
      <c r="H1180" s="89" t="s">
        <v>178</v>
      </c>
      <c r="K1180" s="140">
        <v>0</v>
      </c>
      <c r="L1180" s="140">
        <v>8</v>
      </c>
      <c r="M1180" s="140">
        <v>8</v>
      </c>
      <c r="N1180" s="140">
        <v>8</v>
      </c>
      <c r="O1180" s="140">
        <v>8</v>
      </c>
      <c r="Q1180" s="89" t="s">
        <v>2926</v>
      </c>
      <c r="R1180" s="43" t="s">
        <v>2927</v>
      </c>
      <c r="V1180" s="43" t="s">
        <v>317</v>
      </c>
      <c r="X1180" s="43" t="s">
        <v>318</v>
      </c>
      <c r="Y1180" s="43" t="s">
        <v>361</v>
      </c>
      <c r="Z1180" s="43" t="s">
        <v>320</v>
      </c>
      <c r="AA1180" s="43" t="s">
        <v>353</v>
      </c>
      <c r="AB1180" s="144">
        <v>0</v>
      </c>
      <c r="AF1180" s="43" t="s">
        <v>75</v>
      </c>
      <c r="AG1180" s="43" t="s">
        <v>322</v>
      </c>
      <c r="AH1180" s="43" t="s">
        <v>3016</v>
      </c>
      <c r="AI1180" s="43">
        <v>17320038</v>
      </c>
      <c r="AJ1180" s="140">
        <v>0</v>
      </c>
      <c r="AK1180" s="140">
        <v>0</v>
      </c>
      <c r="AL1180" s="140">
        <v>0</v>
      </c>
      <c r="AM1180" s="140">
        <v>0</v>
      </c>
      <c r="AN1180" s="140">
        <v>0</v>
      </c>
      <c r="AO1180" s="140">
        <v>0</v>
      </c>
      <c r="AP1180" s="140">
        <v>0</v>
      </c>
      <c r="AQ1180" s="140">
        <v>0</v>
      </c>
      <c r="AR1180" s="140">
        <v>0</v>
      </c>
      <c r="AS1180" s="140">
        <v>0</v>
      </c>
      <c r="AT1180" s="140">
        <v>8</v>
      </c>
      <c r="AU1180" s="140">
        <v>0</v>
      </c>
      <c r="AV1180" s="140">
        <v>0</v>
      </c>
      <c r="AW1180" s="140">
        <v>0</v>
      </c>
      <c r="AX1180" s="140">
        <v>0</v>
      </c>
      <c r="AY1180" s="140">
        <v>0</v>
      </c>
      <c r="AZ1180" s="140">
        <v>0</v>
      </c>
      <c r="BA1180" s="140">
        <v>8</v>
      </c>
      <c r="BB1180" s="140">
        <v>0</v>
      </c>
      <c r="BC1180" s="140">
        <v>0</v>
      </c>
      <c r="BD1180" s="140">
        <v>0</v>
      </c>
      <c r="BE1180" s="140">
        <v>0</v>
      </c>
      <c r="BF1180" s="140">
        <v>0</v>
      </c>
      <c r="BG1180" s="140">
        <v>0</v>
      </c>
      <c r="BH1180" s="140">
        <v>0</v>
      </c>
      <c r="BI1180" s="140">
        <v>0</v>
      </c>
      <c r="BJ1180" s="140">
        <v>0</v>
      </c>
      <c r="BK1180" s="140">
        <v>0</v>
      </c>
      <c r="BL1180" s="140">
        <v>0</v>
      </c>
      <c r="BM1180" s="140">
        <v>0</v>
      </c>
      <c r="BN1180" s="140">
        <v>0</v>
      </c>
      <c r="BO1180" s="140">
        <v>0</v>
      </c>
      <c r="BP1180" s="43" t="s">
        <v>140</v>
      </c>
      <c r="BQ1180" s="89"/>
      <c r="BU1180" s="89"/>
      <c r="BV1180" s="43" t="s">
        <v>329</v>
      </c>
      <c r="BX1180" s="43">
        <v>20</v>
      </c>
      <c r="CI1180" s="90">
        <f t="shared" ref="CI1180:CS1180" si="172">$M1180/12</f>
        <v>0.66666666666666663</v>
      </c>
      <c r="CJ1180" s="90">
        <f t="shared" si="172"/>
        <v>0.66666666666666663</v>
      </c>
      <c r="CK1180" s="90">
        <f t="shared" si="172"/>
        <v>0.66666666666666663</v>
      </c>
      <c r="CL1180" s="90">
        <f t="shared" si="172"/>
        <v>0.66666666666666663</v>
      </c>
      <c r="CM1180" s="90">
        <f t="shared" si="172"/>
        <v>0.66666666666666663</v>
      </c>
      <c r="CN1180" s="90">
        <f t="shared" si="172"/>
        <v>0.66666666666666663</v>
      </c>
      <c r="CO1180" s="90">
        <f t="shared" si="172"/>
        <v>0.66666666666666663</v>
      </c>
      <c r="CP1180" s="90">
        <f t="shared" si="172"/>
        <v>0.66666666666666663</v>
      </c>
      <c r="CQ1180" s="90">
        <f t="shared" si="172"/>
        <v>0.66666666666666663</v>
      </c>
      <c r="CR1180" s="90">
        <f t="shared" si="172"/>
        <v>0.66666666666666663</v>
      </c>
      <c r="CS1180" s="90">
        <f t="shared" si="172"/>
        <v>0.66666666666666663</v>
      </c>
      <c r="CT1180" s="90">
        <f t="shared" si="163"/>
        <v>0</v>
      </c>
      <c r="CU1180" s="90">
        <f t="shared" si="164"/>
        <v>0.66666666666666663</v>
      </c>
    </row>
    <row r="1181" spans="1:99" ht="12" customHeight="1">
      <c r="A1181" s="43">
        <v>6902</v>
      </c>
      <c r="B1181" s="89" t="s">
        <v>2923</v>
      </c>
      <c r="C1181" s="89" t="s">
        <v>3017</v>
      </c>
      <c r="D1181" s="89" t="s">
        <v>3018</v>
      </c>
      <c r="F1181" s="43">
        <v>524118</v>
      </c>
      <c r="G1181" s="43">
        <v>175366</v>
      </c>
      <c r="H1181" s="89" t="s">
        <v>178</v>
      </c>
      <c r="K1181" s="140">
        <v>0</v>
      </c>
      <c r="L1181" s="140">
        <v>5</v>
      </c>
      <c r="M1181" s="140">
        <v>5</v>
      </c>
      <c r="N1181" s="140">
        <v>5</v>
      </c>
      <c r="O1181" s="140">
        <v>5</v>
      </c>
      <c r="Q1181" s="89" t="s">
        <v>2926</v>
      </c>
      <c r="R1181" s="43" t="s">
        <v>2927</v>
      </c>
      <c r="V1181" s="43" t="s">
        <v>317</v>
      </c>
      <c r="X1181" s="43" t="s">
        <v>318</v>
      </c>
      <c r="Y1181" s="43" t="s">
        <v>361</v>
      </c>
      <c r="Z1181" s="43" t="s">
        <v>320</v>
      </c>
      <c r="AA1181" s="43" t="s">
        <v>353</v>
      </c>
      <c r="AB1181" s="144">
        <v>0</v>
      </c>
      <c r="AF1181" s="43" t="s">
        <v>75</v>
      </c>
      <c r="AG1181" s="43" t="s">
        <v>322</v>
      </c>
      <c r="AH1181" s="43" t="s">
        <v>3019</v>
      </c>
      <c r="AI1181" s="43">
        <v>17320340</v>
      </c>
      <c r="AJ1181" s="140">
        <v>0</v>
      </c>
      <c r="AK1181" s="140">
        <v>0</v>
      </c>
      <c r="AL1181" s="140">
        <v>0</v>
      </c>
      <c r="AM1181" s="140">
        <v>0</v>
      </c>
      <c r="AN1181" s="140">
        <v>0</v>
      </c>
      <c r="AO1181" s="140">
        <v>0</v>
      </c>
      <c r="AP1181" s="140">
        <v>0</v>
      </c>
      <c r="AQ1181" s="140">
        <v>0</v>
      </c>
      <c r="AR1181" s="140">
        <v>0</v>
      </c>
      <c r="AS1181" s="140">
        <v>0</v>
      </c>
      <c r="AT1181" s="140">
        <v>5</v>
      </c>
      <c r="AU1181" s="140">
        <v>0</v>
      </c>
      <c r="AV1181" s="140">
        <v>0</v>
      </c>
      <c r="AW1181" s="140">
        <v>0</v>
      </c>
      <c r="AX1181" s="140">
        <v>0</v>
      </c>
      <c r="AY1181" s="140">
        <v>0</v>
      </c>
      <c r="AZ1181" s="140">
        <v>0</v>
      </c>
      <c r="BA1181" s="140">
        <v>5</v>
      </c>
      <c r="BB1181" s="140">
        <v>0</v>
      </c>
      <c r="BC1181" s="140">
        <v>0</v>
      </c>
      <c r="BD1181" s="140">
        <v>0</v>
      </c>
      <c r="BE1181" s="140">
        <v>0</v>
      </c>
      <c r="BF1181" s="140">
        <v>0</v>
      </c>
      <c r="BG1181" s="140">
        <v>0</v>
      </c>
      <c r="BH1181" s="140">
        <v>0</v>
      </c>
      <c r="BI1181" s="140">
        <v>0</v>
      </c>
      <c r="BJ1181" s="140">
        <v>0</v>
      </c>
      <c r="BK1181" s="140">
        <v>0</v>
      </c>
      <c r="BL1181" s="140">
        <v>0</v>
      </c>
      <c r="BM1181" s="140">
        <v>0</v>
      </c>
      <c r="BN1181" s="140">
        <v>0</v>
      </c>
      <c r="BO1181" s="140">
        <v>0</v>
      </c>
      <c r="BP1181" s="43" t="s">
        <v>140</v>
      </c>
      <c r="BQ1181" s="89"/>
      <c r="BU1181" s="89"/>
      <c r="BX1181" s="43">
        <v>20</v>
      </c>
      <c r="CE1181" s="90">
        <f t="shared" ref="CE1181:CS1181" si="173">$M1181/16</f>
        <v>0.3125</v>
      </c>
      <c r="CF1181" s="90">
        <f t="shared" si="173"/>
        <v>0.3125</v>
      </c>
      <c r="CG1181" s="90">
        <f t="shared" si="173"/>
        <v>0.3125</v>
      </c>
      <c r="CH1181" s="90">
        <f t="shared" si="173"/>
        <v>0.3125</v>
      </c>
      <c r="CI1181" s="90">
        <f t="shared" si="173"/>
        <v>0.3125</v>
      </c>
      <c r="CJ1181" s="90">
        <f t="shared" si="173"/>
        <v>0.3125</v>
      </c>
      <c r="CK1181" s="90">
        <f t="shared" si="173"/>
        <v>0.3125</v>
      </c>
      <c r="CL1181" s="90">
        <f t="shared" si="173"/>
        <v>0.3125</v>
      </c>
      <c r="CM1181" s="90">
        <f t="shared" si="173"/>
        <v>0.3125</v>
      </c>
      <c r="CN1181" s="90">
        <f t="shared" si="173"/>
        <v>0.3125</v>
      </c>
      <c r="CO1181" s="90">
        <f t="shared" si="173"/>
        <v>0.3125</v>
      </c>
      <c r="CP1181" s="90">
        <f t="shared" si="173"/>
        <v>0.3125</v>
      </c>
      <c r="CQ1181" s="90">
        <f t="shared" si="173"/>
        <v>0.3125</v>
      </c>
      <c r="CR1181" s="90">
        <f t="shared" si="173"/>
        <v>0.3125</v>
      </c>
      <c r="CS1181" s="90">
        <f t="shared" si="173"/>
        <v>0.3125</v>
      </c>
      <c r="CT1181" s="90">
        <f t="shared" si="163"/>
        <v>0</v>
      </c>
      <c r="CU1181" s="90">
        <f t="shared" si="164"/>
        <v>1.5625</v>
      </c>
    </row>
    <row r="1182" spans="1:99" ht="12" customHeight="1">
      <c r="A1182" s="43">
        <v>6904</v>
      </c>
      <c r="B1182" s="89" t="s">
        <v>2923</v>
      </c>
      <c r="C1182" s="89" t="s">
        <v>3020</v>
      </c>
      <c r="D1182" s="89" t="s">
        <v>3021</v>
      </c>
      <c r="F1182" s="43">
        <v>525354</v>
      </c>
      <c r="G1182" s="43">
        <v>174734</v>
      </c>
      <c r="H1182" s="89" t="s">
        <v>170</v>
      </c>
      <c r="K1182" s="140">
        <v>0</v>
      </c>
      <c r="L1182" s="140">
        <v>43</v>
      </c>
      <c r="M1182" s="140">
        <v>43</v>
      </c>
      <c r="N1182" s="140">
        <v>64</v>
      </c>
      <c r="O1182" s="140">
        <v>64</v>
      </c>
      <c r="P1182" s="43" t="s">
        <v>329</v>
      </c>
      <c r="Q1182" s="89" t="s">
        <v>2926</v>
      </c>
      <c r="R1182" s="43" t="s">
        <v>2927</v>
      </c>
      <c r="V1182" s="43" t="s">
        <v>317</v>
      </c>
      <c r="X1182" s="43" t="s">
        <v>318</v>
      </c>
      <c r="Y1182" s="43" t="s">
        <v>361</v>
      </c>
      <c r="Z1182" s="43" t="s">
        <v>361</v>
      </c>
      <c r="AA1182" s="43" t="s">
        <v>320</v>
      </c>
      <c r="AB1182" s="144">
        <v>0</v>
      </c>
      <c r="AF1182" s="43" t="s">
        <v>75</v>
      </c>
      <c r="AG1182" s="43" t="s">
        <v>322</v>
      </c>
      <c r="AI1182" s="43">
        <v>17320284</v>
      </c>
      <c r="AJ1182" s="140">
        <v>0</v>
      </c>
      <c r="AK1182" s="140">
        <v>0</v>
      </c>
      <c r="AL1182" s="140">
        <v>0</v>
      </c>
      <c r="AM1182" s="140">
        <v>0</v>
      </c>
      <c r="AN1182" s="140">
        <v>0</v>
      </c>
      <c r="AO1182" s="140">
        <v>0</v>
      </c>
      <c r="AP1182" s="140">
        <v>0</v>
      </c>
      <c r="AQ1182" s="140">
        <v>0</v>
      </c>
      <c r="AR1182" s="140">
        <v>0</v>
      </c>
      <c r="AS1182" s="140">
        <v>0</v>
      </c>
      <c r="AT1182" s="140">
        <v>43</v>
      </c>
      <c r="AU1182" s="140">
        <v>0</v>
      </c>
      <c r="AV1182" s="140">
        <v>0</v>
      </c>
      <c r="AW1182" s="140">
        <v>0</v>
      </c>
      <c r="AX1182" s="140">
        <v>0</v>
      </c>
      <c r="AY1182" s="140">
        <v>0</v>
      </c>
      <c r="AZ1182" s="140">
        <v>0</v>
      </c>
      <c r="BA1182" s="140">
        <v>43</v>
      </c>
      <c r="BB1182" s="140">
        <v>0</v>
      </c>
      <c r="BC1182" s="140">
        <v>0</v>
      </c>
      <c r="BD1182" s="140">
        <v>0</v>
      </c>
      <c r="BE1182" s="140">
        <v>0</v>
      </c>
      <c r="BF1182" s="140">
        <v>0</v>
      </c>
      <c r="BG1182" s="140">
        <v>0</v>
      </c>
      <c r="BH1182" s="140">
        <v>0</v>
      </c>
      <c r="BI1182" s="140">
        <v>0</v>
      </c>
      <c r="BJ1182" s="140">
        <v>0</v>
      </c>
      <c r="BK1182" s="140">
        <v>0</v>
      </c>
      <c r="BL1182" s="140">
        <v>0</v>
      </c>
      <c r="BM1182" s="140">
        <v>0</v>
      </c>
      <c r="BN1182" s="140">
        <v>0</v>
      </c>
      <c r="BO1182" s="140">
        <v>0</v>
      </c>
      <c r="BP1182" s="43" t="s">
        <v>142</v>
      </c>
      <c r="BQ1182" s="89"/>
      <c r="BR1182" s="43" t="s">
        <v>329</v>
      </c>
      <c r="BU1182" s="89"/>
      <c r="BX1182" s="43">
        <v>20</v>
      </c>
      <c r="CE1182" s="90">
        <f t="shared" ref="CE1182:CI1184" si="174">$M1182/5</f>
        <v>8.6</v>
      </c>
      <c r="CF1182" s="90">
        <f t="shared" si="174"/>
        <v>8.6</v>
      </c>
      <c r="CG1182" s="90">
        <f t="shared" si="174"/>
        <v>8.6</v>
      </c>
      <c r="CH1182" s="90">
        <f t="shared" si="174"/>
        <v>8.6</v>
      </c>
      <c r="CI1182" s="90">
        <f t="shared" si="174"/>
        <v>8.6</v>
      </c>
      <c r="CT1182" s="90">
        <f t="shared" si="163"/>
        <v>0</v>
      </c>
      <c r="CU1182" s="90">
        <f t="shared" si="164"/>
        <v>43</v>
      </c>
    </row>
    <row r="1183" spans="1:99" ht="12" customHeight="1">
      <c r="A1183" s="43">
        <v>6904</v>
      </c>
      <c r="B1183" s="89" t="s">
        <v>2923</v>
      </c>
      <c r="C1183" s="89" t="s">
        <v>3020</v>
      </c>
      <c r="D1183" s="89" t="s">
        <v>3021</v>
      </c>
      <c r="F1183" s="43">
        <v>525354</v>
      </c>
      <c r="G1183" s="43">
        <v>174734</v>
      </c>
      <c r="H1183" s="89" t="s">
        <v>170</v>
      </c>
      <c r="K1183" s="140">
        <v>0</v>
      </c>
      <c r="L1183" s="140">
        <v>13</v>
      </c>
      <c r="M1183" s="140">
        <v>13</v>
      </c>
      <c r="N1183" s="140">
        <v>64</v>
      </c>
      <c r="O1183" s="140">
        <v>64</v>
      </c>
      <c r="P1183" s="43" t="s">
        <v>329</v>
      </c>
      <c r="Q1183" s="89" t="s">
        <v>2926</v>
      </c>
      <c r="R1183" s="43" t="s">
        <v>2927</v>
      </c>
      <c r="V1183" s="43" t="s">
        <v>317</v>
      </c>
      <c r="X1183" s="43" t="s">
        <v>318</v>
      </c>
      <c r="Y1183" s="43" t="s">
        <v>361</v>
      </c>
      <c r="Z1183" s="43" t="s">
        <v>361</v>
      </c>
      <c r="AA1183" s="43" t="s">
        <v>320</v>
      </c>
      <c r="AB1183" s="144">
        <v>0</v>
      </c>
      <c r="AF1183" s="43" t="s">
        <v>55</v>
      </c>
      <c r="AG1183" s="43" t="s">
        <v>457</v>
      </c>
      <c r="AI1183" s="43">
        <v>17320284</v>
      </c>
      <c r="AJ1183" s="140">
        <v>0</v>
      </c>
      <c r="AK1183" s="140">
        <v>0</v>
      </c>
      <c r="AL1183" s="140">
        <v>0</v>
      </c>
      <c r="AM1183" s="140">
        <v>0</v>
      </c>
      <c r="AN1183" s="140">
        <v>0</v>
      </c>
      <c r="AO1183" s="140">
        <v>0</v>
      </c>
      <c r="AP1183" s="140">
        <v>0</v>
      </c>
      <c r="AQ1183" s="140">
        <v>0</v>
      </c>
      <c r="AR1183" s="140">
        <v>0</v>
      </c>
      <c r="AS1183" s="140">
        <v>0</v>
      </c>
      <c r="AT1183" s="140">
        <v>13</v>
      </c>
      <c r="AU1183" s="140">
        <v>0</v>
      </c>
      <c r="AV1183" s="140">
        <v>0</v>
      </c>
      <c r="AW1183" s="140">
        <v>0</v>
      </c>
      <c r="AX1183" s="140">
        <v>0</v>
      </c>
      <c r="AY1183" s="140">
        <v>0</v>
      </c>
      <c r="AZ1183" s="140">
        <v>0</v>
      </c>
      <c r="BA1183" s="140">
        <v>13</v>
      </c>
      <c r="BB1183" s="140">
        <v>0</v>
      </c>
      <c r="BC1183" s="140">
        <v>0</v>
      </c>
      <c r="BD1183" s="140">
        <v>0</v>
      </c>
      <c r="BE1183" s="140">
        <v>0</v>
      </c>
      <c r="BF1183" s="140">
        <v>0</v>
      </c>
      <c r="BG1183" s="140">
        <v>0</v>
      </c>
      <c r="BH1183" s="140">
        <v>0</v>
      </c>
      <c r="BI1183" s="140">
        <v>0</v>
      </c>
      <c r="BJ1183" s="140">
        <v>0</v>
      </c>
      <c r="BK1183" s="140">
        <v>0</v>
      </c>
      <c r="BL1183" s="140">
        <v>0</v>
      </c>
      <c r="BM1183" s="140">
        <v>0</v>
      </c>
      <c r="BN1183" s="140">
        <v>0</v>
      </c>
      <c r="BO1183" s="140">
        <v>0</v>
      </c>
      <c r="BP1183" s="43" t="s">
        <v>142</v>
      </c>
      <c r="BQ1183" s="89"/>
      <c r="BR1183" s="43" t="s">
        <v>329</v>
      </c>
      <c r="BU1183" s="89"/>
      <c r="BX1183" s="43">
        <v>20</v>
      </c>
      <c r="CE1183" s="90">
        <f t="shared" si="174"/>
        <v>2.6</v>
      </c>
      <c r="CF1183" s="90">
        <f t="shared" si="174"/>
        <v>2.6</v>
      </c>
      <c r="CG1183" s="90">
        <f t="shared" si="174"/>
        <v>2.6</v>
      </c>
      <c r="CH1183" s="90">
        <f t="shared" si="174"/>
        <v>2.6</v>
      </c>
      <c r="CI1183" s="90">
        <f t="shared" si="174"/>
        <v>2.6</v>
      </c>
      <c r="CT1183" s="90">
        <f t="shared" si="163"/>
        <v>0</v>
      </c>
      <c r="CU1183" s="90">
        <f t="shared" si="164"/>
        <v>13</v>
      </c>
    </row>
    <row r="1184" spans="1:99" ht="12" customHeight="1">
      <c r="A1184" s="43">
        <v>6904</v>
      </c>
      <c r="B1184" s="89" t="s">
        <v>2923</v>
      </c>
      <c r="C1184" s="89" t="s">
        <v>3020</v>
      </c>
      <c r="D1184" s="89" t="s">
        <v>3021</v>
      </c>
      <c r="F1184" s="43">
        <v>525354</v>
      </c>
      <c r="G1184" s="43">
        <v>174734</v>
      </c>
      <c r="H1184" s="89" t="s">
        <v>170</v>
      </c>
      <c r="K1184" s="140">
        <v>0</v>
      </c>
      <c r="L1184" s="140">
        <v>8</v>
      </c>
      <c r="M1184" s="140">
        <v>8</v>
      </c>
      <c r="N1184" s="140">
        <v>64</v>
      </c>
      <c r="O1184" s="140">
        <v>64</v>
      </c>
      <c r="P1184" s="43" t="s">
        <v>329</v>
      </c>
      <c r="Q1184" s="89" t="s">
        <v>2926</v>
      </c>
      <c r="R1184" s="43" t="s">
        <v>2927</v>
      </c>
      <c r="V1184" s="43" t="s">
        <v>317</v>
      </c>
      <c r="X1184" s="43" t="s">
        <v>318</v>
      </c>
      <c r="Y1184" s="43" t="s">
        <v>361</v>
      </c>
      <c r="Z1184" s="43" t="s">
        <v>320</v>
      </c>
      <c r="AA1184" s="43" t="s">
        <v>353</v>
      </c>
      <c r="AB1184" s="144">
        <v>0</v>
      </c>
      <c r="AF1184" s="43" t="s">
        <v>54</v>
      </c>
      <c r="AG1184" s="43" t="s">
        <v>399</v>
      </c>
      <c r="AI1184" s="43">
        <v>17320284</v>
      </c>
      <c r="AJ1184" s="140">
        <v>0</v>
      </c>
      <c r="AK1184" s="140">
        <v>0</v>
      </c>
      <c r="AL1184" s="140">
        <v>0</v>
      </c>
      <c r="AM1184" s="140">
        <v>0</v>
      </c>
      <c r="AN1184" s="140">
        <v>0</v>
      </c>
      <c r="AO1184" s="140">
        <v>0</v>
      </c>
      <c r="AP1184" s="140">
        <v>0</v>
      </c>
      <c r="AQ1184" s="140">
        <v>0</v>
      </c>
      <c r="AR1184" s="140">
        <v>0</v>
      </c>
      <c r="AS1184" s="140">
        <v>0</v>
      </c>
      <c r="AT1184" s="140">
        <v>8</v>
      </c>
      <c r="AU1184" s="140">
        <v>0</v>
      </c>
      <c r="AV1184" s="140">
        <v>0</v>
      </c>
      <c r="AW1184" s="140">
        <v>0</v>
      </c>
      <c r="AX1184" s="140">
        <v>0</v>
      </c>
      <c r="AY1184" s="140">
        <v>0</v>
      </c>
      <c r="AZ1184" s="140">
        <v>0</v>
      </c>
      <c r="BA1184" s="140">
        <v>8</v>
      </c>
      <c r="BB1184" s="140">
        <v>0</v>
      </c>
      <c r="BC1184" s="140">
        <v>0</v>
      </c>
      <c r="BD1184" s="140">
        <v>0</v>
      </c>
      <c r="BE1184" s="140">
        <v>0</v>
      </c>
      <c r="BF1184" s="140">
        <v>0</v>
      </c>
      <c r="BG1184" s="140">
        <v>0</v>
      </c>
      <c r="BH1184" s="140">
        <v>0</v>
      </c>
      <c r="BI1184" s="140">
        <v>0</v>
      </c>
      <c r="BJ1184" s="140">
        <v>0</v>
      </c>
      <c r="BK1184" s="140">
        <v>0</v>
      </c>
      <c r="BL1184" s="140">
        <v>0</v>
      </c>
      <c r="BM1184" s="140">
        <v>0</v>
      </c>
      <c r="BN1184" s="140">
        <v>0</v>
      </c>
      <c r="BO1184" s="140">
        <v>0</v>
      </c>
      <c r="BP1184" s="43" t="s">
        <v>142</v>
      </c>
      <c r="BQ1184" s="89"/>
      <c r="BR1184" s="43" t="s">
        <v>329</v>
      </c>
      <c r="BU1184" s="89"/>
      <c r="BX1184" s="43">
        <v>20</v>
      </c>
      <c r="CE1184" s="90">
        <f t="shared" si="174"/>
        <v>1.6</v>
      </c>
      <c r="CF1184" s="90">
        <f t="shared" si="174"/>
        <v>1.6</v>
      </c>
      <c r="CG1184" s="90">
        <f t="shared" si="174"/>
        <v>1.6</v>
      </c>
      <c r="CH1184" s="90">
        <f t="shared" si="174"/>
        <v>1.6</v>
      </c>
      <c r="CI1184" s="90">
        <f t="shared" si="174"/>
        <v>1.6</v>
      </c>
      <c r="CT1184" s="90">
        <f t="shared" si="163"/>
        <v>0</v>
      </c>
      <c r="CU1184" s="90">
        <f t="shared" si="164"/>
        <v>8</v>
      </c>
    </row>
    <row r="1185" spans="1:99" ht="12" customHeight="1">
      <c r="A1185" s="43">
        <v>6905</v>
      </c>
      <c r="B1185" s="89" t="s">
        <v>2923</v>
      </c>
      <c r="C1185" s="89" t="s">
        <v>3022</v>
      </c>
      <c r="D1185" s="89" t="s">
        <v>3023</v>
      </c>
      <c r="F1185" s="43">
        <v>525428</v>
      </c>
      <c r="G1185" s="43">
        <v>174978</v>
      </c>
      <c r="H1185" s="89" t="s">
        <v>170</v>
      </c>
      <c r="K1185" s="140">
        <v>0</v>
      </c>
      <c r="L1185" s="140">
        <v>169</v>
      </c>
      <c r="M1185" s="140">
        <v>169</v>
      </c>
      <c r="N1185" s="140">
        <v>252</v>
      </c>
      <c r="O1185" s="140">
        <v>252</v>
      </c>
      <c r="P1185" s="43" t="s">
        <v>329</v>
      </c>
      <c r="Q1185" s="89" t="s">
        <v>2926</v>
      </c>
      <c r="R1185" s="43" t="s">
        <v>2927</v>
      </c>
      <c r="V1185" s="43" t="s">
        <v>317</v>
      </c>
      <c r="X1185" s="43" t="s">
        <v>318</v>
      </c>
      <c r="Y1185" s="43" t="s">
        <v>361</v>
      </c>
      <c r="Z1185" s="43" t="s">
        <v>361</v>
      </c>
      <c r="AA1185" s="43" t="s">
        <v>320</v>
      </c>
      <c r="AB1185" s="144">
        <v>0</v>
      </c>
      <c r="AF1185" s="43" t="s">
        <v>75</v>
      </c>
      <c r="AG1185" s="43" t="s">
        <v>322</v>
      </c>
      <c r="AI1185" s="43">
        <v>17320057</v>
      </c>
      <c r="AJ1185" s="140">
        <v>0</v>
      </c>
      <c r="AK1185" s="140">
        <v>0</v>
      </c>
      <c r="AL1185" s="140">
        <v>0</v>
      </c>
      <c r="AM1185" s="140">
        <v>0</v>
      </c>
      <c r="AN1185" s="140">
        <v>0</v>
      </c>
      <c r="AO1185" s="140">
        <v>0</v>
      </c>
      <c r="AP1185" s="140">
        <v>0</v>
      </c>
      <c r="AQ1185" s="140">
        <v>0</v>
      </c>
      <c r="AR1185" s="140">
        <v>0</v>
      </c>
      <c r="AS1185" s="140">
        <v>0</v>
      </c>
      <c r="AT1185" s="140">
        <v>169</v>
      </c>
      <c r="AU1185" s="140">
        <v>0</v>
      </c>
      <c r="AV1185" s="140">
        <v>0</v>
      </c>
      <c r="AW1185" s="140">
        <v>0</v>
      </c>
      <c r="AX1185" s="140">
        <v>0</v>
      </c>
      <c r="AY1185" s="140">
        <v>0</v>
      </c>
      <c r="AZ1185" s="140">
        <v>0</v>
      </c>
      <c r="BA1185" s="140">
        <v>169</v>
      </c>
      <c r="BB1185" s="140">
        <v>0</v>
      </c>
      <c r="BC1185" s="140">
        <v>0</v>
      </c>
      <c r="BD1185" s="140">
        <v>0</v>
      </c>
      <c r="BE1185" s="140">
        <v>0</v>
      </c>
      <c r="BF1185" s="140">
        <v>0</v>
      </c>
      <c r="BG1185" s="140">
        <v>0</v>
      </c>
      <c r="BH1185" s="140">
        <v>0</v>
      </c>
      <c r="BI1185" s="140">
        <v>0</v>
      </c>
      <c r="BJ1185" s="140">
        <v>0</v>
      </c>
      <c r="BK1185" s="140">
        <v>0</v>
      </c>
      <c r="BL1185" s="140">
        <v>0</v>
      </c>
      <c r="BM1185" s="140">
        <v>0</v>
      </c>
      <c r="BN1185" s="140">
        <v>0</v>
      </c>
      <c r="BO1185" s="140">
        <v>0</v>
      </c>
      <c r="BQ1185" s="89"/>
      <c r="BR1185" s="43" t="s">
        <v>329</v>
      </c>
      <c r="BU1185" s="89"/>
      <c r="BX1185" s="43">
        <v>20</v>
      </c>
      <c r="CE1185" s="90">
        <f t="shared" ref="CE1185:CN1193" si="175">$M1185/10</f>
        <v>16.899999999999999</v>
      </c>
      <c r="CF1185" s="90">
        <f t="shared" si="175"/>
        <v>16.899999999999999</v>
      </c>
      <c r="CG1185" s="90">
        <f t="shared" si="175"/>
        <v>16.899999999999999</v>
      </c>
      <c r="CH1185" s="90">
        <f t="shared" si="175"/>
        <v>16.899999999999999</v>
      </c>
      <c r="CI1185" s="90">
        <f t="shared" si="175"/>
        <v>16.899999999999999</v>
      </c>
      <c r="CJ1185" s="90">
        <f t="shared" si="175"/>
        <v>16.899999999999999</v>
      </c>
      <c r="CK1185" s="90">
        <f t="shared" si="175"/>
        <v>16.899999999999999</v>
      </c>
      <c r="CL1185" s="90">
        <f t="shared" si="175"/>
        <v>16.899999999999999</v>
      </c>
      <c r="CM1185" s="90">
        <f t="shared" si="175"/>
        <v>16.899999999999999</v>
      </c>
      <c r="CN1185" s="90">
        <f t="shared" si="175"/>
        <v>16.899999999999999</v>
      </c>
      <c r="CT1185" s="90">
        <f t="shared" si="163"/>
        <v>0</v>
      </c>
      <c r="CU1185" s="90">
        <f t="shared" si="164"/>
        <v>84.5</v>
      </c>
    </row>
    <row r="1186" spans="1:99" ht="12" customHeight="1">
      <c r="A1186" s="43">
        <v>6905</v>
      </c>
      <c r="B1186" s="89" t="s">
        <v>2923</v>
      </c>
      <c r="C1186" s="89" t="s">
        <v>3022</v>
      </c>
      <c r="D1186" s="89" t="s">
        <v>3023</v>
      </c>
      <c r="F1186" s="43">
        <v>525428</v>
      </c>
      <c r="G1186" s="43">
        <v>174978</v>
      </c>
      <c r="H1186" s="89" t="s">
        <v>170</v>
      </c>
      <c r="K1186" s="140">
        <v>0</v>
      </c>
      <c r="L1186" s="140">
        <v>50</v>
      </c>
      <c r="M1186" s="140">
        <v>50</v>
      </c>
      <c r="N1186" s="140">
        <v>252</v>
      </c>
      <c r="O1186" s="140">
        <v>252</v>
      </c>
      <c r="P1186" s="43" t="s">
        <v>329</v>
      </c>
      <c r="Q1186" s="89" t="s">
        <v>2926</v>
      </c>
      <c r="R1186" s="43" t="s">
        <v>2927</v>
      </c>
      <c r="V1186" s="43" t="s">
        <v>317</v>
      </c>
      <c r="X1186" s="43" t="s">
        <v>318</v>
      </c>
      <c r="Y1186" s="43" t="s">
        <v>361</v>
      </c>
      <c r="Z1186" s="43" t="s">
        <v>361</v>
      </c>
      <c r="AA1186" s="43" t="s">
        <v>320</v>
      </c>
      <c r="AB1186" s="144">
        <v>0</v>
      </c>
      <c r="AF1186" s="43" t="s">
        <v>55</v>
      </c>
      <c r="AG1186" s="43" t="s">
        <v>457</v>
      </c>
      <c r="AI1186" s="43">
        <v>17320057</v>
      </c>
      <c r="AJ1186" s="140">
        <v>0</v>
      </c>
      <c r="AK1186" s="140">
        <v>0</v>
      </c>
      <c r="AL1186" s="140">
        <v>0</v>
      </c>
      <c r="AM1186" s="140">
        <v>0</v>
      </c>
      <c r="AN1186" s="140">
        <v>0</v>
      </c>
      <c r="AO1186" s="140">
        <v>0</v>
      </c>
      <c r="AP1186" s="140">
        <v>0</v>
      </c>
      <c r="AQ1186" s="140">
        <v>0</v>
      </c>
      <c r="AR1186" s="140">
        <v>0</v>
      </c>
      <c r="AS1186" s="140">
        <v>0</v>
      </c>
      <c r="AT1186" s="140">
        <v>50</v>
      </c>
      <c r="AU1186" s="140">
        <v>0</v>
      </c>
      <c r="AV1186" s="140">
        <v>0</v>
      </c>
      <c r="AW1186" s="140">
        <v>0</v>
      </c>
      <c r="AX1186" s="140">
        <v>0</v>
      </c>
      <c r="AY1186" s="140">
        <v>0</v>
      </c>
      <c r="AZ1186" s="140">
        <v>0</v>
      </c>
      <c r="BA1186" s="140">
        <v>50</v>
      </c>
      <c r="BB1186" s="140">
        <v>0</v>
      </c>
      <c r="BC1186" s="140">
        <v>0</v>
      </c>
      <c r="BD1186" s="140">
        <v>0</v>
      </c>
      <c r="BE1186" s="140">
        <v>0</v>
      </c>
      <c r="BF1186" s="140">
        <v>0</v>
      </c>
      <c r="BG1186" s="140">
        <v>0</v>
      </c>
      <c r="BH1186" s="140">
        <v>0</v>
      </c>
      <c r="BI1186" s="140">
        <v>0</v>
      </c>
      <c r="BJ1186" s="140">
        <v>0</v>
      </c>
      <c r="BK1186" s="140">
        <v>0</v>
      </c>
      <c r="BL1186" s="140">
        <v>0</v>
      </c>
      <c r="BM1186" s="140">
        <v>0</v>
      </c>
      <c r="BN1186" s="140">
        <v>0</v>
      </c>
      <c r="BO1186" s="140">
        <v>0</v>
      </c>
      <c r="BQ1186" s="89"/>
      <c r="BR1186" s="43" t="s">
        <v>329</v>
      </c>
      <c r="BU1186" s="89"/>
      <c r="BX1186" s="43">
        <v>20</v>
      </c>
      <c r="CE1186" s="90">
        <f t="shared" si="175"/>
        <v>5</v>
      </c>
      <c r="CF1186" s="90">
        <f t="shared" si="175"/>
        <v>5</v>
      </c>
      <c r="CG1186" s="90">
        <f t="shared" si="175"/>
        <v>5</v>
      </c>
      <c r="CH1186" s="90">
        <f t="shared" si="175"/>
        <v>5</v>
      </c>
      <c r="CI1186" s="90">
        <f t="shared" si="175"/>
        <v>5</v>
      </c>
      <c r="CJ1186" s="90">
        <f t="shared" si="175"/>
        <v>5</v>
      </c>
      <c r="CK1186" s="90">
        <f t="shared" si="175"/>
        <v>5</v>
      </c>
      <c r="CL1186" s="90">
        <f t="shared" si="175"/>
        <v>5</v>
      </c>
      <c r="CM1186" s="90">
        <f t="shared" si="175"/>
        <v>5</v>
      </c>
      <c r="CN1186" s="90">
        <f t="shared" si="175"/>
        <v>5</v>
      </c>
      <c r="CT1186" s="90">
        <f t="shared" si="163"/>
        <v>0</v>
      </c>
      <c r="CU1186" s="90">
        <f t="shared" si="164"/>
        <v>25</v>
      </c>
    </row>
    <row r="1187" spans="1:99" ht="12" customHeight="1">
      <c r="A1187" s="43">
        <v>6905</v>
      </c>
      <c r="B1187" s="89" t="s">
        <v>2923</v>
      </c>
      <c r="C1187" s="89" t="s">
        <v>3022</v>
      </c>
      <c r="D1187" s="89" t="s">
        <v>3023</v>
      </c>
      <c r="F1187" s="43">
        <v>525428</v>
      </c>
      <c r="G1187" s="43">
        <v>174978</v>
      </c>
      <c r="H1187" s="89" t="s">
        <v>170</v>
      </c>
      <c r="K1187" s="140">
        <v>0</v>
      </c>
      <c r="L1187" s="140">
        <v>33</v>
      </c>
      <c r="M1187" s="140">
        <v>33</v>
      </c>
      <c r="N1187" s="140">
        <v>252</v>
      </c>
      <c r="O1187" s="140">
        <v>252</v>
      </c>
      <c r="P1187" s="43" t="s">
        <v>329</v>
      </c>
      <c r="Q1187" s="89" t="s">
        <v>2926</v>
      </c>
      <c r="R1187" s="43" t="s">
        <v>2927</v>
      </c>
      <c r="V1187" s="43" t="s">
        <v>317</v>
      </c>
      <c r="X1187" s="43" t="s">
        <v>318</v>
      </c>
      <c r="Y1187" s="43" t="s">
        <v>361</v>
      </c>
      <c r="Z1187" s="43" t="s">
        <v>361</v>
      </c>
      <c r="AA1187" s="43" t="s">
        <v>320</v>
      </c>
      <c r="AB1187" s="144">
        <v>0</v>
      </c>
      <c r="AF1187" s="43" t="s">
        <v>54</v>
      </c>
      <c r="AG1187" s="43" t="s">
        <v>399</v>
      </c>
      <c r="AI1187" s="43">
        <v>17320057</v>
      </c>
      <c r="AJ1187" s="140">
        <v>0</v>
      </c>
      <c r="AK1187" s="140">
        <v>0</v>
      </c>
      <c r="AL1187" s="140">
        <v>0</v>
      </c>
      <c r="AM1187" s="140">
        <v>0</v>
      </c>
      <c r="AN1187" s="140">
        <v>0</v>
      </c>
      <c r="AO1187" s="140">
        <v>0</v>
      </c>
      <c r="AP1187" s="140">
        <v>0</v>
      </c>
      <c r="AQ1187" s="140">
        <v>0</v>
      </c>
      <c r="AR1187" s="140">
        <v>0</v>
      </c>
      <c r="AS1187" s="140">
        <v>0</v>
      </c>
      <c r="AT1187" s="140">
        <v>33</v>
      </c>
      <c r="AU1187" s="140">
        <v>0</v>
      </c>
      <c r="AV1187" s="140">
        <v>0</v>
      </c>
      <c r="AW1187" s="140">
        <v>0</v>
      </c>
      <c r="AX1187" s="140">
        <v>0</v>
      </c>
      <c r="AY1187" s="140">
        <v>0</v>
      </c>
      <c r="AZ1187" s="140">
        <v>0</v>
      </c>
      <c r="BA1187" s="140">
        <v>33</v>
      </c>
      <c r="BB1187" s="140">
        <v>0</v>
      </c>
      <c r="BC1187" s="140">
        <v>0</v>
      </c>
      <c r="BD1187" s="140">
        <v>0</v>
      </c>
      <c r="BE1187" s="140">
        <v>0</v>
      </c>
      <c r="BF1187" s="140">
        <v>0</v>
      </c>
      <c r="BG1187" s="140">
        <v>0</v>
      </c>
      <c r="BH1187" s="140">
        <v>0</v>
      </c>
      <c r="BI1187" s="140">
        <v>0</v>
      </c>
      <c r="BJ1187" s="140">
        <v>0</v>
      </c>
      <c r="BK1187" s="140">
        <v>0</v>
      </c>
      <c r="BL1187" s="140">
        <v>0</v>
      </c>
      <c r="BM1187" s="140">
        <v>0</v>
      </c>
      <c r="BN1187" s="140">
        <v>0</v>
      </c>
      <c r="BO1187" s="140">
        <v>0</v>
      </c>
      <c r="BQ1187" s="89"/>
      <c r="BR1187" s="43" t="s">
        <v>329</v>
      </c>
      <c r="BU1187" s="89"/>
      <c r="BX1187" s="43">
        <v>20</v>
      </c>
      <c r="CE1187" s="90">
        <f t="shared" si="175"/>
        <v>3.3</v>
      </c>
      <c r="CF1187" s="90">
        <f t="shared" si="175"/>
        <v>3.3</v>
      </c>
      <c r="CG1187" s="90">
        <f t="shared" si="175"/>
        <v>3.3</v>
      </c>
      <c r="CH1187" s="90">
        <f t="shared" si="175"/>
        <v>3.3</v>
      </c>
      <c r="CI1187" s="90">
        <f t="shared" si="175"/>
        <v>3.3</v>
      </c>
      <c r="CJ1187" s="90">
        <f t="shared" si="175"/>
        <v>3.3</v>
      </c>
      <c r="CK1187" s="90">
        <f t="shared" si="175"/>
        <v>3.3</v>
      </c>
      <c r="CL1187" s="90">
        <f t="shared" si="175"/>
        <v>3.3</v>
      </c>
      <c r="CM1187" s="90">
        <f t="shared" si="175"/>
        <v>3.3</v>
      </c>
      <c r="CN1187" s="90">
        <f t="shared" si="175"/>
        <v>3.3</v>
      </c>
      <c r="CT1187" s="90">
        <f t="shared" si="163"/>
        <v>0</v>
      </c>
      <c r="CU1187" s="90">
        <f t="shared" si="164"/>
        <v>16.5</v>
      </c>
    </row>
    <row r="1188" spans="1:99" ht="12" customHeight="1">
      <c r="A1188" s="43">
        <v>6906</v>
      </c>
      <c r="B1188" s="89" t="s">
        <v>2923</v>
      </c>
      <c r="C1188" s="89" t="s">
        <v>3024</v>
      </c>
      <c r="D1188" s="89" t="s">
        <v>3025</v>
      </c>
      <c r="F1188" s="43">
        <v>525504</v>
      </c>
      <c r="G1188" s="43">
        <v>174901</v>
      </c>
      <c r="H1188" s="89" t="s">
        <v>170</v>
      </c>
      <c r="K1188" s="140">
        <v>0</v>
      </c>
      <c r="L1188" s="140">
        <v>7</v>
      </c>
      <c r="M1188" s="140">
        <v>7</v>
      </c>
      <c r="N1188" s="140">
        <v>10</v>
      </c>
      <c r="O1188" s="140">
        <v>10</v>
      </c>
      <c r="P1188" s="43" t="s">
        <v>329</v>
      </c>
      <c r="Q1188" s="89" t="s">
        <v>2926</v>
      </c>
      <c r="R1188" s="43" t="s">
        <v>2927</v>
      </c>
      <c r="V1188" s="43" t="s">
        <v>317</v>
      </c>
      <c r="X1188" s="43" t="s">
        <v>318</v>
      </c>
      <c r="Y1188" s="43" t="s">
        <v>361</v>
      </c>
      <c r="Z1188" s="43" t="s">
        <v>320</v>
      </c>
      <c r="AA1188" s="43" t="s">
        <v>353</v>
      </c>
      <c r="AB1188" s="144">
        <v>0</v>
      </c>
      <c r="AF1188" s="43" t="s">
        <v>75</v>
      </c>
      <c r="AG1188" s="43" t="s">
        <v>322</v>
      </c>
      <c r="AI1188" s="43">
        <v>17320063</v>
      </c>
      <c r="AJ1188" s="140">
        <v>0</v>
      </c>
      <c r="AK1188" s="140">
        <v>0</v>
      </c>
      <c r="AL1188" s="140">
        <v>0</v>
      </c>
      <c r="AM1188" s="140">
        <v>0</v>
      </c>
      <c r="AN1188" s="140">
        <v>0</v>
      </c>
      <c r="AO1188" s="140">
        <v>0</v>
      </c>
      <c r="AP1188" s="140">
        <v>0</v>
      </c>
      <c r="AQ1188" s="140">
        <v>0</v>
      </c>
      <c r="AR1188" s="140">
        <v>0</v>
      </c>
      <c r="AS1188" s="140">
        <v>0</v>
      </c>
      <c r="AT1188" s="140">
        <v>7</v>
      </c>
      <c r="AU1188" s="140">
        <v>0</v>
      </c>
      <c r="AV1188" s="140">
        <v>0</v>
      </c>
      <c r="AW1188" s="140">
        <v>0</v>
      </c>
      <c r="AX1188" s="140">
        <v>0</v>
      </c>
      <c r="AY1188" s="140">
        <v>0</v>
      </c>
      <c r="AZ1188" s="140">
        <v>0</v>
      </c>
      <c r="BA1188" s="140">
        <v>7</v>
      </c>
      <c r="BB1188" s="140">
        <v>0</v>
      </c>
      <c r="BC1188" s="140">
        <v>0</v>
      </c>
      <c r="BD1188" s="140">
        <v>0</v>
      </c>
      <c r="BE1188" s="140">
        <v>0</v>
      </c>
      <c r="BF1188" s="140">
        <v>0</v>
      </c>
      <c r="BG1188" s="140">
        <v>0</v>
      </c>
      <c r="BH1188" s="140">
        <v>0</v>
      </c>
      <c r="BI1188" s="140">
        <v>0</v>
      </c>
      <c r="BJ1188" s="140">
        <v>0</v>
      </c>
      <c r="BK1188" s="140">
        <v>0</v>
      </c>
      <c r="BL1188" s="140">
        <v>0</v>
      </c>
      <c r="BM1188" s="140">
        <v>0</v>
      </c>
      <c r="BN1188" s="140">
        <v>0</v>
      </c>
      <c r="BO1188" s="140">
        <v>0</v>
      </c>
      <c r="BQ1188" s="89"/>
      <c r="BR1188" s="43" t="s">
        <v>329</v>
      </c>
      <c r="BU1188" s="89"/>
      <c r="BX1188" s="43">
        <v>20</v>
      </c>
      <c r="CE1188" s="90">
        <f t="shared" si="175"/>
        <v>0.7</v>
      </c>
      <c r="CF1188" s="90">
        <f t="shared" si="175"/>
        <v>0.7</v>
      </c>
      <c r="CG1188" s="90">
        <f t="shared" si="175"/>
        <v>0.7</v>
      </c>
      <c r="CH1188" s="90">
        <f t="shared" si="175"/>
        <v>0.7</v>
      </c>
      <c r="CI1188" s="90">
        <f t="shared" si="175"/>
        <v>0.7</v>
      </c>
      <c r="CJ1188" s="90">
        <f t="shared" si="175"/>
        <v>0.7</v>
      </c>
      <c r="CK1188" s="90">
        <f t="shared" si="175"/>
        <v>0.7</v>
      </c>
      <c r="CL1188" s="90">
        <f t="shared" si="175"/>
        <v>0.7</v>
      </c>
      <c r="CM1188" s="90">
        <f t="shared" si="175"/>
        <v>0.7</v>
      </c>
      <c r="CN1188" s="90">
        <f t="shared" si="175"/>
        <v>0.7</v>
      </c>
      <c r="CT1188" s="90">
        <f t="shared" si="163"/>
        <v>0</v>
      </c>
      <c r="CU1188" s="90">
        <f t="shared" si="164"/>
        <v>3.5</v>
      </c>
    </row>
    <row r="1189" spans="1:99" ht="12" customHeight="1">
      <c r="A1189" s="43">
        <v>6906</v>
      </c>
      <c r="B1189" s="89" t="s">
        <v>2923</v>
      </c>
      <c r="C1189" s="89" t="s">
        <v>3024</v>
      </c>
      <c r="D1189" s="89" t="s">
        <v>3025</v>
      </c>
      <c r="F1189" s="43">
        <v>525504</v>
      </c>
      <c r="G1189" s="43">
        <v>174901</v>
      </c>
      <c r="H1189" s="89" t="s">
        <v>170</v>
      </c>
      <c r="K1189" s="140">
        <v>0</v>
      </c>
      <c r="L1189" s="140">
        <v>2</v>
      </c>
      <c r="M1189" s="140">
        <v>2</v>
      </c>
      <c r="N1189" s="140">
        <v>10</v>
      </c>
      <c r="O1189" s="140">
        <v>10</v>
      </c>
      <c r="P1189" s="43" t="s">
        <v>329</v>
      </c>
      <c r="Q1189" s="89" t="s">
        <v>2926</v>
      </c>
      <c r="R1189" s="43" t="s">
        <v>2927</v>
      </c>
      <c r="V1189" s="43" t="s">
        <v>317</v>
      </c>
      <c r="X1189" s="43" t="s">
        <v>318</v>
      </c>
      <c r="Y1189" s="43" t="s">
        <v>361</v>
      </c>
      <c r="Z1189" s="43" t="s">
        <v>320</v>
      </c>
      <c r="AA1189" s="43" t="s">
        <v>353</v>
      </c>
      <c r="AB1189" s="144">
        <v>0</v>
      </c>
      <c r="AF1189" s="43" t="s">
        <v>55</v>
      </c>
      <c r="AG1189" s="43" t="s">
        <v>457</v>
      </c>
      <c r="AI1189" s="43">
        <v>17320063</v>
      </c>
      <c r="AJ1189" s="140">
        <v>0</v>
      </c>
      <c r="AK1189" s="140">
        <v>0</v>
      </c>
      <c r="AL1189" s="140">
        <v>0</v>
      </c>
      <c r="AM1189" s="140">
        <v>0</v>
      </c>
      <c r="AN1189" s="140">
        <v>0</v>
      </c>
      <c r="AO1189" s="140">
        <v>0</v>
      </c>
      <c r="AP1189" s="140">
        <v>0</v>
      </c>
      <c r="AQ1189" s="140">
        <v>0</v>
      </c>
      <c r="AR1189" s="140">
        <v>0</v>
      </c>
      <c r="AS1189" s="140">
        <v>0</v>
      </c>
      <c r="AT1189" s="140">
        <v>2</v>
      </c>
      <c r="AU1189" s="140">
        <v>0</v>
      </c>
      <c r="AV1189" s="140">
        <v>0</v>
      </c>
      <c r="AW1189" s="140">
        <v>0</v>
      </c>
      <c r="AX1189" s="140">
        <v>0</v>
      </c>
      <c r="AY1189" s="140">
        <v>0</v>
      </c>
      <c r="AZ1189" s="140">
        <v>0</v>
      </c>
      <c r="BA1189" s="140">
        <v>2</v>
      </c>
      <c r="BB1189" s="140">
        <v>0</v>
      </c>
      <c r="BC1189" s="140">
        <v>0</v>
      </c>
      <c r="BD1189" s="140">
        <v>0</v>
      </c>
      <c r="BE1189" s="140">
        <v>0</v>
      </c>
      <c r="BF1189" s="140">
        <v>0</v>
      </c>
      <c r="BG1189" s="140">
        <v>0</v>
      </c>
      <c r="BH1189" s="140">
        <v>0</v>
      </c>
      <c r="BI1189" s="140">
        <v>0</v>
      </c>
      <c r="BJ1189" s="140">
        <v>0</v>
      </c>
      <c r="BK1189" s="140">
        <v>0</v>
      </c>
      <c r="BL1189" s="140">
        <v>0</v>
      </c>
      <c r="BM1189" s="140">
        <v>0</v>
      </c>
      <c r="BN1189" s="140">
        <v>0</v>
      </c>
      <c r="BO1189" s="140">
        <v>0</v>
      </c>
      <c r="BQ1189" s="89"/>
      <c r="BR1189" s="43" t="s">
        <v>329</v>
      </c>
      <c r="BU1189" s="89"/>
      <c r="BX1189" s="43">
        <v>20</v>
      </c>
      <c r="CE1189" s="90">
        <f t="shared" si="175"/>
        <v>0.2</v>
      </c>
      <c r="CF1189" s="90">
        <f t="shared" si="175"/>
        <v>0.2</v>
      </c>
      <c r="CG1189" s="90">
        <f t="shared" si="175"/>
        <v>0.2</v>
      </c>
      <c r="CH1189" s="90">
        <f t="shared" si="175"/>
        <v>0.2</v>
      </c>
      <c r="CI1189" s="90">
        <f t="shared" si="175"/>
        <v>0.2</v>
      </c>
      <c r="CJ1189" s="90">
        <f t="shared" si="175"/>
        <v>0.2</v>
      </c>
      <c r="CK1189" s="90">
        <f t="shared" si="175"/>
        <v>0.2</v>
      </c>
      <c r="CL1189" s="90">
        <f t="shared" si="175"/>
        <v>0.2</v>
      </c>
      <c r="CM1189" s="90">
        <f t="shared" si="175"/>
        <v>0.2</v>
      </c>
      <c r="CN1189" s="90">
        <f t="shared" si="175"/>
        <v>0.2</v>
      </c>
      <c r="CT1189" s="90">
        <f t="shared" si="163"/>
        <v>0</v>
      </c>
      <c r="CU1189" s="90">
        <f t="shared" si="164"/>
        <v>1</v>
      </c>
    </row>
    <row r="1190" spans="1:99" ht="12" customHeight="1">
      <c r="A1190" s="43">
        <v>6906</v>
      </c>
      <c r="B1190" s="89" t="s">
        <v>2923</v>
      </c>
      <c r="C1190" s="89" t="s">
        <v>3024</v>
      </c>
      <c r="D1190" s="89" t="s">
        <v>3025</v>
      </c>
      <c r="F1190" s="43">
        <v>525504</v>
      </c>
      <c r="G1190" s="43">
        <v>174901</v>
      </c>
      <c r="H1190" s="89" t="s">
        <v>170</v>
      </c>
      <c r="K1190" s="140">
        <v>0</v>
      </c>
      <c r="L1190" s="140">
        <v>1</v>
      </c>
      <c r="M1190" s="140">
        <v>1</v>
      </c>
      <c r="N1190" s="140">
        <v>10</v>
      </c>
      <c r="O1190" s="140">
        <v>10</v>
      </c>
      <c r="P1190" s="43" t="s">
        <v>329</v>
      </c>
      <c r="Q1190" s="89" t="s">
        <v>2926</v>
      </c>
      <c r="R1190" s="43" t="s">
        <v>2927</v>
      </c>
      <c r="V1190" s="43" t="s">
        <v>317</v>
      </c>
      <c r="X1190" s="43" t="s">
        <v>318</v>
      </c>
      <c r="Y1190" s="43" t="s">
        <v>361</v>
      </c>
      <c r="Z1190" s="43" t="s">
        <v>320</v>
      </c>
      <c r="AA1190" s="43" t="s">
        <v>353</v>
      </c>
      <c r="AB1190" s="144">
        <v>0</v>
      </c>
      <c r="AF1190" s="43" t="s">
        <v>54</v>
      </c>
      <c r="AG1190" s="43" t="s">
        <v>399</v>
      </c>
      <c r="AI1190" s="43">
        <v>17320063</v>
      </c>
      <c r="AJ1190" s="140">
        <v>0</v>
      </c>
      <c r="AK1190" s="140">
        <v>0</v>
      </c>
      <c r="AL1190" s="140">
        <v>0</v>
      </c>
      <c r="AM1190" s="140">
        <v>0</v>
      </c>
      <c r="AN1190" s="140">
        <v>0</v>
      </c>
      <c r="AO1190" s="140">
        <v>0</v>
      </c>
      <c r="AP1190" s="140">
        <v>0</v>
      </c>
      <c r="AQ1190" s="140">
        <v>0</v>
      </c>
      <c r="AR1190" s="140">
        <v>0</v>
      </c>
      <c r="AS1190" s="140">
        <v>0</v>
      </c>
      <c r="AT1190" s="140">
        <v>1</v>
      </c>
      <c r="AU1190" s="140">
        <v>0</v>
      </c>
      <c r="AV1190" s="140">
        <v>0</v>
      </c>
      <c r="AW1190" s="140">
        <v>0</v>
      </c>
      <c r="AX1190" s="140">
        <v>0</v>
      </c>
      <c r="AY1190" s="140">
        <v>0</v>
      </c>
      <c r="AZ1190" s="140">
        <v>0</v>
      </c>
      <c r="BA1190" s="140">
        <v>1</v>
      </c>
      <c r="BB1190" s="140">
        <v>0</v>
      </c>
      <c r="BC1190" s="140">
        <v>0</v>
      </c>
      <c r="BD1190" s="140">
        <v>0</v>
      </c>
      <c r="BE1190" s="140">
        <v>0</v>
      </c>
      <c r="BF1190" s="140">
        <v>0</v>
      </c>
      <c r="BG1190" s="140">
        <v>0</v>
      </c>
      <c r="BH1190" s="140">
        <v>0</v>
      </c>
      <c r="BI1190" s="140">
        <v>0</v>
      </c>
      <c r="BJ1190" s="140">
        <v>0</v>
      </c>
      <c r="BK1190" s="140">
        <v>0</v>
      </c>
      <c r="BL1190" s="140">
        <v>0</v>
      </c>
      <c r="BM1190" s="140">
        <v>0</v>
      </c>
      <c r="BN1190" s="140">
        <v>0</v>
      </c>
      <c r="BO1190" s="140">
        <v>0</v>
      </c>
      <c r="BQ1190" s="89"/>
      <c r="BR1190" s="43" t="s">
        <v>329</v>
      </c>
      <c r="BU1190" s="89"/>
      <c r="BX1190" s="43">
        <v>20</v>
      </c>
      <c r="CE1190" s="90">
        <f t="shared" si="175"/>
        <v>0.1</v>
      </c>
      <c r="CF1190" s="90">
        <f t="shared" si="175"/>
        <v>0.1</v>
      </c>
      <c r="CG1190" s="90">
        <f t="shared" si="175"/>
        <v>0.1</v>
      </c>
      <c r="CH1190" s="90">
        <f t="shared" si="175"/>
        <v>0.1</v>
      </c>
      <c r="CI1190" s="90">
        <f t="shared" si="175"/>
        <v>0.1</v>
      </c>
      <c r="CJ1190" s="90">
        <f t="shared" si="175"/>
        <v>0.1</v>
      </c>
      <c r="CK1190" s="90">
        <f t="shared" si="175"/>
        <v>0.1</v>
      </c>
      <c r="CL1190" s="90">
        <f t="shared" si="175"/>
        <v>0.1</v>
      </c>
      <c r="CM1190" s="90">
        <f t="shared" si="175"/>
        <v>0.1</v>
      </c>
      <c r="CN1190" s="90">
        <f t="shared" si="175"/>
        <v>0.1</v>
      </c>
      <c r="CT1190" s="90">
        <f t="shared" si="163"/>
        <v>0</v>
      </c>
      <c r="CU1190" s="90">
        <f t="shared" si="164"/>
        <v>0.5</v>
      </c>
    </row>
    <row r="1191" spans="1:99" ht="12" customHeight="1">
      <c r="A1191" s="43">
        <v>6908</v>
      </c>
      <c r="B1191" s="89" t="s">
        <v>2923</v>
      </c>
      <c r="C1191" s="89" t="s">
        <v>3026</v>
      </c>
      <c r="D1191" s="89" t="s">
        <v>3027</v>
      </c>
      <c r="F1191" s="43">
        <v>525716</v>
      </c>
      <c r="G1191" s="43">
        <v>173464</v>
      </c>
      <c r="H1191" s="89" t="s">
        <v>168</v>
      </c>
      <c r="K1191" s="140">
        <v>0</v>
      </c>
      <c r="L1191" s="140">
        <v>268</v>
      </c>
      <c r="M1191" s="140">
        <v>268</v>
      </c>
      <c r="N1191" s="140">
        <v>400</v>
      </c>
      <c r="O1191" s="140">
        <v>400</v>
      </c>
      <c r="P1191" s="43" t="s">
        <v>329</v>
      </c>
      <c r="Q1191" s="89" t="s">
        <v>2926</v>
      </c>
      <c r="R1191" s="43" t="s">
        <v>2927</v>
      </c>
      <c r="V1191" s="43" t="s">
        <v>317</v>
      </c>
      <c r="X1191" s="43" t="s">
        <v>318</v>
      </c>
      <c r="Y1191" s="43" t="s">
        <v>361</v>
      </c>
      <c r="Z1191" s="43" t="s">
        <v>361</v>
      </c>
      <c r="AA1191" s="43" t="s">
        <v>320</v>
      </c>
      <c r="AB1191" s="144">
        <v>0</v>
      </c>
      <c r="AF1191" s="43" t="s">
        <v>75</v>
      </c>
      <c r="AG1191" s="43" t="s">
        <v>322</v>
      </c>
      <c r="AI1191" s="43">
        <v>17320085</v>
      </c>
      <c r="AJ1191" s="140">
        <v>0</v>
      </c>
      <c r="AK1191" s="140">
        <v>0</v>
      </c>
      <c r="AL1191" s="140">
        <v>0</v>
      </c>
      <c r="AM1191" s="140">
        <v>0</v>
      </c>
      <c r="AN1191" s="140">
        <v>0</v>
      </c>
      <c r="AO1191" s="140">
        <v>0</v>
      </c>
      <c r="AP1191" s="140">
        <v>0</v>
      </c>
      <c r="AQ1191" s="140">
        <v>0</v>
      </c>
      <c r="AR1191" s="140">
        <v>0</v>
      </c>
      <c r="AS1191" s="140">
        <v>0</v>
      </c>
      <c r="AT1191" s="140">
        <v>268</v>
      </c>
      <c r="AU1191" s="140">
        <v>0</v>
      </c>
      <c r="AV1191" s="140">
        <v>0</v>
      </c>
      <c r="AW1191" s="140">
        <v>0</v>
      </c>
      <c r="AX1191" s="140">
        <v>0</v>
      </c>
      <c r="AY1191" s="140">
        <v>0</v>
      </c>
      <c r="AZ1191" s="140">
        <v>0</v>
      </c>
      <c r="BA1191" s="140">
        <v>268</v>
      </c>
      <c r="BB1191" s="140">
        <v>0</v>
      </c>
      <c r="BC1191" s="140">
        <v>0</v>
      </c>
      <c r="BD1191" s="140">
        <v>0</v>
      </c>
      <c r="BE1191" s="140">
        <v>0</v>
      </c>
      <c r="BF1191" s="140">
        <v>0</v>
      </c>
      <c r="BG1191" s="140">
        <v>0</v>
      </c>
      <c r="BH1191" s="140">
        <v>0</v>
      </c>
      <c r="BI1191" s="140">
        <v>0</v>
      </c>
      <c r="BJ1191" s="140">
        <v>0</v>
      </c>
      <c r="BK1191" s="140">
        <v>0</v>
      </c>
      <c r="BL1191" s="140">
        <v>0</v>
      </c>
      <c r="BM1191" s="140">
        <v>0</v>
      </c>
      <c r="BN1191" s="140">
        <v>0</v>
      </c>
      <c r="BO1191" s="140">
        <v>0</v>
      </c>
      <c r="BQ1191" s="89"/>
      <c r="BU1191" s="89"/>
      <c r="BW1191" s="43" t="s">
        <v>329</v>
      </c>
      <c r="BX1191" s="43">
        <v>20</v>
      </c>
      <c r="CE1191" s="90">
        <f t="shared" si="175"/>
        <v>26.8</v>
      </c>
      <c r="CF1191" s="90">
        <f t="shared" si="175"/>
        <v>26.8</v>
      </c>
      <c r="CG1191" s="90">
        <f t="shared" si="175"/>
        <v>26.8</v>
      </c>
      <c r="CH1191" s="90">
        <f t="shared" si="175"/>
        <v>26.8</v>
      </c>
      <c r="CI1191" s="90">
        <f t="shared" si="175"/>
        <v>26.8</v>
      </c>
      <c r="CJ1191" s="90">
        <f t="shared" si="175"/>
        <v>26.8</v>
      </c>
      <c r="CK1191" s="90">
        <f t="shared" si="175"/>
        <v>26.8</v>
      </c>
      <c r="CL1191" s="90">
        <f t="shared" si="175"/>
        <v>26.8</v>
      </c>
      <c r="CM1191" s="90">
        <f t="shared" si="175"/>
        <v>26.8</v>
      </c>
      <c r="CN1191" s="90">
        <f t="shared" si="175"/>
        <v>26.8</v>
      </c>
      <c r="CT1191" s="90">
        <f t="shared" si="163"/>
        <v>0</v>
      </c>
      <c r="CU1191" s="90">
        <f t="shared" si="164"/>
        <v>134</v>
      </c>
    </row>
    <row r="1192" spans="1:99" ht="12" customHeight="1">
      <c r="A1192" s="43">
        <v>6908</v>
      </c>
      <c r="B1192" s="89" t="s">
        <v>2923</v>
      </c>
      <c r="C1192" s="89" t="s">
        <v>3026</v>
      </c>
      <c r="D1192" s="89" t="s">
        <v>3027</v>
      </c>
      <c r="F1192" s="43">
        <v>525716</v>
      </c>
      <c r="G1192" s="43">
        <v>173464</v>
      </c>
      <c r="H1192" s="89" t="s">
        <v>168</v>
      </c>
      <c r="K1192" s="140">
        <v>0</v>
      </c>
      <c r="L1192" s="140">
        <v>79</v>
      </c>
      <c r="M1192" s="140">
        <v>79</v>
      </c>
      <c r="N1192" s="140">
        <v>400</v>
      </c>
      <c r="O1192" s="140">
        <v>400</v>
      </c>
      <c r="P1192" s="43" t="s">
        <v>329</v>
      </c>
      <c r="Q1192" s="89" t="s">
        <v>2926</v>
      </c>
      <c r="R1192" s="43" t="s">
        <v>2927</v>
      </c>
      <c r="V1192" s="43" t="s">
        <v>317</v>
      </c>
      <c r="X1192" s="43" t="s">
        <v>318</v>
      </c>
      <c r="Y1192" s="43" t="s">
        <v>361</v>
      </c>
      <c r="Z1192" s="43" t="s">
        <v>361</v>
      </c>
      <c r="AA1192" s="43" t="s">
        <v>320</v>
      </c>
      <c r="AB1192" s="144">
        <v>0</v>
      </c>
      <c r="AF1192" s="43" t="s">
        <v>55</v>
      </c>
      <c r="AG1192" s="43" t="s">
        <v>457</v>
      </c>
      <c r="AI1192" s="43">
        <v>17320085</v>
      </c>
      <c r="AJ1192" s="140">
        <v>0</v>
      </c>
      <c r="AK1192" s="140">
        <v>0</v>
      </c>
      <c r="AL1192" s="140">
        <v>0</v>
      </c>
      <c r="AM1192" s="140">
        <v>0</v>
      </c>
      <c r="AN1192" s="140">
        <v>0</v>
      </c>
      <c r="AO1192" s="140">
        <v>0</v>
      </c>
      <c r="AP1192" s="140">
        <v>0</v>
      </c>
      <c r="AQ1192" s="140">
        <v>0</v>
      </c>
      <c r="AR1192" s="140">
        <v>0</v>
      </c>
      <c r="AS1192" s="140">
        <v>0</v>
      </c>
      <c r="AT1192" s="140">
        <v>79</v>
      </c>
      <c r="AU1192" s="140">
        <v>0</v>
      </c>
      <c r="AV1192" s="140">
        <v>0</v>
      </c>
      <c r="AW1192" s="140">
        <v>0</v>
      </c>
      <c r="AX1192" s="140">
        <v>0</v>
      </c>
      <c r="AY1192" s="140">
        <v>0</v>
      </c>
      <c r="AZ1192" s="140">
        <v>0</v>
      </c>
      <c r="BA1192" s="140">
        <v>79</v>
      </c>
      <c r="BB1192" s="140">
        <v>0</v>
      </c>
      <c r="BC1192" s="140">
        <v>0</v>
      </c>
      <c r="BD1192" s="140">
        <v>0</v>
      </c>
      <c r="BE1192" s="140">
        <v>0</v>
      </c>
      <c r="BF1192" s="140">
        <v>0</v>
      </c>
      <c r="BG1192" s="140">
        <v>0</v>
      </c>
      <c r="BH1192" s="140">
        <v>0</v>
      </c>
      <c r="BI1192" s="140">
        <v>0</v>
      </c>
      <c r="BJ1192" s="140">
        <v>0</v>
      </c>
      <c r="BK1192" s="140">
        <v>0</v>
      </c>
      <c r="BL1192" s="140">
        <v>0</v>
      </c>
      <c r="BM1192" s="140">
        <v>0</v>
      </c>
      <c r="BN1192" s="140">
        <v>0</v>
      </c>
      <c r="BO1192" s="140">
        <v>0</v>
      </c>
      <c r="BQ1192" s="89"/>
      <c r="BU1192" s="89"/>
      <c r="BW1192" s="43" t="s">
        <v>329</v>
      </c>
      <c r="BX1192" s="43">
        <v>20</v>
      </c>
      <c r="CE1192" s="90">
        <f t="shared" si="175"/>
        <v>7.9</v>
      </c>
      <c r="CF1192" s="90">
        <f t="shared" si="175"/>
        <v>7.9</v>
      </c>
      <c r="CG1192" s="90">
        <f t="shared" si="175"/>
        <v>7.9</v>
      </c>
      <c r="CH1192" s="90">
        <f t="shared" si="175"/>
        <v>7.9</v>
      </c>
      <c r="CI1192" s="90">
        <f t="shared" si="175"/>
        <v>7.9</v>
      </c>
      <c r="CJ1192" s="90">
        <f t="shared" si="175"/>
        <v>7.9</v>
      </c>
      <c r="CK1192" s="90">
        <f t="shared" si="175"/>
        <v>7.9</v>
      </c>
      <c r="CL1192" s="90">
        <f t="shared" si="175"/>
        <v>7.9</v>
      </c>
      <c r="CM1192" s="90">
        <f t="shared" si="175"/>
        <v>7.9</v>
      </c>
      <c r="CN1192" s="90">
        <f t="shared" si="175"/>
        <v>7.9</v>
      </c>
      <c r="CT1192" s="90">
        <f t="shared" si="163"/>
        <v>0</v>
      </c>
      <c r="CU1192" s="90">
        <f t="shared" si="164"/>
        <v>39.5</v>
      </c>
    </row>
    <row r="1193" spans="1:99" ht="12" customHeight="1">
      <c r="A1193" s="43">
        <v>6908</v>
      </c>
      <c r="B1193" s="89" t="s">
        <v>2923</v>
      </c>
      <c r="C1193" s="89" t="s">
        <v>3026</v>
      </c>
      <c r="D1193" s="89" t="s">
        <v>3027</v>
      </c>
      <c r="F1193" s="43">
        <v>525716</v>
      </c>
      <c r="G1193" s="43">
        <v>173464</v>
      </c>
      <c r="H1193" s="89" t="s">
        <v>168</v>
      </c>
      <c r="K1193" s="140">
        <v>0</v>
      </c>
      <c r="L1193" s="140">
        <v>53</v>
      </c>
      <c r="M1193" s="140">
        <v>53</v>
      </c>
      <c r="N1193" s="140">
        <v>400</v>
      </c>
      <c r="O1193" s="140">
        <v>400</v>
      </c>
      <c r="P1193" s="43" t="s">
        <v>329</v>
      </c>
      <c r="Q1193" s="89" t="s">
        <v>2926</v>
      </c>
      <c r="R1193" s="43" t="s">
        <v>2927</v>
      </c>
      <c r="V1193" s="43" t="s">
        <v>317</v>
      </c>
      <c r="X1193" s="43" t="s">
        <v>318</v>
      </c>
      <c r="Y1193" s="43" t="s">
        <v>361</v>
      </c>
      <c r="Z1193" s="43" t="s">
        <v>361</v>
      </c>
      <c r="AA1193" s="43" t="s">
        <v>320</v>
      </c>
      <c r="AB1193" s="144">
        <v>0</v>
      </c>
      <c r="AF1193" s="43" t="s">
        <v>54</v>
      </c>
      <c r="AG1193" s="43" t="s">
        <v>399</v>
      </c>
      <c r="AI1193" s="43">
        <v>17320085</v>
      </c>
      <c r="AJ1193" s="140">
        <v>0</v>
      </c>
      <c r="AK1193" s="140">
        <v>0</v>
      </c>
      <c r="AL1193" s="140">
        <v>0</v>
      </c>
      <c r="AM1193" s="140">
        <v>0</v>
      </c>
      <c r="AN1193" s="140">
        <v>0</v>
      </c>
      <c r="AO1193" s="140">
        <v>0</v>
      </c>
      <c r="AP1193" s="140">
        <v>0</v>
      </c>
      <c r="AQ1193" s="140">
        <v>0</v>
      </c>
      <c r="AR1193" s="140">
        <v>0</v>
      </c>
      <c r="AS1193" s="140">
        <v>0</v>
      </c>
      <c r="AT1193" s="140">
        <v>53</v>
      </c>
      <c r="AU1193" s="140">
        <v>0</v>
      </c>
      <c r="AV1193" s="140">
        <v>0</v>
      </c>
      <c r="AW1193" s="140">
        <v>0</v>
      </c>
      <c r="AX1193" s="140">
        <v>0</v>
      </c>
      <c r="AY1193" s="140">
        <v>0</v>
      </c>
      <c r="AZ1193" s="140">
        <v>0</v>
      </c>
      <c r="BA1193" s="140">
        <v>53</v>
      </c>
      <c r="BB1193" s="140">
        <v>0</v>
      </c>
      <c r="BC1193" s="140">
        <v>0</v>
      </c>
      <c r="BD1193" s="140">
        <v>0</v>
      </c>
      <c r="BE1193" s="140">
        <v>0</v>
      </c>
      <c r="BF1193" s="140">
        <v>0</v>
      </c>
      <c r="BG1193" s="140">
        <v>0</v>
      </c>
      <c r="BH1193" s="140">
        <v>0</v>
      </c>
      <c r="BI1193" s="140">
        <v>0</v>
      </c>
      <c r="BJ1193" s="140">
        <v>0</v>
      </c>
      <c r="BK1193" s="140">
        <v>0</v>
      </c>
      <c r="BL1193" s="140">
        <v>0</v>
      </c>
      <c r="BM1193" s="140">
        <v>0</v>
      </c>
      <c r="BN1193" s="140">
        <v>0</v>
      </c>
      <c r="BO1193" s="140">
        <v>0</v>
      </c>
      <c r="BQ1193" s="89"/>
      <c r="BU1193" s="89"/>
      <c r="BW1193" s="43" t="s">
        <v>329</v>
      </c>
      <c r="BX1193" s="43">
        <v>20</v>
      </c>
      <c r="CE1193" s="90">
        <f t="shared" si="175"/>
        <v>5.3</v>
      </c>
      <c r="CF1193" s="90">
        <f t="shared" si="175"/>
        <v>5.3</v>
      </c>
      <c r="CG1193" s="90">
        <f t="shared" si="175"/>
        <v>5.3</v>
      </c>
      <c r="CH1193" s="90">
        <f t="shared" si="175"/>
        <v>5.3</v>
      </c>
      <c r="CI1193" s="90">
        <f t="shared" si="175"/>
        <v>5.3</v>
      </c>
      <c r="CJ1193" s="90">
        <f t="shared" si="175"/>
        <v>5.3</v>
      </c>
      <c r="CK1193" s="90">
        <f t="shared" si="175"/>
        <v>5.3</v>
      </c>
      <c r="CL1193" s="90">
        <f t="shared" si="175"/>
        <v>5.3</v>
      </c>
      <c r="CM1193" s="90">
        <f t="shared" si="175"/>
        <v>5.3</v>
      </c>
      <c r="CN1193" s="90">
        <f t="shared" si="175"/>
        <v>5.3</v>
      </c>
      <c r="CT1193" s="90">
        <f t="shared" si="163"/>
        <v>0</v>
      </c>
      <c r="CU1193" s="90">
        <f t="shared" si="164"/>
        <v>26.5</v>
      </c>
    </row>
    <row r="1194" spans="1:99" ht="12" customHeight="1">
      <c r="A1194" s="43">
        <v>7385</v>
      </c>
      <c r="B1194" s="89" t="s">
        <v>2923</v>
      </c>
      <c r="C1194" s="89" t="s">
        <v>3028</v>
      </c>
      <c r="D1194" s="89" t="s">
        <v>3029</v>
      </c>
      <c r="F1194" s="43">
        <v>527211</v>
      </c>
      <c r="G1194" s="43">
        <v>176872</v>
      </c>
      <c r="H1194" s="89" t="s">
        <v>177</v>
      </c>
      <c r="K1194" s="140">
        <v>0</v>
      </c>
      <c r="L1194" s="140">
        <v>57</v>
      </c>
      <c r="M1194" s="140">
        <v>57</v>
      </c>
      <c r="N1194" s="140">
        <v>106</v>
      </c>
      <c r="O1194" s="140">
        <v>106</v>
      </c>
      <c r="P1194" s="43" t="s">
        <v>329</v>
      </c>
      <c r="Q1194" s="89" t="s">
        <v>2926</v>
      </c>
      <c r="R1194" s="43" t="s">
        <v>2927</v>
      </c>
      <c r="V1194" s="43" t="s">
        <v>317</v>
      </c>
      <c r="X1194" s="43" t="s">
        <v>318</v>
      </c>
      <c r="Y1194" s="43" t="s">
        <v>361</v>
      </c>
      <c r="Z1194" s="43" t="s">
        <v>361</v>
      </c>
      <c r="AA1194" s="43" t="s">
        <v>320</v>
      </c>
      <c r="AB1194" s="144">
        <v>0</v>
      </c>
      <c r="AF1194" s="43" t="s">
        <v>75</v>
      </c>
      <c r="AG1194" s="43" t="s">
        <v>322</v>
      </c>
      <c r="AJ1194" s="140">
        <v>0</v>
      </c>
      <c r="AK1194" s="140">
        <v>0</v>
      </c>
      <c r="AL1194" s="140">
        <v>0</v>
      </c>
      <c r="AM1194" s="140">
        <v>0</v>
      </c>
      <c r="AN1194" s="140">
        <v>0</v>
      </c>
      <c r="AO1194" s="140">
        <v>16</v>
      </c>
      <c r="AP1194" s="140">
        <v>40</v>
      </c>
      <c r="AQ1194" s="140">
        <v>1</v>
      </c>
      <c r="AR1194" s="140">
        <v>0</v>
      </c>
      <c r="AS1194" s="140">
        <v>0</v>
      </c>
      <c r="AT1194" s="140">
        <v>0</v>
      </c>
      <c r="AU1194" s="140">
        <v>0</v>
      </c>
      <c r="AV1194" s="140">
        <v>16</v>
      </c>
      <c r="AW1194" s="140">
        <v>40</v>
      </c>
      <c r="AX1194" s="140">
        <v>1</v>
      </c>
      <c r="AY1194" s="140">
        <v>0</v>
      </c>
      <c r="AZ1194" s="140">
        <v>0</v>
      </c>
      <c r="BA1194" s="140">
        <v>0</v>
      </c>
      <c r="BB1194" s="140">
        <v>0</v>
      </c>
      <c r="BC1194" s="140">
        <v>0</v>
      </c>
      <c r="BD1194" s="140">
        <v>0</v>
      </c>
      <c r="BE1194" s="140">
        <v>0</v>
      </c>
      <c r="BF1194" s="140">
        <v>0</v>
      </c>
      <c r="BG1194" s="140">
        <v>0</v>
      </c>
      <c r="BH1194" s="140">
        <v>0</v>
      </c>
      <c r="BI1194" s="140">
        <v>0</v>
      </c>
      <c r="BJ1194" s="140">
        <v>0</v>
      </c>
      <c r="BK1194" s="140">
        <v>0</v>
      </c>
      <c r="BL1194" s="140">
        <v>0</v>
      </c>
      <c r="BM1194" s="140">
        <v>0</v>
      </c>
      <c r="BN1194" s="140">
        <v>0</v>
      </c>
      <c r="BO1194" s="140">
        <v>0</v>
      </c>
      <c r="BX1194" s="43">
        <v>20</v>
      </c>
      <c r="CC1194" s="90">
        <f t="shared" ref="CC1194:CC1199" si="176">M1194</f>
        <v>57</v>
      </c>
      <c r="CT1194" s="90">
        <f t="shared" si="163"/>
        <v>57</v>
      </c>
      <c r="CU1194" s="90">
        <f t="shared" si="164"/>
        <v>57</v>
      </c>
    </row>
    <row r="1195" spans="1:99" ht="12" customHeight="1">
      <c r="A1195" s="43">
        <v>7385</v>
      </c>
      <c r="B1195" s="89" t="s">
        <v>2923</v>
      </c>
      <c r="C1195" s="89" t="s">
        <v>3028</v>
      </c>
      <c r="D1195" s="89" t="s">
        <v>3029</v>
      </c>
      <c r="F1195" s="43">
        <v>527211</v>
      </c>
      <c r="G1195" s="43">
        <v>176872</v>
      </c>
      <c r="H1195" s="89" t="s">
        <v>177</v>
      </c>
      <c r="K1195" s="140">
        <v>0</v>
      </c>
      <c r="L1195" s="140">
        <v>27</v>
      </c>
      <c r="M1195" s="140">
        <v>27</v>
      </c>
      <c r="N1195" s="140">
        <v>106</v>
      </c>
      <c r="O1195" s="140">
        <v>106</v>
      </c>
      <c r="P1195" s="43" t="s">
        <v>329</v>
      </c>
      <c r="Q1195" s="89" t="s">
        <v>2926</v>
      </c>
      <c r="R1195" s="43" t="s">
        <v>2927</v>
      </c>
      <c r="V1195" s="43" t="s">
        <v>317</v>
      </c>
      <c r="X1195" s="43" t="s">
        <v>318</v>
      </c>
      <c r="Y1195" s="43" t="s">
        <v>361</v>
      </c>
      <c r="Z1195" s="43" t="s">
        <v>361</v>
      </c>
      <c r="AA1195" s="43" t="s">
        <v>320</v>
      </c>
      <c r="AB1195" s="144">
        <v>0</v>
      </c>
      <c r="AF1195" s="43" t="s">
        <v>55</v>
      </c>
      <c r="AG1195" s="43" t="s">
        <v>1031</v>
      </c>
      <c r="AJ1195" s="140">
        <v>0</v>
      </c>
      <c r="AK1195" s="140">
        <v>0</v>
      </c>
      <c r="AL1195" s="140">
        <v>0</v>
      </c>
      <c r="AM1195" s="140">
        <v>0</v>
      </c>
      <c r="AN1195" s="140">
        <v>0</v>
      </c>
      <c r="AO1195" s="140">
        <v>4</v>
      </c>
      <c r="AP1195" s="140">
        <v>17</v>
      </c>
      <c r="AQ1195" s="140">
        <v>4</v>
      </c>
      <c r="AR1195" s="140">
        <v>2</v>
      </c>
      <c r="AS1195" s="140">
        <v>0</v>
      </c>
      <c r="AT1195" s="140">
        <v>0</v>
      </c>
      <c r="AU1195" s="140">
        <v>0</v>
      </c>
      <c r="AV1195" s="140">
        <v>4</v>
      </c>
      <c r="AW1195" s="140">
        <v>17</v>
      </c>
      <c r="AX1195" s="140">
        <v>4</v>
      </c>
      <c r="AY1195" s="140">
        <v>2</v>
      </c>
      <c r="AZ1195" s="140">
        <v>0</v>
      </c>
      <c r="BA1195" s="140">
        <v>0</v>
      </c>
      <c r="BB1195" s="140">
        <v>0</v>
      </c>
      <c r="BC1195" s="140">
        <v>0</v>
      </c>
      <c r="BD1195" s="140">
        <v>0</v>
      </c>
      <c r="BE1195" s="140">
        <v>0</v>
      </c>
      <c r="BF1195" s="140">
        <v>0</v>
      </c>
      <c r="BG1195" s="140">
        <v>0</v>
      </c>
      <c r="BH1195" s="140">
        <v>0</v>
      </c>
      <c r="BI1195" s="140">
        <v>0</v>
      </c>
      <c r="BJ1195" s="140">
        <v>0</v>
      </c>
      <c r="BK1195" s="140">
        <v>0</v>
      </c>
      <c r="BL1195" s="140">
        <v>0</v>
      </c>
      <c r="BM1195" s="140">
        <v>0</v>
      </c>
      <c r="BN1195" s="140">
        <v>0</v>
      </c>
      <c r="BO1195" s="140">
        <v>0</v>
      </c>
      <c r="BX1195" s="43">
        <v>20</v>
      </c>
      <c r="CC1195" s="90">
        <f t="shared" si="176"/>
        <v>27</v>
      </c>
      <c r="CT1195" s="90">
        <f t="shared" si="163"/>
        <v>27</v>
      </c>
      <c r="CU1195" s="90">
        <f t="shared" si="164"/>
        <v>27</v>
      </c>
    </row>
    <row r="1196" spans="1:99" ht="12" customHeight="1">
      <c r="A1196" s="43">
        <v>7385</v>
      </c>
      <c r="B1196" s="89" t="s">
        <v>2923</v>
      </c>
      <c r="C1196" s="89" t="s">
        <v>3028</v>
      </c>
      <c r="D1196" s="89" t="s">
        <v>3029</v>
      </c>
      <c r="F1196" s="43">
        <v>527211</v>
      </c>
      <c r="G1196" s="43">
        <v>176872</v>
      </c>
      <c r="H1196" s="89" t="s">
        <v>177</v>
      </c>
      <c r="K1196" s="140">
        <v>0</v>
      </c>
      <c r="L1196" s="140">
        <v>22</v>
      </c>
      <c r="M1196" s="140">
        <v>22</v>
      </c>
      <c r="N1196" s="140">
        <v>106</v>
      </c>
      <c r="O1196" s="140">
        <v>106</v>
      </c>
      <c r="P1196" s="43" t="s">
        <v>329</v>
      </c>
      <c r="Q1196" s="89" t="s">
        <v>2926</v>
      </c>
      <c r="R1196" s="43" t="s">
        <v>2927</v>
      </c>
      <c r="V1196" s="43" t="s">
        <v>317</v>
      </c>
      <c r="X1196" s="43" t="s">
        <v>318</v>
      </c>
      <c r="Y1196" s="43" t="s">
        <v>361</v>
      </c>
      <c r="Z1196" s="43" t="s">
        <v>361</v>
      </c>
      <c r="AA1196" s="43" t="s">
        <v>320</v>
      </c>
      <c r="AB1196" s="144">
        <v>0</v>
      </c>
      <c r="AF1196" s="43" t="s">
        <v>54</v>
      </c>
      <c r="AG1196" s="43" t="s">
        <v>399</v>
      </c>
      <c r="AJ1196" s="140">
        <v>0</v>
      </c>
      <c r="AK1196" s="140">
        <v>0</v>
      </c>
      <c r="AL1196" s="140">
        <v>0</v>
      </c>
      <c r="AM1196" s="140">
        <v>0</v>
      </c>
      <c r="AN1196" s="140">
        <v>22</v>
      </c>
      <c r="AO1196" s="140">
        <v>0</v>
      </c>
      <c r="AP1196" s="140">
        <v>0</v>
      </c>
      <c r="AQ1196" s="140">
        <v>0</v>
      </c>
      <c r="AR1196" s="140">
        <v>0</v>
      </c>
      <c r="AS1196" s="140">
        <v>0</v>
      </c>
      <c r="AT1196" s="140">
        <v>0</v>
      </c>
      <c r="AU1196" s="140">
        <v>22</v>
      </c>
      <c r="AV1196" s="140">
        <v>0</v>
      </c>
      <c r="AW1196" s="140">
        <v>0</v>
      </c>
      <c r="AX1196" s="140">
        <v>0</v>
      </c>
      <c r="AY1196" s="140">
        <v>0</v>
      </c>
      <c r="AZ1196" s="140">
        <v>0</v>
      </c>
      <c r="BA1196" s="140">
        <v>0</v>
      </c>
      <c r="BB1196" s="140">
        <v>0</v>
      </c>
      <c r="BC1196" s="140">
        <v>0</v>
      </c>
      <c r="BD1196" s="140">
        <v>0</v>
      </c>
      <c r="BE1196" s="140">
        <v>0</v>
      </c>
      <c r="BF1196" s="140">
        <v>0</v>
      </c>
      <c r="BG1196" s="140">
        <v>0</v>
      </c>
      <c r="BH1196" s="140">
        <v>0</v>
      </c>
      <c r="BI1196" s="140">
        <v>0</v>
      </c>
      <c r="BJ1196" s="140">
        <v>0</v>
      </c>
      <c r="BK1196" s="140">
        <v>0</v>
      </c>
      <c r="BL1196" s="140">
        <v>0</v>
      </c>
      <c r="BM1196" s="140">
        <v>0</v>
      </c>
      <c r="BN1196" s="140">
        <v>0</v>
      </c>
      <c r="BO1196" s="140">
        <v>0</v>
      </c>
      <c r="BX1196" s="43">
        <v>20</v>
      </c>
      <c r="CC1196" s="90">
        <f t="shared" si="176"/>
        <v>22</v>
      </c>
      <c r="CT1196" s="90">
        <f t="shared" si="163"/>
        <v>22</v>
      </c>
      <c r="CU1196" s="90">
        <f t="shared" si="164"/>
        <v>22</v>
      </c>
    </row>
    <row r="1197" spans="1:99" ht="12" customHeight="1">
      <c r="A1197" s="43">
        <v>7386</v>
      </c>
      <c r="B1197" s="89" t="s">
        <v>2923</v>
      </c>
      <c r="C1197" s="89" t="s">
        <v>3030</v>
      </c>
      <c r="D1197" s="89" t="s">
        <v>3031</v>
      </c>
      <c r="F1197" s="89">
        <v>526944</v>
      </c>
      <c r="G1197" s="43">
        <v>176965</v>
      </c>
      <c r="H1197" s="89" t="s">
        <v>177</v>
      </c>
      <c r="I1197" s="123"/>
      <c r="J1197" s="125"/>
      <c r="K1197" s="141">
        <v>0</v>
      </c>
      <c r="L1197" s="140">
        <v>50</v>
      </c>
      <c r="M1197" s="140">
        <v>50</v>
      </c>
      <c r="N1197" s="140">
        <v>106</v>
      </c>
      <c r="O1197" s="140">
        <v>106</v>
      </c>
      <c r="P1197" s="142" t="s">
        <v>329</v>
      </c>
      <c r="Q1197" s="89" t="s">
        <v>2926</v>
      </c>
      <c r="R1197" s="43" t="s">
        <v>2927</v>
      </c>
      <c r="S1197" s="43"/>
      <c r="T1197" s="125"/>
      <c r="U1197" s="117"/>
      <c r="V1197" s="43" t="s">
        <v>317</v>
      </c>
      <c r="W1197" s="43"/>
      <c r="X1197" s="117" t="s">
        <v>318</v>
      </c>
      <c r="Y1197" s="43" t="s">
        <v>361</v>
      </c>
      <c r="Z1197" s="43" t="s">
        <v>361</v>
      </c>
      <c r="AA1197" s="43" t="s">
        <v>320</v>
      </c>
      <c r="AB1197" s="144">
        <v>0</v>
      </c>
      <c r="AC1197" s="126"/>
      <c r="AD1197" s="125"/>
      <c r="AE1197" s="43"/>
      <c r="AF1197" s="117" t="s">
        <v>54</v>
      </c>
      <c r="AG1197" s="43" t="s">
        <v>1001</v>
      </c>
      <c r="AJ1197" s="140">
        <v>0</v>
      </c>
      <c r="AL1197" s="140">
        <v>0</v>
      </c>
      <c r="AN1197" s="140">
        <v>0</v>
      </c>
      <c r="AO1197" s="140">
        <v>50</v>
      </c>
      <c r="AP1197" s="140">
        <v>0</v>
      </c>
      <c r="AQ1197" s="140">
        <v>0</v>
      </c>
      <c r="AR1197" s="140">
        <v>0</v>
      </c>
      <c r="AS1197" s="140">
        <v>0</v>
      </c>
      <c r="AT1197" s="140">
        <v>0</v>
      </c>
      <c r="AU1197" s="140">
        <v>0</v>
      </c>
      <c r="AV1197" s="140">
        <v>50</v>
      </c>
      <c r="AW1197" s="140">
        <v>0</v>
      </c>
      <c r="AX1197" s="140">
        <v>0</v>
      </c>
      <c r="AY1197" s="140">
        <v>0</v>
      </c>
      <c r="AZ1197" s="140">
        <v>0</v>
      </c>
      <c r="BA1197" s="140">
        <v>0</v>
      </c>
      <c r="BB1197" s="140">
        <v>0</v>
      </c>
      <c r="BC1197" s="140">
        <v>0</v>
      </c>
      <c r="BD1197" s="140">
        <v>0</v>
      </c>
      <c r="BE1197" s="140">
        <v>0</v>
      </c>
      <c r="BF1197" s="140">
        <v>0</v>
      </c>
      <c r="BG1197" s="140">
        <v>0</v>
      </c>
      <c r="BH1197" s="140">
        <v>0</v>
      </c>
      <c r="BI1197" s="140">
        <v>0</v>
      </c>
      <c r="BJ1197" s="140">
        <v>0</v>
      </c>
      <c r="BK1197" s="140">
        <v>0</v>
      </c>
      <c r="BL1197" s="140">
        <v>0</v>
      </c>
      <c r="BM1197" s="140">
        <v>0</v>
      </c>
      <c r="BN1197" s="140">
        <v>0</v>
      </c>
      <c r="BO1197" s="140">
        <v>0</v>
      </c>
      <c r="BU1197" s="89"/>
      <c r="BX1197" s="43">
        <v>20</v>
      </c>
      <c r="CC1197" s="90">
        <f t="shared" si="176"/>
        <v>50</v>
      </c>
      <c r="CT1197" s="90">
        <f t="shared" si="163"/>
        <v>50</v>
      </c>
      <c r="CU1197" s="90">
        <f t="shared" si="164"/>
        <v>50</v>
      </c>
    </row>
    <row r="1198" spans="1:99" ht="12" customHeight="1">
      <c r="A1198" s="43">
        <v>7386</v>
      </c>
      <c r="B1198" s="89" t="s">
        <v>2923</v>
      </c>
      <c r="C1198" s="89" t="s">
        <v>3030</v>
      </c>
      <c r="D1198" s="89" t="s">
        <v>3031</v>
      </c>
      <c r="F1198" s="89">
        <v>526944</v>
      </c>
      <c r="G1198" s="43">
        <v>176965</v>
      </c>
      <c r="H1198" s="89" t="s">
        <v>177</v>
      </c>
      <c r="I1198" s="123"/>
      <c r="J1198" s="125"/>
      <c r="K1198" s="141">
        <v>0</v>
      </c>
      <c r="L1198" s="140">
        <v>44</v>
      </c>
      <c r="M1198" s="140">
        <v>44</v>
      </c>
      <c r="N1198" s="140">
        <v>106</v>
      </c>
      <c r="O1198" s="140">
        <v>106</v>
      </c>
      <c r="P1198" s="142" t="s">
        <v>329</v>
      </c>
      <c r="Q1198" s="89" t="s">
        <v>2926</v>
      </c>
      <c r="R1198" s="43" t="s">
        <v>2927</v>
      </c>
      <c r="S1198" s="43"/>
      <c r="T1198" s="125"/>
      <c r="U1198" s="117"/>
      <c r="V1198" s="43" t="s">
        <v>317</v>
      </c>
      <c r="W1198" s="43"/>
      <c r="X1198" s="117" t="s">
        <v>318</v>
      </c>
      <c r="Y1198" s="43" t="s">
        <v>361</v>
      </c>
      <c r="Z1198" s="43" t="s">
        <v>361</v>
      </c>
      <c r="AA1198" s="43" t="s">
        <v>320</v>
      </c>
      <c r="AB1198" s="144">
        <v>0</v>
      </c>
      <c r="AC1198" s="126"/>
      <c r="AD1198" s="125"/>
      <c r="AE1198" s="43"/>
      <c r="AF1198" s="43" t="s">
        <v>75</v>
      </c>
      <c r="AG1198" s="43" t="s">
        <v>322</v>
      </c>
      <c r="AJ1198" s="140">
        <v>0</v>
      </c>
      <c r="AL1198" s="140">
        <v>0</v>
      </c>
      <c r="AM1198" s="140">
        <v>6</v>
      </c>
      <c r="AN1198" s="140">
        <v>0</v>
      </c>
      <c r="AO1198" s="140">
        <v>10</v>
      </c>
      <c r="AP1198" s="140">
        <v>34</v>
      </c>
      <c r="AQ1198" s="140">
        <v>0</v>
      </c>
      <c r="AR1198" s="140">
        <v>0</v>
      </c>
      <c r="AS1198" s="140">
        <v>0</v>
      </c>
      <c r="AT1198" s="140">
        <v>0</v>
      </c>
      <c r="AU1198" s="140">
        <v>0</v>
      </c>
      <c r="AV1198" s="140">
        <v>10</v>
      </c>
      <c r="AW1198" s="140">
        <v>34</v>
      </c>
      <c r="AX1198" s="140">
        <v>0</v>
      </c>
      <c r="AY1198" s="140">
        <v>0</v>
      </c>
      <c r="AZ1198" s="140">
        <v>0</v>
      </c>
      <c r="BA1198" s="140">
        <v>0</v>
      </c>
      <c r="BB1198" s="140">
        <v>0</v>
      </c>
      <c r="BC1198" s="140">
        <v>0</v>
      </c>
      <c r="BD1198" s="140">
        <v>0</v>
      </c>
      <c r="BE1198" s="140">
        <v>0</v>
      </c>
      <c r="BF1198" s="140">
        <v>0</v>
      </c>
      <c r="BG1198" s="140">
        <v>0</v>
      </c>
      <c r="BH1198" s="140">
        <v>0</v>
      </c>
      <c r="BI1198" s="140">
        <v>0</v>
      </c>
      <c r="BJ1198" s="140">
        <v>0</v>
      </c>
      <c r="BK1198" s="140">
        <v>0</v>
      </c>
      <c r="BL1198" s="140">
        <v>0</v>
      </c>
      <c r="BM1198" s="140">
        <v>0</v>
      </c>
      <c r="BN1198" s="140">
        <v>0</v>
      </c>
      <c r="BO1198" s="140">
        <v>0</v>
      </c>
      <c r="BU1198" s="89"/>
      <c r="BX1198" s="43">
        <v>20</v>
      </c>
      <c r="CC1198" s="90">
        <f t="shared" si="176"/>
        <v>44</v>
      </c>
      <c r="CT1198" s="90">
        <f t="shared" si="163"/>
        <v>44</v>
      </c>
      <c r="CU1198" s="90">
        <f t="shared" si="164"/>
        <v>44</v>
      </c>
    </row>
    <row r="1199" spans="1:99" ht="12" customHeight="1">
      <c r="A1199" s="43">
        <v>7386</v>
      </c>
      <c r="B1199" s="89" t="s">
        <v>2923</v>
      </c>
      <c r="C1199" s="89" t="s">
        <v>3030</v>
      </c>
      <c r="D1199" s="89" t="s">
        <v>3031</v>
      </c>
      <c r="F1199" s="89">
        <v>526944</v>
      </c>
      <c r="G1199" s="43">
        <v>176965</v>
      </c>
      <c r="H1199" s="89" t="s">
        <v>177</v>
      </c>
      <c r="I1199" s="123"/>
      <c r="J1199" s="125"/>
      <c r="K1199" s="141">
        <v>0</v>
      </c>
      <c r="L1199" s="140">
        <v>12</v>
      </c>
      <c r="M1199" s="140">
        <v>12</v>
      </c>
      <c r="N1199" s="140">
        <v>106</v>
      </c>
      <c r="O1199" s="140">
        <v>106</v>
      </c>
      <c r="P1199" s="142" t="s">
        <v>329</v>
      </c>
      <c r="Q1199" s="89" t="s">
        <v>2926</v>
      </c>
      <c r="R1199" s="43" t="s">
        <v>2927</v>
      </c>
      <c r="S1199" s="43"/>
      <c r="T1199" s="125"/>
      <c r="U1199" s="117"/>
      <c r="V1199" s="43" t="s">
        <v>317</v>
      </c>
      <c r="W1199" s="43"/>
      <c r="X1199" s="117" t="s">
        <v>318</v>
      </c>
      <c r="Y1199" s="43" t="s">
        <v>361</v>
      </c>
      <c r="Z1199" s="43" t="s">
        <v>361</v>
      </c>
      <c r="AA1199" s="43" t="s">
        <v>320</v>
      </c>
      <c r="AB1199" s="144">
        <v>0</v>
      </c>
      <c r="AC1199" s="126"/>
      <c r="AD1199" s="125"/>
      <c r="AE1199" s="43"/>
      <c r="AF1199" s="117" t="s">
        <v>55</v>
      </c>
      <c r="AG1199" s="43" t="s">
        <v>438</v>
      </c>
      <c r="AJ1199" s="140">
        <v>0</v>
      </c>
      <c r="AL1199" s="140">
        <v>0</v>
      </c>
      <c r="AM1199" s="140">
        <v>6</v>
      </c>
      <c r="AN1199" s="140">
        <v>0</v>
      </c>
      <c r="AO1199" s="140">
        <v>0</v>
      </c>
      <c r="AP1199" s="140">
        <v>12</v>
      </c>
      <c r="AQ1199" s="140">
        <v>0</v>
      </c>
      <c r="AR1199" s="140">
        <v>0</v>
      </c>
      <c r="AS1199" s="140">
        <v>0</v>
      </c>
      <c r="AT1199" s="140">
        <v>0</v>
      </c>
      <c r="AU1199" s="140">
        <v>0</v>
      </c>
      <c r="AV1199" s="140">
        <v>0</v>
      </c>
      <c r="AW1199" s="140">
        <v>12</v>
      </c>
      <c r="AX1199" s="140">
        <v>0</v>
      </c>
      <c r="AY1199" s="140">
        <v>0</v>
      </c>
      <c r="AZ1199" s="140">
        <v>0</v>
      </c>
      <c r="BA1199" s="140">
        <v>0</v>
      </c>
      <c r="BB1199" s="140">
        <v>0</v>
      </c>
      <c r="BC1199" s="140">
        <v>0</v>
      </c>
      <c r="BD1199" s="140">
        <v>0</v>
      </c>
      <c r="BE1199" s="140">
        <v>0</v>
      </c>
      <c r="BF1199" s="140">
        <v>0</v>
      </c>
      <c r="BG1199" s="140">
        <v>0</v>
      </c>
      <c r="BH1199" s="140">
        <v>0</v>
      </c>
      <c r="BI1199" s="140">
        <v>0</v>
      </c>
      <c r="BJ1199" s="140">
        <v>0</v>
      </c>
      <c r="BK1199" s="140">
        <v>0</v>
      </c>
      <c r="BL1199" s="140">
        <v>0</v>
      </c>
      <c r="BM1199" s="140">
        <v>0</v>
      </c>
      <c r="BN1199" s="140">
        <v>0</v>
      </c>
      <c r="BO1199" s="140">
        <v>0</v>
      </c>
      <c r="BU1199" s="89"/>
      <c r="BX1199" s="43">
        <v>20</v>
      </c>
      <c r="CC1199" s="90">
        <f t="shared" si="176"/>
        <v>12</v>
      </c>
      <c r="CT1199" s="90">
        <f t="shared" si="163"/>
        <v>12</v>
      </c>
      <c r="CU1199" s="90">
        <f t="shared" si="164"/>
        <v>12</v>
      </c>
    </row>
    <row r="1200" spans="1:99" ht="12" customHeight="1">
      <c r="A1200" s="43">
        <v>7387</v>
      </c>
      <c r="B1200" s="89" t="s">
        <v>2923</v>
      </c>
      <c r="C1200" s="89" t="s">
        <v>3032</v>
      </c>
      <c r="D1200" s="89" t="s">
        <v>3033</v>
      </c>
      <c r="F1200" s="43">
        <v>523041</v>
      </c>
      <c r="G1200" s="43">
        <v>174501</v>
      </c>
      <c r="H1200" s="89" t="s">
        <v>181</v>
      </c>
      <c r="K1200" s="140">
        <v>0</v>
      </c>
      <c r="L1200" s="140">
        <v>15</v>
      </c>
      <c r="M1200" s="140">
        <v>15</v>
      </c>
      <c r="N1200" s="140">
        <v>27</v>
      </c>
      <c r="O1200" s="140">
        <v>27</v>
      </c>
      <c r="P1200" s="43" t="s">
        <v>329</v>
      </c>
      <c r="Q1200" s="89" t="s">
        <v>2926</v>
      </c>
      <c r="R1200" s="43" t="s">
        <v>2927</v>
      </c>
      <c r="V1200" s="43" t="s">
        <v>317</v>
      </c>
      <c r="X1200" s="43" t="s">
        <v>318</v>
      </c>
      <c r="Y1200" s="43" t="s">
        <v>361</v>
      </c>
      <c r="Z1200" s="43" t="s">
        <v>361</v>
      </c>
      <c r="AA1200" s="43" t="s">
        <v>320</v>
      </c>
      <c r="AB1200" s="144">
        <v>0</v>
      </c>
      <c r="AF1200" s="43" t="s">
        <v>75</v>
      </c>
      <c r="AG1200" s="43" t="s">
        <v>322</v>
      </c>
      <c r="AJ1200" s="140">
        <v>0</v>
      </c>
      <c r="AL1200" s="140">
        <v>0</v>
      </c>
      <c r="AN1200" s="140">
        <v>0</v>
      </c>
      <c r="AO1200" s="140">
        <v>0</v>
      </c>
      <c r="AP1200" s="140">
        <v>0</v>
      </c>
      <c r="AQ1200" s="140">
        <v>0</v>
      </c>
      <c r="AR1200" s="140">
        <v>0</v>
      </c>
      <c r="AS1200" s="140">
        <v>0</v>
      </c>
      <c r="AT1200" s="140">
        <v>15</v>
      </c>
      <c r="AU1200" s="140">
        <v>0</v>
      </c>
      <c r="AV1200" s="140">
        <v>0</v>
      </c>
      <c r="AW1200" s="140">
        <v>0</v>
      </c>
      <c r="AX1200" s="140">
        <v>0</v>
      </c>
      <c r="AY1200" s="140">
        <v>0</v>
      </c>
      <c r="AZ1200" s="140">
        <v>0</v>
      </c>
      <c r="BA1200" s="140">
        <v>15</v>
      </c>
      <c r="BB1200" s="140">
        <v>0</v>
      </c>
      <c r="BC1200" s="140">
        <v>0</v>
      </c>
      <c r="BD1200" s="140">
        <v>0</v>
      </c>
      <c r="BE1200" s="140">
        <v>0</v>
      </c>
      <c r="BF1200" s="140">
        <v>0</v>
      </c>
      <c r="BG1200" s="140">
        <v>0</v>
      </c>
      <c r="BH1200" s="140">
        <v>0</v>
      </c>
      <c r="BI1200" s="140">
        <v>0</v>
      </c>
      <c r="BJ1200" s="140">
        <v>0</v>
      </c>
      <c r="BK1200" s="140">
        <v>0</v>
      </c>
      <c r="BL1200" s="140">
        <v>0</v>
      </c>
      <c r="BM1200" s="140">
        <v>0</v>
      </c>
      <c r="BN1200" s="140">
        <v>0</v>
      </c>
      <c r="BO1200" s="140">
        <v>0</v>
      </c>
      <c r="BU1200" s="89"/>
      <c r="BX1200" s="43">
        <v>20</v>
      </c>
      <c r="CD1200" s="90">
        <f>M1200</f>
        <v>15</v>
      </c>
      <c r="CT1200" s="90">
        <f t="shared" si="163"/>
        <v>15</v>
      </c>
      <c r="CU1200" s="90">
        <f t="shared" si="164"/>
        <v>15</v>
      </c>
    </row>
    <row r="1201" spans="1:99" ht="12" customHeight="1">
      <c r="A1201" s="43">
        <v>7387</v>
      </c>
      <c r="B1201" s="89" t="s">
        <v>2923</v>
      </c>
      <c r="C1201" s="89" t="s">
        <v>3032</v>
      </c>
      <c r="D1201" s="89" t="s">
        <v>3033</v>
      </c>
      <c r="F1201" s="43">
        <v>523041</v>
      </c>
      <c r="G1201" s="43">
        <v>174501</v>
      </c>
      <c r="H1201" s="89" t="s">
        <v>181</v>
      </c>
      <c r="K1201" s="140">
        <v>0</v>
      </c>
      <c r="L1201" s="140">
        <v>7</v>
      </c>
      <c r="M1201" s="140">
        <v>7</v>
      </c>
      <c r="N1201" s="140">
        <v>27</v>
      </c>
      <c r="O1201" s="140">
        <v>27</v>
      </c>
      <c r="P1201" s="43" t="s">
        <v>329</v>
      </c>
      <c r="Q1201" s="89" t="s">
        <v>2926</v>
      </c>
      <c r="R1201" s="43" t="s">
        <v>2927</v>
      </c>
      <c r="V1201" s="43" t="s">
        <v>317</v>
      </c>
      <c r="X1201" s="43" t="s">
        <v>318</v>
      </c>
      <c r="Y1201" s="43" t="s">
        <v>361</v>
      </c>
      <c r="Z1201" s="43" t="s">
        <v>361</v>
      </c>
      <c r="AA1201" s="43" t="s">
        <v>320</v>
      </c>
      <c r="AB1201" s="144">
        <v>0</v>
      </c>
      <c r="AF1201" s="43" t="s">
        <v>54</v>
      </c>
      <c r="AG1201" s="43" t="s">
        <v>399</v>
      </c>
      <c r="AJ1201" s="140">
        <v>0</v>
      </c>
      <c r="AL1201" s="140">
        <v>0</v>
      </c>
      <c r="AN1201" s="140">
        <v>0</v>
      </c>
      <c r="AO1201" s="140">
        <v>0</v>
      </c>
      <c r="AP1201" s="140">
        <v>0</v>
      </c>
      <c r="AQ1201" s="140">
        <v>0</v>
      </c>
      <c r="AR1201" s="140">
        <v>0</v>
      </c>
      <c r="AS1201" s="140">
        <v>0</v>
      </c>
      <c r="AT1201" s="140">
        <v>7</v>
      </c>
      <c r="AU1201" s="140">
        <v>0</v>
      </c>
      <c r="AV1201" s="140">
        <v>0</v>
      </c>
      <c r="AW1201" s="140">
        <v>0</v>
      </c>
      <c r="AX1201" s="140">
        <v>0</v>
      </c>
      <c r="AY1201" s="140">
        <v>0</v>
      </c>
      <c r="AZ1201" s="140">
        <v>0</v>
      </c>
      <c r="BA1201" s="140">
        <v>7</v>
      </c>
      <c r="BB1201" s="140">
        <v>0</v>
      </c>
      <c r="BC1201" s="140">
        <v>0</v>
      </c>
      <c r="BD1201" s="140">
        <v>0</v>
      </c>
      <c r="BE1201" s="140">
        <v>0</v>
      </c>
      <c r="BF1201" s="140">
        <v>0</v>
      </c>
      <c r="BG1201" s="140">
        <v>0</v>
      </c>
      <c r="BH1201" s="140">
        <v>0</v>
      </c>
      <c r="BI1201" s="140">
        <v>0</v>
      </c>
      <c r="BJ1201" s="140">
        <v>0</v>
      </c>
      <c r="BK1201" s="140">
        <v>0</v>
      </c>
      <c r="BL1201" s="140">
        <v>0</v>
      </c>
      <c r="BM1201" s="140">
        <v>0</v>
      </c>
      <c r="BN1201" s="140">
        <v>0</v>
      </c>
      <c r="BO1201" s="140">
        <v>0</v>
      </c>
      <c r="BU1201" s="89"/>
      <c r="BX1201" s="43">
        <v>20</v>
      </c>
      <c r="CD1201" s="90">
        <f>M1201</f>
        <v>7</v>
      </c>
      <c r="CT1201" s="90">
        <f t="shared" si="163"/>
        <v>7</v>
      </c>
      <c r="CU1201" s="90">
        <f t="shared" si="164"/>
        <v>7</v>
      </c>
    </row>
    <row r="1202" spans="1:99" ht="12" customHeight="1">
      <c r="A1202" s="43">
        <v>7387</v>
      </c>
      <c r="B1202" s="89" t="s">
        <v>2923</v>
      </c>
      <c r="C1202" s="89" t="s">
        <v>3032</v>
      </c>
      <c r="D1202" s="89" t="s">
        <v>3033</v>
      </c>
      <c r="F1202" s="43">
        <v>523041</v>
      </c>
      <c r="G1202" s="43">
        <v>174501</v>
      </c>
      <c r="H1202" s="89" t="s">
        <v>181</v>
      </c>
      <c r="K1202" s="140">
        <v>0</v>
      </c>
      <c r="L1202" s="140">
        <v>5</v>
      </c>
      <c r="M1202" s="140">
        <v>5</v>
      </c>
      <c r="N1202" s="140">
        <v>27</v>
      </c>
      <c r="O1202" s="140">
        <v>27</v>
      </c>
      <c r="P1202" s="43" t="s">
        <v>329</v>
      </c>
      <c r="Q1202" s="89" t="s">
        <v>2926</v>
      </c>
      <c r="R1202" s="43" t="s">
        <v>2927</v>
      </c>
      <c r="V1202" s="43" t="s">
        <v>317</v>
      </c>
      <c r="X1202" s="43" t="s">
        <v>318</v>
      </c>
      <c r="Y1202" s="43" t="s">
        <v>361</v>
      </c>
      <c r="Z1202" s="43" t="s">
        <v>361</v>
      </c>
      <c r="AA1202" s="43" t="s">
        <v>320</v>
      </c>
      <c r="AB1202" s="144">
        <v>0</v>
      </c>
      <c r="AF1202" s="43" t="s">
        <v>55</v>
      </c>
      <c r="AG1202" s="43" t="s">
        <v>438</v>
      </c>
      <c r="AJ1202" s="140">
        <v>0</v>
      </c>
      <c r="AL1202" s="140">
        <v>0</v>
      </c>
      <c r="AN1202" s="140">
        <v>0</v>
      </c>
      <c r="AO1202" s="140">
        <v>0</v>
      </c>
      <c r="AP1202" s="140">
        <v>0</v>
      </c>
      <c r="AQ1202" s="140">
        <v>0</v>
      </c>
      <c r="AR1202" s="140">
        <v>0</v>
      </c>
      <c r="AS1202" s="140">
        <v>0</v>
      </c>
      <c r="AT1202" s="140">
        <v>5</v>
      </c>
      <c r="AU1202" s="140">
        <v>0</v>
      </c>
      <c r="AV1202" s="140">
        <v>0</v>
      </c>
      <c r="AW1202" s="140">
        <v>0</v>
      </c>
      <c r="AX1202" s="140">
        <v>0</v>
      </c>
      <c r="AY1202" s="140">
        <v>0</v>
      </c>
      <c r="AZ1202" s="140">
        <v>0</v>
      </c>
      <c r="BA1202" s="140">
        <v>5</v>
      </c>
      <c r="BB1202" s="140">
        <v>0</v>
      </c>
      <c r="BC1202" s="140">
        <v>0</v>
      </c>
      <c r="BD1202" s="140">
        <v>0</v>
      </c>
      <c r="BE1202" s="140">
        <v>0</v>
      </c>
      <c r="BF1202" s="140">
        <v>0</v>
      </c>
      <c r="BG1202" s="140">
        <v>0</v>
      </c>
      <c r="BH1202" s="140">
        <v>0</v>
      </c>
      <c r="BI1202" s="140">
        <v>0</v>
      </c>
      <c r="BJ1202" s="140">
        <v>0</v>
      </c>
      <c r="BK1202" s="140">
        <v>0</v>
      </c>
      <c r="BL1202" s="140">
        <v>0</v>
      </c>
      <c r="BM1202" s="140">
        <v>0</v>
      </c>
      <c r="BN1202" s="140">
        <v>0</v>
      </c>
      <c r="BO1202" s="140">
        <v>0</v>
      </c>
      <c r="BU1202" s="89"/>
      <c r="BX1202" s="43">
        <v>20</v>
      </c>
      <c r="CD1202" s="90">
        <f>M1202</f>
        <v>5</v>
      </c>
      <c r="CT1202" s="90">
        <f t="shared" si="163"/>
        <v>5</v>
      </c>
      <c r="CU1202" s="90">
        <f t="shared" si="164"/>
        <v>5</v>
      </c>
    </row>
    <row r="1203" spans="1:99" ht="12" customHeight="1">
      <c r="B1203" s="89" t="s">
        <v>3034</v>
      </c>
      <c r="K1203" s="140">
        <v>0</v>
      </c>
      <c r="L1203" s="140">
        <v>441</v>
      </c>
      <c r="M1203" s="140">
        <v>441</v>
      </c>
      <c r="N1203" s="140">
        <v>0</v>
      </c>
      <c r="O1203" s="140">
        <v>0</v>
      </c>
      <c r="P1203" s="43" t="s">
        <v>329</v>
      </c>
      <c r="Q1203" s="89" t="s">
        <v>2926</v>
      </c>
      <c r="R1203" s="43" t="s">
        <v>2927</v>
      </c>
      <c r="V1203" s="43" t="s">
        <v>317</v>
      </c>
      <c r="X1203" s="43" t="s">
        <v>318</v>
      </c>
      <c r="Y1203" s="43" t="s">
        <v>361</v>
      </c>
      <c r="Z1203" s="43" t="s">
        <v>361</v>
      </c>
      <c r="AA1203" s="43" t="s">
        <v>320</v>
      </c>
      <c r="AB1203" s="144">
        <v>0</v>
      </c>
      <c r="AF1203" s="43" t="s">
        <v>75</v>
      </c>
      <c r="AG1203" s="43" t="s">
        <v>322</v>
      </c>
      <c r="AJ1203" s="140">
        <v>0</v>
      </c>
      <c r="AK1203" s="140">
        <v>0</v>
      </c>
      <c r="AL1203" s="140">
        <v>0</v>
      </c>
      <c r="AM1203" s="140">
        <v>0</v>
      </c>
      <c r="AN1203" s="140">
        <v>0</v>
      </c>
      <c r="AO1203" s="140">
        <v>0</v>
      </c>
      <c r="AP1203" s="140">
        <v>0</v>
      </c>
      <c r="AQ1203" s="140">
        <v>0</v>
      </c>
      <c r="AR1203" s="140">
        <v>0</v>
      </c>
      <c r="AS1203" s="140">
        <v>0</v>
      </c>
      <c r="AT1203" s="140">
        <f>$M1203</f>
        <v>441</v>
      </c>
      <c r="AU1203" s="140">
        <v>0</v>
      </c>
      <c r="AV1203" s="140">
        <v>0</v>
      </c>
      <c r="AW1203" s="140">
        <v>0</v>
      </c>
      <c r="AX1203" s="140">
        <v>0</v>
      </c>
      <c r="AY1203" s="140">
        <v>0</v>
      </c>
      <c r="AZ1203" s="140">
        <v>0</v>
      </c>
      <c r="BA1203" s="140">
        <f>$M1203</f>
        <v>441</v>
      </c>
      <c r="BB1203" s="140">
        <v>0</v>
      </c>
      <c r="BC1203" s="140">
        <v>0</v>
      </c>
      <c r="BD1203" s="140">
        <v>0</v>
      </c>
      <c r="BE1203" s="140">
        <v>0</v>
      </c>
      <c r="BF1203" s="140">
        <v>0</v>
      </c>
      <c r="BG1203" s="140">
        <v>0</v>
      </c>
      <c r="BH1203" s="140">
        <v>0</v>
      </c>
      <c r="BI1203" s="140">
        <v>0</v>
      </c>
      <c r="BJ1203" s="140">
        <v>0</v>
      </c>
      <c r="BK1203" s="140">
        <v>0</v>
      </c>
      <c r="BL1203" s="140">
        <v>0</v>
      </c>
      <c r="BM1203" s="140">
        <v>0</v>
      </c>
      <c r="BN1203" s="140">
        <v>0</v>
      </c>
      <c r="BO1203" s="140">
        <v>0</v>
      </c>
      <c r="BX1203" s="43">
        <v>22</v>
      </c>
      <c r="BY1203" s="90">
        <v>0</v>
      </c>
      <c r="BZ1203" s="90">
        <v>0</v>
      </c>
      <c r="CA1203" s="90">
        <v>0</v>
      </c>
      <c r="CB1203" s="90">
        <v>0</v>
      </c>
      <c r="CC1203" s="90">
        <v>0</v>
      </c>
      <c r="CE1203" s="90">
        <v>10.375</v>
      </c>
      <c r="CF1203" s="90">
        <v>10.375</v>
      </c>
      <c r="CG1203" s="90">
        <v>10.375</v>
      </c>
      <c r="CH1203" s="90">
        <v>10.375</v>
      </c>
      <c r="CI1203" s="90">
        <v>33.19166666666667</v>
      </c>
      <c r="CJ1203" s="90">
        <v>33.19166666666667</v>
      </c>
      <c r="CK1203" s="90">
        <v>33.19166666666667</v>
      </c>
      <c r="CL1203" s="90">
        <v>33.19166666666667</v>
      </c>
      <c r="CM1203" s="90">
        <v>33.19166666666667</v>
      </c>
      <c r="CN1203" s="90">
        <v>38.93452380952381</v>
      </c>
      <c r="CO1203" s="90">
        <v>38.93452380952381</v>
      </c>
      <c r="CP1203" s="90">
        <v>38.93452380952381</v>
      </c>
      <c r="CQ1203" s="90">
        <v>38.93452380952381</v>
      </c>
      <c r="CR1203" s="90">
        <v>38.93452380952381</v>
      </c>
      <c r="CS1203" s="90">
        <v>38.93452380952381</v>
      </c>
      <c r="CT1203" s="90">
        <f t="shared" si="163"/>
        <v>0</v>
      </c>
      <c r="CU1203" s="90">
        <f t="shared" si="164"/>
        <v>74.691666666666663</v>
      </c>
    </row>
    <row r="1204" spans="1:99" ht="12" customHeight="1">
      <c r="B1204" s="89" t="s">
        <v>3034</v>
      </c>
      <c r="K1204" s="140">
        <v>0</v>
      </c>
      <c r="L1204" s="140">
        <v>129</v>
      </c>
      <c r="M1204" s="140">
        <v>129</v>
      </c>
      <c r="N1204" s="140">
        <v>0</v>
      </c>
      <c r="O1204" s="140">
        <v>0</v>
      </c>
      <c r="P1204" s="43" t="s">
        <v>329</v>
      </c>
      <c r="Q1204" s="89" t="s">
        <v>2926</v>
      </c>
      <c r="R1204" s="43" t="s">
        <v>2927</v>
      </c>
      <c r="V1204" s="43" t="s">
        <v>317</v>
      </c>
      <c r="X1204" s="43" t="s">
        <v>318</v>
      </c>
      <c r="Y1204" s="43" t="s">
        <v>361</v>
      </c>
      <c r="Z1204" s="43" t="s">
        <v>361</v>
      </c>
      <c r="AA1204" s="43" t="s">
        <v>320</v>
      </c>
      <c r="AB1204" s="144">
        <v>2</v>
      </c>
      <c r="AF1204" s="43" t="s">
        <v>55</v>
      </c>
      <c r="AG1204" s="43" t="s">
        <v>457</v>
      </c>
      <c r="AJ1204" s="140">
        <v>0</v>
      </c>
      <c r="AK1204" s="140">
        <v>0</v>
      </c>
      <c r="AL1204" s="140">
        <v>0</v>
      </c>
      <c r="AM1204" s="140">
        <v>0</v>
      </c>
      <c r="AN1204" s="140">
        <v>0</v>
      </c>
      <c r="AO1204" s="140">
        <v>0</v>
      </c>
      <c r="AP1204" s="140">
        <v>0</v>
      </c>
      <c r="AQ1204" s="140">
        <v>0</v>
      </c>
      <c r="AR1204" s="140">
        <v>0</v>
      </c>
      <c r="AS1204" s="140">
        <v>0</v>
      </c>
      <c r="AT1204" s="140">
        <f>$M1204</f>
        <v>129</v>
      </c>
      <c r="AU1204" s="140">
        <v>0</v>
      </c>
      <c r="AV1204" s="140">
        <v>0</v>
      </c>
      <c r="AW1204" s="140">
        <v>0</v>
      </c>
      <c r="AX1204" s="140">
        <v>0</v>
      </c>
      <c r="AY1204" s="140">
        <v>0</v>
      </c>
      <c r="AZ1204" s="140">
        <v>0</v>
      </c>
      <c r="BA1204" s="140">
        <f>$M1204</f>
        <v>129</v>
      </c>
      <c r="BB1204" s="140">
        <v>0</v>
      </c>
      <c r="BC1204" s="140">
        <v>0</v>
      </c>
      <c r="BD1204" s="140">
        <v>0</v>
      </c>
      <c r="BE1204" s="140">
        <v>0</v>
      </c>
      <c r="BF1204" s="140">
        <v>0</v>
      </c>
      <c r="BG1204" s="140">
        <v>0</v>
      </c>
      <c r="BH1204" s="140">
        <v>0</v>
      </c>
      <c r="BI1204" s="140">
        <v>0</v>
      </c>
      <c r="BJ1204" s="140">
        <v>0</v>
      </c>
      <c r="BK1204" s="140">
        <v>0</v>
      </c>
      <c r="BL1204" s="140">
        <v>0</v>
      </c>
      <c r="BM1204" s="140">
        <v>0</v>
      </c>
      <c r="BN1204" s="140">
        <v>0</v>
      </c>
      <c r="BO1204" s="140">
        <v>0</v>
      </c>
      <c r="BX1204" s="43">
        <v>22</v>
      </c>
      <c r="BY1204" s="90">
        <v>0</v>
      </c>
      <c r="BZ1204" s="90">
        <v>0</v>
      </c>
      <c r="CA1204" s="90">
        <v>0</v>
      </c>
      <c r="CB1204" s="90">
        <v>0</v>
      </c>
      <c r="CC1204" s="90">
        <v>0</v>
      </c>
      <c r="CE1204" s="90">
        <v>3.0625</v>
      </c>
      <c r="CF1204" s="90">
        <v>3.0625</v>
      </c>
      <c r="CG1204" s="90">
        <v>3.0625</v>
      </c>
      <c r="CH1204" s="90">
        <v>3.0625</v>
      </c>
      <c r="CI1204" s="90">
        <v>9.6458333333333339</v>
      </c>
      <c r="CJ1204" s="90">
        <v>9.6458333333333339</v>
      </c>
      <c r="CK1204" s="90">
        <v>9.6458333333333339</v>
      </c>
      <c r="CL1204" s="90">
        <v>9.6458333333333339</v>
      </c>
      <c r="CM1204" s="90">
        <v>9.6458333333333339</v>
      </c>
      <c r="CN1204" s="90">
        <v>11.50297619047619</v>
      </c>
      <c r="CO1204" s="90">
        <v>11.50297619047619</v>
      </c>
      <c r="CP1204" s="90">
        <v>11.50297619047619</v>
      </c>
      <c r="CQ1204" s="90">
        <v>11.50297619047619</v>
      </c>
      <c r="CR1204" s="90">
        <v>11.50297619047619</v>
      </c>
      <c r="CS1204" s="90">
        <v>11.50297619047619</v>
      </c>
      <c r="CT1204" s="90">
        <f t="shared" si="163"/>
        <v>0</v>
      </c>
      <c r="CU1204" s="90">
        <f t="shared" si="164"/>
        <v>21.895833333333336</v>
      </c>
    </row>
    <row r="1205" spans="1:99" ht="12" customHeight="1">
      <c r="B1205" s="89" t="s">
        <v>3034</v>
      </c>
      <c r="K1205" s="140">
        <v>0</v>
      </c>
      <c r="L1205" s="140">
        <v>87</v>
      </c>
      <c r="M1205" s="140">
        <v>87</v>
      </c>
      <c r="N1205" s="140">
        <v>0</v>
      </c>
      <c r="O1205" s="140">
        <v>0</v>
      </c>
      <c r="P1205" s="43" t="s">
        <v>329</v>
      </c>
      <c r="Q1205" s="89" t="s">
        <v>2926</v>
      </c>
      <c r="R1205" s="43" t="s">
        <v>2927</v>
      </c>
      <c r="V1205" s="43" t="s">
        <v>317</v>
      </c>
      <c r="X1205" s="43" t="s">
        <v>318</v>
      </c>
      <c r="Y1205" s="43" t="s">
        <v>361</v>
      </c>
      <c r="Z1205" s="43" t="s">
        <v>361</v>
      </c>
      <c r="AA1205" s="43" t="s">
        <v>320</v>
      </c>
      <c r="AB1205" s="144">
        <v>1</v>
      </c>
      <c r="AF1205" s="43" t="s">
        <v>54</v>
      </c>
      <c r="AG1205" s="43" t="s">
        <v>1659</v>
      </c>
      <c r="AJ1205" s="140">
        <v>0</v>
      </c>
      <c r="AK1205" s="140">
        <v>0</v>
      </c>
      <c r="AL1205" s="140">
        <v>0</v>
      </c>
      <c r="AM1205" s="140">
        <v>0</v>
      </c>
      <c r="AN1205" s="140">
        <v>0</v>
      </c>
      <c r="AO1205" s="140">
        <v>0</v>
      </c>
      <c r="AP1205" s="140">
        <v>0</v>
      </c>
      <c r="AQ1205" s="140">
        <v>0</v>
      </c>
      <c r="AR1205" s="140">
        <v>0</v>
      </c>
      <c r="AS1205" s="140">
        <v>0</v>
      </c>
      <c r="AT1205" s="140">
        <f>$M1205</f>
        <v>87</v>
      </c>
      <c r="AU1205" s="140">
        <v>0</v>
      </c>
      <c r="AV1205" s="140">
        <v>0</v>
      </c>
      <c r="AW1205" s="140">
        <v>0</v>
      </c>
      <c r="AX1205" s="140">
        <v>0</v>
      </c>
      <c r="AY1205" s="140">
        <v>0</v>
      </c>
      <c r="AZ1205" s="140">
        <v>0</v>
      </c>
      <c r="BA1205" s="140">
        <f>$M1205</f>
        <v>87</v>
      </c>
      <c r="BB1205" s="140">
        <v>0</v>
      </c>
      <c r="BC1205" s="140">
        <v>0</v>
      </c>
      <c r="BD1205" s="140">
        <v>0</v>
      </c>
      <c r="BE1205" s="140">
        <v>0</v>
      </c>
      <c r="BF1205" s="140">
        <v>0</v>
      </c>
      <c r="BG1205" s="140">
        <v>0</v>
      </c>
      <c r="BH1205" s="140">
        <v>0</v>
      </c>
      <c r="BI1205" s="140">
        <v>0</v>
      </c>
      <c r="BJ1205" s="140">
        <v>0</v>
      </c>
      <c r="BK1205" s="140">
        <v>0</v>
      </c>
      <c r="BL1205" s="140">
        <v>0</v>
      </c>
      <c r="BM1205" s="140">
        <v>0</v>
      </c>
      <c r="BN1205" s="140">
        <v>0</v>
      </c>
      <c r="BO1205" s="140">
        <v>0</v>
      </c>
      <c r="BX1205" s="43">
        <v>22</v>
      </c>
      <c r="BY1205" s="90">
        <v>0</v>
      </c>
      <c r="BZ1205" s="90">
        <v>0</v>
      </c>
      <c r="CA1205" s="90">
        <v>0</v>
      </c>
      <c r="CB1205" s="90">
        <v>0</v>
      </c>
      <c r="CC1205" s="90">
        <v>0</v>
      </c>
      <c r="CE1205" s="90">
        <v>2.0625</v>
      </c>
      <c r="CF1205" s="90">
        <v>2.0625</v>
      </c>
      <c r="CG1205" s="90">
        <v>2.0625</v>
      </c>
      <c r="CH1205" s="90">
        <v>2.0625</v>
      </c>
      <c r="CI1205" s="90">
        <v>6.5458333333333334</v>
      </c>
      <c r="CJ1205" s="90">
        <v>6.5458333333333334</v>
      </c>
      <c r="CK1205" s="90">
        <v>6.5458333333333334</v>
      </c>
      <c r="CL1205" s="90">
        <v>6.5458333333333334</v>
      </c>
      <c r="CM1205" s="90">
        <v>6.5458333333333334</v>
      </c>
      <c r="CN1205" s="90">
        <v>7.7172619047619051</v>
      </c>
      <c r="CO1205" s="90">
        <v>7.7172619047619051</v>
      </c>
      <c r="CP1205" s="90">
        <v>7.7172619047619051</v>
      </c>
      <c r="CQ1205" s="90">
        <v>7.7172619047619051</v>
      </c>
      <c r="CR1205" s="90">
        <v>7.7172619047619051</v>
      </c>
      <c r="CS1205" s="90">
        <v>7.7172619047619051</v>
      </c>
      <c r="CT1205" s="90">
        <f t="shared" si="163"/>
        <v>0</v>
      </c>
      <c r="CU1205" s="90">
        <f t="shared" si="164"/>
        <v>14.795833333333334</v>
      </c>
    </row>
    <row r="1206" spans="1:99" ht="12" customHeight="1">
      <c r="B1206" s="89" t="s">
        <v>3035</v>
      </c>
      <c r="K1206" s="140">
        <v>0</v>
      </c>
      <c r="L1206" s="140">
        <f>SUM(BZ1206:CS1206)</f>
        <v>7452</v>
      </c>
      <c r="M1206" s="140">
        <f>SUM(BZ1206:CS1206)</f>
        <v>7452</v>
      </c>
      <c r="N1206" s="140">
        <v>0</v>
      </c>
      <c r="O1206" s="140">
        <v>0</v>
      </c>
      <c r="Q1206" s="89" t="s">
        <v>2926</v>
      </c>
      <c r="R1206" s="43" t="s">
        <v>2927</v>
      </c>
      <c r="V1206" s="43" t="s">
        <v>317</v>
      </c>
      <c r="X1206" s="43" t="s">
        <v>318</v>
      </c>
      <c r="Y1206" s="43" t="s">
        <v>348</v>
      </c>
      <c r="Z1206" s="43" t="s">
        <v>320</v>
      </c>
      <c r="AA1206" s="43" t="s">
        <v>20</v>
      </c>
      <c r="AB1206" s="144">
        <v>0</v>
      </c>
      <c r="AF1206" s="43" t="s">
        <v>77</v>
      </c>
      <c r="AG1206" s="43" t="s">
        <v>3036</v>
      </c>
      <c r="AT1206" s="140">
        <f>SUM(BZ1206:CS1206)</f>
        <v>7452</v>
      </c>
      <c r="BA1206" s="140">
        <v>0</v>
      </c>
      <c r="BX1206" s="43">
        <v>23</v>
      </c>
      <c r="BY1206" s="90">
        <v>0</v>
      </c>
      <c r="BZ1206" s="90">
        <v>0</v>
      </c>
      <c r="CA1206" s="90">
        <v>0</v>
      </c>
      <c r="CB1206" s="90">
        <v>414</v>
      </c>
      <c r="CC1206" s="90">
        <v>414</v>
      </c>
      <c r="CD1206" s="90">
        <v>414</v>
      </c>
      <c r="CE1206" s="90">
        <v>414</v>
      </c>
      <c r="CF1206" s="90">
        <v>414</v>
      </c>
      <c r="CG1206" s="90">
        <v>414</v>
      </c>
      <c r="CH1206" s="90">
        <v>414</v>
      </c>
      <c r="CI1206" s="90">
        <v>414</v>
      </c>
      <c r="CJ1206" s="90">
        <v>414</v>
      </c>
      <c r="CK1206" s="90">
        <v>414</v>
      </c>
      <c r="CL1206" s="90">
        <v>414</v>
      </c>
      <c r="CM1206" s="90">
        <v>414</v>
      </c>
      <c r="CN1206" s="90">
        <v>414</v>
      </c>
      <c r="CO1206" s="90">
        <v>414</v>
      </c>
      <c r="CP1206" s="90">
        <v>414</v>
      </c>
      <c r="CQ1206" s="90">
        <v>414</v>
      </c>
      <c r="CR1206" s="90">
        <v>414</v>
      </c>
      <c r="CS1206" s="90">
        <v>414</v>
      </c>
      <c r="CT1206" s="90">
        <f t="shared" si="163"/>
        <v>1242</v>
      </c>
      <c r="CU1206" s="90">
        <f t="shared" si="164"/>
        <v>3312</v>
      </c>
    </row>
  </sheetData>
  <autoFilter ref="A1:CU1206" xr:uid="{3DEF885F-C72B-4D59-9E1D-81E6681FDA99}"/>
  <sortState xmlns:xlrd2="http://schemas.microsoft.com/office/spreadsheetml/2017/richdata2" ref="A2:CU1206">
    <sortCondition ref="B2:B1206"/>
    <sortCondition ref="A2:A1206"/>
    <sortCondition ref="C2:C1206"/>
    <sortCondition ref="E2:E1206"/>
    <sortCondition descending="1" ref="N2:N1206"/>
  </sortState>
  <printOptions horizontalCentered="1"/>
  <pageMargins left="0.39370078740157483" right="0.39370078740157483" top="0.39370078740157483" bottom="0.39370078740157483" header="0.19685039370078741" footer="0.19685039370078741"/>
  <pageSetup paperSize="9" scale="15" fitToHeight="0" orientation="landscape" verticalDpi="1200" r:id="rId1"/>
  <headerFooter alignWithMargins="0">
    <oddFooter>&amp;C&amp;8&amp;P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pageSetUpPr fitToPage="1"/>
  </sheetPr>
  <dimension ref="A1:B5"/>
  <sheetViews>
    <sheetView workbookViewId="0">
      <selection sqref="A1:B1"/>
    </sheetView>
  </sheetViews>
  <sheetFormatPr defaultRowHeight="12.75"/>
  <cols>
    <col min="1" max="1" width="22.5703125" bestFit="1" customWidth="1"/>
    <col min="2" max="2" width="15.140625" bestFit="1" customWidth="1"/>
  </cols>
  <sheetData>
    <row r="1" spans="1:2">
      <c r="A1" s="44" t="s">
        <v>74</v>
      </c>
      <c r="B1" t="s">
        <v>312</v>
      </c>
    </row>
    <row r="2" spans="1:2">
      <c r="A2" s="44" t="s">
        <v>159</v>
      </c>
      <c r="B2" t="s">
        <v>329</v>
      </c>
    </row>
    <row r="4" spans="1:2">
      <c r="A4" t="s">
        <v>3251</v>
      </c>
    </row>
    <row r="5" spans="1:2">
      <c r="A5">
        <v>30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1">
    <pageSetUpPr fitToPage="1"/>
  </sheetPr>
  <dimension ref="A1:B5"/>
  <sheetViews>
    <sheetView workbookViewId="0">
      <selection sqref="A1:B1"/>
    </sheetView>
  </sheetViews>
  <sheetFormatPr defaultRowHeight="12.75"/>
  <cols>
    <col min="1" max="1" width="34.85546875" bestFit="1" customWidth="1"/>
    <col min="2" max="2" width="15.140625" bestFit="1" customWidth="1"/>
  </cols>
  <sheetData>
    <row r="1" spans="1:2">
      <c r="A1" s="44" t="s">
        <v>74</v>
      </c>
      <c r="B1" t="s">
        <v>312</v>
      </c>
    </row>
    <row r="2" spans="1:2">
      <c r="A2" s="44" t="s">
        <v>161</v>
      </c>
      <c r="B2" t="s">
        <v>329</v>
      </c>
    </row>
    <row r="4" spans="1:2">
      <c r="A4" t="s">
        <v>3251</v>
      </c>
    </row>
    <row r="5" spans="1:2">
      <c r="A5">
        <v>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pageSetUpPr fitToPage="1"/>
  </sheetPr>
  <dimension ref="A1:E23"/>
  <sheetViews>
    <sheetView workbookViewId="0">
      <selection sqref="A1:B1"/>
    </sheetView>
  </sheetViews>
  <sheetFormatPr defaultRowHeight="12.75"/>
  <cols>
    <col min="1" max="1" width="27.42578125" bestFit="1" customWidth="1"/>
    <col min="2" max="2" width="17" customWidth="1"/>
    <col min="3" max="3" width="21.140625" bestFit="1" customWidth="1"/>
    <col min="4" max="4" width="11.7109375" bestFit="1" customWidth="1"/>
    <col min="5" max="6" width="11.7109375" customWidth="1"/>
  </cols>
  <sheetData>
    <row r="1" spans="1:5">
      <c r="A1" s="44" t="s">
        <v>3251</v>
      </c>
      <c r="B1" s="44" t="s">
        <v>3254</v>
      </c>
    </row>
    <row r="2" spans="1:5">
      <c r="A2" s="44" t="s">
        <v>3250</v>
      </c>
      <c r="B2" t="s">
        <v>312</v>
      </c>
      <c r="C2" t="s">
        <v>813</v>
      </c>
      <c r="D2" t="s">
        <v>1515</v>
      </c>
      <c r="E2" t="s">
        <v>3252</v>
      </c>
    </row>
    <row r="3" spans="1:5">
      <c r="A3" s="41" t="s">
        <v>138</v>
      </c>
      <c r="B3">
        <v>15</v>
      </c>
      <c r="C3">
        <v>131</v>
      </c>
      <c r="D3">
        <v>38</v>
      </c>
      <c r="E3">
        <v>184</v>
      </c>
    </row>
    <row r="4" spans="1:5">
      <c r="A4" s="41" t="s">
        <v>167</v>
      </c>
      <c r="B4">
        <v>6</v>
      </c>
      <c r="C4">
        <v>14</v>
      </c>
      <c r="D4">
        <v>32</v>
      </c>
      <c r="E4">
        <v>52</v>
      </c>
    </row>
    <row r="5" spans="1:5">
      <c r="A5" s="41" t="s">
        <v>168</v>
      </c>
      <c r="B5">
        <v>45</v>
      </c>
      <c r="C5">
        <v>25</v>
      </c>
      <c r="D5">
        <v>36</v>
      </c>
      <c r="E5">
        <v>106</v>
      </c>
    </row>
    <row r="6" spans="1:5">
      <c r="A6" s="41" t="s">
        <v>169</v>
      </c>
      <c r="B6">
        <v>18</v>
      </c>
      <c r="C6">
        <v>21</v>
      </c>
      <c r="D6">
        <v>58</v>
      </c>
      <c r="E6">
        <v>97</v>
      </c>
    </row>
    <row r="7" spans="1:5">
      <c r="A7" s="41" t="s">
        <v>170</v>
      </c>
      <c r="B7">
        <v>104</v>
      </c>
      <c r="C7">
        <v>141</v>
      </c>
      <c r="D7">
        <v>1340</v>
      </c>
      <c r="E7">
        <v>1585</v>
      </c>
    </row>
    <row r="8" spans="1:5">
      <c r="A8" s="41" t="s">
        <v>171</v>
      </c>
      <c r="B8">
        <v>7</v>
      </c>
      <c r="C8">
        <v>21</v>
      </c>
      <c r="D8">
        <v>25</v>
      </c>
      <c r="E8">
        <v>53</v>
      </c>
    </row>
    <row r="9" spans="1:5">
      <c r="A9" s="41" t="s">
        <v>172</v>
      </c>
      <c r="B9">
        <v>66</v>
      </c>
      <c r="C9">
        <v>39</v>
      </c>
      <c r="D9">
        <v>23</v>
      </c>
      <c r="E9">
        <v>128</v>
      </c>
    </row>
    <row r="10" spans="1:5">
      <c r="A10" s="41" t="s">
        <v>147</v>
      </c>
      <c r="B10">
        <v>13</v>
      </c>
      <c r="C10">
        <v>209</v>
      </c>
      <c r="D10">
        <v>13</v>
      </c>
      <c r="E10">
        <v>235</v>
      </c>
    </row>
    <row r="11" spans="1:5">
      <c r="A11" s="41" t="s">
        <v>173</v>
      </c>
      <c r="B11">
        <v>78</v>
      </c>
      <c r="C11">
        <v>51</v>
      </c>
      <c r="D11">
        <v>96</v>
      </c>
      <c r="E11">
        <v>225</v>
      </c>
    </row>
    <row r="12" spans="1:5">
      <c r="A12" s="41" t="s">
        <v>174</v>
      </c>
      <c r="B12">
        <v>17</v>
      </c>
      <c r="C12">
        <v>89</v>
      </c>
      <c r="D12">
        <v>206</v>
      </c>
      <c r="E12">
        <v>312</v>
      </c>
    </row>
    <row r="13" spans="1:5">
      <c r="A13" s="41" t="s">
        <v>148</v>
      </c>
      <c r="B13">
        <v>494</v>
      </c>
      <c r="C13">
        <v>5996</v>
      </c>
      <c r="D13">
        <v>4467</v>
      </c>
      <c r="E13">
        <v>10957</v>
      </c>
    </row>
    <row r="14" spans="1:5">
      <c r="A14" s="41" t="s">
        <v>149</v>
      </c>
      <c r="B14">
        <v>10</v>
      </c>
      <c r="C14">
        <v>33</v>
      </c>
      <c r="D14">
        <v>51</v>
      </c>
      <c r="E14">
        <v>94</v>
      </c>
    </row>
    <row r="15" spans="1:5">
      <c r="A15" s="41" t="s">
        <v>175</v>
      </c>
      <c r="B15">
        <v>15</v>
      </c>
      <c r="C15">
        <v>42</v>
      </c>
      <c r="D15">
        <v>17</v>
      </c>
      <c r="E15">
        <v>74</v>
      </c>
    </row>
    <row r="16" spans="1:5">
      <c r="A16" s="41" t="s">
        <v>176</v>
      </c>
      <c r="B16">
        <v>78</v>
      </c>
      <c r="C16">
        <v>83</v>
      </c>
      <c r="D16">
        <v>42</v>
      </c>
      <c r="E16">
        <v>203</v>
      </c>
    </row>
    <row r="17" spans="1:5">
      <c r="A17" s="41" t="s">
        <v>177</v>
      </c>
      <c r="B17">
        <v>27</v>
      </c>
      <c r="C17">
        <v>482</v>
      </c>
      <c r="D17">
        <v>519</v>
      </c>
      <c r="E17">
        <v>1028</v>
      </c>
    </row>
    <row r="18" spans="1:5">
      <c r="A18" s="41" t="s">
        <v>178</v>
      </c>
      <c r="B18">
        <v>289</v>
      </c>
      <c r="C18">
        <v>394</v>
      </c>
      <c r="D18">
        <v>172</v>
      </c>
      <c r="E18">
        <v>855</v>
      </c>
    </row>
    <row r="19" spans="1:5">
      <c r="A19" s="41" t="s">
        <v>141</v>
      </c>
      <c r="B19">
        <v>23</v>
      </c>
      <c r="C19">
        <v>97</v>
      </c>
      <c r="D19">
        <v>80</v>
      </c>
      <c r="E19">
        <v>200</v>
      </c>
    </row>
    <row r="20" spans="1:5">
      <c r="A20" s="41" t="s">
        <v>179</v>
      </c>
      <c r="B20">
        <v>19</v>
      </c>
      <c r="C20">
        <v>13</v>
      </c>
      <c r="D20">
        <v>824</v>
      </c>
      <c r="E20">
        <v>856</v>
      </c>
    </row>
    <row r="21" spans="1:5">
      <c r="A21" s="41" t="s">
        <v>180</v>
      </c>
      <c r="B21">
        <v>2</v>
      </c>
      <c r="C21">
        <v>49</v>
      </c>
      <c r="D21">
        <v>16</v>
      </c>
      <c r="E21">
        <v>67</v>
      </c>
    </row>
    <row r="22" spans="1:5">
      <c r="A22" s="41" t="s">
        <v>181</v>
      </c>
      <c r="B22">
        <v>4</v>
      </c>
      <c r="C22">
        <v>-1</v>
      </c>
      <c r="D22">
        <v>14</v>
      </c>
      <c r="E22">
        <v>17</v>
      </c>
    </row>
    <row r="23" spans="1:5">
      <c r="A23" s="41" t="s">
        <v>3252</v>
      </c>
      <c r="B23">
        <v>1330</v>
      </c>
      <c r="C23">
        <v>7929</v>
      </c>
      <c r="D23">
        <v>8069</v>
      </c>
      <c r="E23">
        <v>17328</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pageSetUpPr fitToPage="1"/>
  </sheetPr>
  <dimension ref="A1:P6"/>
  <sheetViews>
    <sheetView workbookViewId="0">
      <selection sqref="A1:B1"/>
    </sheetView>
  </sheetViews>
  <sheetFormatPr defaultRowHeight="12.75"/>
  <cols>
    <col min="1" max="1" width="22.5703125" bestFit="1" customWidth="1"/>
    <col min="2" max="2" width="17" bestFit="1" customWidth="1"/>
    <col min="3" max="3" width="12.5703125" bestFit="1" customWidth="1"/>
    <col min="4" max="4" width="21.85546875" bestFit="1" customWidth="1"/>
    <col min="5" max="5" width="17" bestFit="1" customWidth="1"/>
    <col min="6" max="6" width="23.140625" customWidth="1"/>
    <col min="7" max="7" width="12.5703125" customWidth="1"/>
    <col min="8" max="8" width="21.85546875" customWidth="1"/>
    <col min="9" max="9" width="26.5703125" customWidth="1"/>
    <col min="10" max="10" width="16.140625" customWidth="1"/>
    <col min="11" max="11" width="12.5703125" customWidth="1"/>
    <col min="12" max="12" width="21.85546875" customWidth="1"/>
    <col min="13" max="13" width="19.42578125" customWidth="1"/>
    <col min="14" max="14" width="11.7109375" bestFit="1" customWidth="1"/>
    <col min="15" max="15" width="29.85546875" customWidth="1"/>
    <col min="16" max="16" width="11.7109375" customWidth="1"/>
  </cols>
  <sheetData>
    <row r="1" spans="1:16">
      <c r="A1" s="44" t="s">
        <v>3251</v>
      </c>
      <c r="B1" s="44" t="s">
        <v>3254</v>
      </c>
    </row>
    <row r="2" spans="1:16">
      <c r="B2" t="s">
        <v>1515</v>
      </c>
      <c r="E2" t="s">
        <v>3262</v>
      </c>
      <c r="F2" t="s">
        <v>813</v>
      </c>
      <c r="I2" t="s">
        <v>3263</v>
      </c>
      <c r="J2" t="s">
        <v>312</v>
      </c>
      <c r="M2" t="s">
        <v>3264</v>
      </c>
      <c r="N2" t="s">
        <v>3252</v>
      </c>
      <c r="O2" s="44"/>
      <c r="P2" s="44"/>
    </row>
    <row r="3" spans="1:16">
      <c r="A3" s="44" t="s">
        <v>3250</v>
      </c>
      <c r="B3" t="s">
        <v>54</v>
      </c>
      <c r="C3" t="s">
        <v>75</v>
      </c>
      <c r="D3" t="s">
        <v>55</v>
      </c>
      <c r="F3" t="s">
        <v>54</v>
      </c>
      <c r="G3" t="s">
        <v>75</v>
      </c>
      <c r="H3" t="s">
        <v>55</v>
      </c>
      <c r="J3" t="s">
        <v>54</v>
      </c>
      <c r="K3" t="s">
        <v>75</v>
      </c>
      <c r="L3" t="s">
        <v>55</v>
      </c>
    </row>
    <row r="4" spans="1:16">
      <c r="A4" s="41" t="s">
        <v>329</v>
      </c>
      <c r="B4">
        <v>477</v>
      </c>
      <c r="C4">
        <v>3682</v>
      </c>
      <c r="D4">
        <v>304</v>
      </c>
      <c r="E4">
        <v>4463</v>
      </c>
      <c r="F4">
        <v>799</v>
      </c>
      <c r="G4">
        <v>4895</v>
      </c>
      <c r="H4">
        <v>290</v>
      </c>
      <c r="I4">
        <v>5984</v>
      </c>
      <c r="J4">
        <v>57</v>
      </c>
      <c r="K4">
        <v>336</v>
      </c>
      <c r="L4">
        <v>96</v>
      </c>
      <c r="M4">
        <v>489</v>
      </c>
      <c r="N4">
        <v>10936</v>
      </c>
    </row>
    <row r="5" spans="1:16">
      <c r="A5" s="41" t="s">
        <v>3257</v>
      </c>
      <c r="B5">
        <v>504</v>
      </c>
      <c r="C5">
        <v>2841</v>
      </c>
      <c r="D5">
        <v>261</v>
      </c>
      <c r="E5">
        <v>3606</v>
      </c>
      <c r="F5">
        <v>305</v>
      </c>
      <c r="G5">
        <v>1313</v>
      </c>
      <c r="H5">
        <v>327</v>
      </c>
      <c r="I5">
        <v>1945</v>
      </c>
      <c r="J5">
        <v>139</v>
      </c>
      <c r="K5">
        <v>611</v>
      </c>
      <c r="L5">
        <v>91</v>
      </c>
      <c r="M5">
        <v>841</v>
      </c>
      <c r="N5">
        <v>6392</v>
      </c>
    </row>
    <row r="6" spans="1:16">
      <c r="A6" s="41" t="s">
        <v>3252</v>
      </c>
      <c r="B6">
        <v>981</v>
      </c>
      <c r="C6">
        <v>6523</v>
      </c>
      <c r="D6">
        <v>565</v>
      </c>
      <c r="E6">
        <v>8069</v>
      </c>
      <c r="F6">
        <v>1104</v>
      </c>
      <c r="G6">
        <v>6208</v>
      </c>
      <c r="H6">
        <v>617</v>
      </c>
      <c r="I6">
        <v>7929</v>
      </c>
      <c r="J6">
        <v>196</v>
      </c>
      <c r="K6">
        <v>947</v>
      </c>
      <c r="L6">
        <v>187</v>
      </c>
      <c r="M6">
        <v>1330</v>
      </c>
      <c r="N6">
        <v>17328</v>
      </c>
    </row>
  </sheetData>
  <printOptions horizontalCentered="1"/>
  <pageMargins left="0.39370078740157483" right="0.39370078740157483" top="0.39370078740157483" bottom="0.39370078740157483" header="0.19685039370078741" footer="0.19685039370078741"/>
  <pageSetup paperSize="9" scale="55" fitToHeight="0" orientation="landscape" r:id="rId2"/>
  <headerFooter alignWithMargins="0">
    <oddFooter>&amp;C&amp;8&amp;P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pageSetUpPr fitToPage="1"/>
  </sheetPr>
  <dimension ref="A1:I9"/>
  <sheetViews>
    <sheetView workbookViewId="0">
      <selection sqref="A1:B1"/>
    </sheetView>
  </sheetViews>
  <sheetFormatPr defaultRowHeight="12.75"/>
  <cols>
    <col min="1" max="1" width="31.7109375" bestFit="1" customWidth="1"/>
    <col min="2" max="2" width="22.5703125" bestFit="1" customWidth="1"/>
    <col min="3" max="3" width="22.85546875" bestFit="1" customWidth="1"/>
    <col min="4" max="7" width="22.140625" bestFit="1" customWidth="1"/>
    <col min="8" max="8" width="23.28515625" bestFit="1" customWidth="1"/>
    <col min="9" max="24" width="31.28515625" bestFit="1" customWidth="1"/>
    <col min="25" max="25" width="27.85546875" bestFit="1" customWidth="1"/>
    <col min="26" max="26" width="28.140625" bestFit="1" customWidth="1"/>
    <col min="27" max="30" width="27.42578125" bestFit="1" customWidth="1"/>
    <col min="31" max="31" width="28.5703125" bestFit="1" customWidth="1"/>
    <col min="32" max="33" width="36.5703125" bestFit="1" customWidth="1"/>
  </cols>
  <sheetData>
    <row r="1" spans="1:9">
      <c r="A1" s="44" t="s">
        <v>74</v>
      </c>
      <c r="B1" t="s">
        <v>312</v>
      </c>
    </row>
    <row r="2" spans="1:9">
      <c r="A2" s="44" t="s">
        <v>261</v>
      </c>
      <c r="B2" t="s">
        <v>3255</v>
      </c>
    </row>
    <row r="3" spans="1:9">
      <c r="A3" s="44" t="s">
        <v>262</v>
      </c>
      <c r="B3" t="s">
        <v>3255</v>
      </c>
    </row>
    <row r="5" spans="1:9">
      <c r="A5" s="44" t="s">
        <v>3250</v>
      </c>
      <c r="B5" t="s">
        <v>3251</v>
      </c>
      <c r="C5" t="s">
        <v>3265</v>
      </c>
      <c r="D5" t="s">
        <v>3266</v>
      </c>
      <c r="E5" t="s">
        <v>3267</v>
      </c>
      <c r="F5" t="s">
        <v>3268</v>
      </c>
      <c r="G5" t="s">
        <v>3269</v>
      </c>
      <c r="H5" t="s">
        <v>3270</v>
      </c>
      <c r="I5" t="s">
        <v>3271</v>
      </c>
    </row>
    <row r="6" spans="1:9">
      <c r="A6" s="41" t="s">
        <v>54</v>
      </c>
      <c r="B6">
        <v>196</v>
      </c>
      <c r="C6">
        <v>3</v>
      </c>
      <c r="D6">
        <v>64</v>
      </c>
      <c r="E6">
        <v>124</v>
      </c>
      <c r="F6">
        <v>5</v>
      </c>
      <c r="G6">
        <v>0</v>
      </c>
      <c r="H6">
        <v>0</v>
      </c>
      <c r="I6">
        <v>0</v>
      </c>
    </row>
    <row r="7" spans="1:9">
      <c r="A7" s="41" t="s">
        <v>75</v>
      </c>
      <c r="B7">
        <v>739</v>
      </c>
      <c r="C7">
        <v>1</v>
      </c>
      <c r="D7">
        <v>163</v>
      </c>
      <c r="E7">
        <v>480</v>
      </c>
      <c r="F7">
        <v>82</v>
      </c>
      <c r="G7">
        <v>8</v>
      </c>
      <c r="H7">
        <v>5</v>
      </c>
      <c r="I7">
        <v>0</v>
      </c>
    </row>
    <row r="8" spans="1:9">
      <c r="A8" s="41" t="s">
        <v>55</v>
      </c>
      <c r="B8">
        <v>136</v>
      </c>
      <c r="C8">
        <v>0</v>
      </c>
      <c r="D8">
        <v>21</v>
      </c>
      <c r="E8">
        <v>55</v>
      </c>
      <c r="F8">
        <v>41</v>
      </c>
      <c r="G8">
        <v>19</v>
      </c>
      <c r="H8">
        <v>0</v>
      </c>
      <c r="I8">
        <v>0</v>
      </c>
    </row>
    <row r="9" spans="1:9">
      <c r="A9" s="41" t="s">
        <v>3252</v>
      </c>
      <c r="B9">
        <v>1071</v>
      </c>
      <c r="C9">
        <v>4</v>
      </c>
      <c r="D9">
        <v>248</v>
      </c>
      <c r="E9">
        <v>659</v>
      </c>
      <c r="F9">
        <v>128</v>
      </c>
      <c r="G9">
        <v>27</v>
      </c>
      <c r="H9">
        <v>5</v>
      </c>
      <c r="I9">
        <v>0</v>
      </c>
    </row>
  </sheetData>
  <printOptions horizontalCentered="1"/>
  <pageMargins left="0.39370078740157483" right="0.39370078740157483" top="0.39370078740157483" bottom="0.39370078740157483" header="0.19685039370078741" footer="0.19685039370078741"/>
  <pageSetup paperSize="9" scale="64" fitToHeight="0" orientation="landscape" r:id="rId2"/>
  <headerFooter alignWithMargins="0">
    <oddFooter>&amp;C&amp;8&amp;P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5">
    <pageSetUpPr fitToPage="1"/>
  </sheetPr>
  <dimension ref="A1:I9"/>
  <sheetViews>
    <sheetView workbookViewId="0">
      <selection sqref="A1:B1"/>
    </sheetView>
  </sheetViews>
  <sheetFormatPr defaultRowHeight="12.75"/>
  <cols>
    <col min="1" max="1" width="31.7109375" bestFit="1" customWidth="1"/>
    <col min="2" max="2" width="22.5703125" bestFit="1" customWidth="1"/>
    <col min="3" max="3" width="22.85546875" bestFit="1" customWidth="1"/>
    <col min="4" max="6" width="22.140625" customWidth="1"/>
    <col min="7" max="7" width="22.140625" bestFit="1" customWidth="1"/>
    <col min="8" max="8" width="23.28515625" bestFit="1" customWidth="1"/>
    <col min="9" max="9" width="31.28515625" bestFit="1" customWidth="1"/>
  </cols>
  <sheetData>
    <row r="1" spans="1:9">
      <c r="A1" s="44" t="s">
        <v>74</v>
      </c>
      <c r="B1" t="s">
        <v>3255</v>
      </c>
    </row>
    <row r="2" spans="1:9">
      <c r="A2" s="44" t="s">
        <v>261</v>
      </c>
      <c r="B2" t="s">
        <v>3255</v>
      </c>
    </row>
    <row r="3" spans="1:9">
      <c r="A3" s="44" t="s">
        <v>262</v>
      </c>
      <c r="B3" t="s">
        <v>3255</v>
      </c>
    </row>
    <row r="5" spans="1:9">
      <c r="A5" s="44" t="s">
        <v>3250</v>
      </c>
      <c r="B5" t="s">
        <v>3251</v>
      </c>
      <c r="C5" t="s">
        <v>3265</v>
      </c>
      <c r="D5" t="s">
        <v>3266</v>
      </c>
      <c r="E5" t="s">
        <v>3267</v>
      </c>
      <c r="F5" t="s">
        <v>3268</v>
      </c>
      <c r="G5" t="s">
        <v>3269</v>
      </c>
      <c r="H5" t="s">
        <v>3270</v>
      </c>
      <c r="I5" t="s">
        <v>3271</v>
      </c>
    </row>
    <row r="6" spans="1:9">
      <c r="A6" s="41" t="s">
        <v>54</v>
      </c>
      <c r="B6">
        <v>2069</v>
      </c>
      <c r="C6">
        <v>6</v>
      </c>
      <c r="D6">
        <v>804</v>
      </c>
      <c r="E6">
        <v>992</v>
      </c>
      <c r="F6">
        <v>220</v>
      </c>
      <c r="G6">
        <v>47</v>
      </c>
      <c r="H6">
        <v>0</v>
      </c>
      <c r="I6">
        <v>0</v>
      </c>
    </row>
    <row r="7" spans="1:9">
      <c r="A7" s="41" t="s">
        <v>75</v>
      </c>
      <c r="B7">
        <v>11531</v>
      </c>
      <c r="C7">
        <v>693</v>
      </c>
      <c r="D7">
        <v>2796</v>
      </c>
      <c r="E7">
        <v>5447</v>
      </c>
      <c r="F7">
        <v>2102</v>
      </c>
      <c r="G7">
        <v>261</v>
      </c>
      <c r="H7">
        <v>238</v>
      </c>
      <c r="I7">
        <v>-6</v>
      </c>
    </row>
    <row r="8" spans="1:9">
      <c r="A8" s="41" t="s">
        <v>55</v>
      </c>
      <c r="B8">
        <v>1164</v>
      </c>
      <c r="C8">
        <v>-55</v>
      </c>
      <c r="D8">
        <v>468</v>
      </c>
      <c r="E8">
        <v>485</v>
      </c>
      <c r="F8">
        <v>220</v>
      </c>
      <c r="G8">
        <v>44</v>
      </c>
      <c r="H8">
        <v>2</v>
      </c>
      <c r="I8">
        <v>0</v>
      </c>
    </row>
    <row r="9" spans="1:9">
      <c r="A9" s="41" t="s">
        <v>3252</v>
      </c>
      <c r="B9">
        <v>14764</v>
      </c>
      <c r="C9">
        <v>644</v>
      </c>
      <c r="D9">
        <v>4068</v>
      </c>
      <c r="E9">
        <v>6924</v>
      </c>
      <c r="F9">
        <v>2542</v>
      </c>
      <c r="G9">
        <v>352</v>
      </c>
      <c r="H9">
        <v>240</v>
      </c>
      <c r="I9">
        <v>-6</v>
      </c>
    </row>
  </sheetData>
  <printOptions horizontalCentered="1"/>
  <pageMargins left="0.39370078740157483" right="0.39370078740157483" top="0.39370078740157483" bottom="0.39370078740157483" header="0.19685039370078741" footer="0.19685039370078741"/>
  <pageSetup paperSize="9" scale="64" fitToHeight="0" orientation="landscape" r:id="rId2"/>
  <headerFooter alignWithMargins="0">
    <oddFooter>&amp;C&amp;8&amp;P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pageSetUpPr fitToPage="1"/>
  </sheetPr>
  <dimension ref="A1:M8"/>
  <sheetViews>
    <sheetView workbookViewId="0">
      <selection sqref="A1:B1"/>
    </sheetView>
  </sheetViews>
  <sheetFormatPr defaultRowHeight="12.75"/>
  <cols>
    <col min="1" max="1" width="28.28515625" bestFit="1" customWidth="1"/>
    <col min="2" max="2" width="17" bestFit="1" customWidth="1"/>
    <col min="3" max="3" width="2.140625" bestFit="1" customWidth="1"/>
    <col min="4" max="4" width="2.5703125" bestFit="1" customWidth="1"/>
    <col min="5" max="5" width="3.140625" bestFit="1" customWidth="1"/>
    <col min="6" max="6" width="2.140625" bestFit="1" customWidth="1"/>
    <col min="7" max="9" width="3" bestFit="1" customWidth="1"/>
    <col min="10" max="10" width="2.140625" customWidth="1"/>
    <col min="11" max="11" width="3" bestFit="1" customWidth="1"/>
    <col min="12" max="12" width="4" bestFit="1" customWidth="1"/>
    <col min="13" max="13" width="11.7109375" bestFit="1" customWidth="1"/>
    <col min="14" max="15" width="11.7109375" customWidth="1"/>
    <col min="16" max="16" width="22.5703125" customWidth="1"/>
    <col min="17" max="17" width="28.28515625" customWidth="1"/>
    <col min="18" max="18" width="22.5703125" bestFit="1" customWidth="1"/>
    <col min="19" max="19" width="28.28515625" bestFit="1" customWidth="1"/>
    <col min="20" max="20" width="22.5703125" bestFit="1" customWidth="1"/>
    <col min="21" max="21" width="28.28515625" bestFit="1" customWidth="1"/>
    <col min="22" max="22" width="22.5703125" bestFit="1" customWidth="1"/>
    <col min="23" max="23" width="28.28515625" bestFit="1" customWidth="1"/>
    <col min="24" max="24" width="22.5703125" bestFit="1" customWidth="1"/>
    <col min="25" max="25" width="28.28515625" bestFit="1" customWidth="1"/>
    <col min="26" max="26" width="22.5703125" bestFit="1" customWidth="1"/>
    <col min="27" max="27" width="28.28515625" bestFit="1" customWidth="1"/>
    <col min="28" max="28" width="27.85546875" bestFit="1" customWidth="1"/>
    <col min="29" max="29" width="33.5703125" bestFit="1" customWidth="1"/>
  </cols>
  <sheetData>
    <row r="1" spans="1:13">
      <c r="A1" s="44" t="s">
        <v>74</v>
      </c>
      <c r="B1" t="s">
        <v>312</v>
      </c>
    </row>
    <row r="3" spans="1:13">
      <c r="A3" s="44" t="s">
        <v>3256</v>
      </c>
      <c r="B3" s="44" t="s">
        <v>3254</v>
      </c>
    </row>
    <row r="4" spans="1:13">
      <c r="A4" s="44" t="s">
        <v>3250</v>
      </c>
      <c r="B4" t="s">
        <v>20</v>
      </c>
      <c r="C4" t="s">
        <v>22</v>
      </c>
      <c r="D4" t="s">
        <v>636</v>
      </c>
      <c r="E4" t="s">
        <v>321</v>
      </c>
      <c r="F4" t="s">
        <v>27</v>
      </c>
      <c r="G4" t="s">
        <v>30</v>
      </c>
      <c r="H4" t="s">
        <v>33</v>
      </c>
      <c r="I4" t="s">
        <v>36</v>
      </c>
      <c r="J4" t="s">
        <v>39</v>
      </c>
      <c r="K4" t="s">
        <v>340</v>
      </c>
      <c r="L4" t="s">
        <v>320</v>
      </c>
      <c r="M4" t="s">
        <v>3252</v>
      </c>
    </row>
    <row r="5" spans="1:13">
      <c r="A5" s="41" t="s">
        <v>320</v>
      </c>
      <c r="B5">
        <v>42</v>
      </c>
      <c r="C5">
        <v>8</v>
      </c>
      <c r="D5">
        <v>6</v>
      </c>
      <c r="E5">
        <v>46</v>
      </c>
      <c r="F5">
        <v>1</v>
      </c>
      <c r="G5">
        <v>15</v>
      </c>
      <c r="H5">
        <v>25</v>
      </c>
      <c r="I5">
        <v>18</v>
      </c>
      <c r="J5">
        <v>0</v>
      </c>
      <c r="K5">
        <v>37</v>
      </c>
      <c r="L5">
        <v>0</v>
      </c>
      <c r="M5">
        <v>198</v>
      </c>
    </row>
    <row r="6" spans="1:13">
      <c r="A6" s="41" t="s">
        <v>444</v>
      </c>
      <c r="B6">
        <v>0</v>
      </c>
      <c r="C6">
        <v>0</v>
      </c>
      <c r="D6">
        <v>0</v>
      </c>
      <c r="E6">
        <v>0</v>
      </c>
      <c r="F6">
        <v>0</v>
      </c>
      <c r="G6">
        <v>0</v>
      </c>
      <c r="H6">
        <v>0</v>
      </c>
      <c r="I6">
        <v>0</v>
      </c>
      <c r="J6">
        <v>0</v>
      </c>
      <c r="K6">
        <v>0</v>
      </c>
      <c r="L6">
        <v>76</v>
      </c>
      <c r="M6">
        <v>76</v>
      </c>
    </row>
    <row r="7" spans="1:13">
      <c r="A7" s="41" t="s">
        <v>536</v>
      </c>
      <c r="B7">
        <v>0</v>
      </c>
      <c r="C7">
        <v>0</v>
      </c>
      <c r="D7">
        <v>0</v>
      </c>
      <c r="E7">
        <v>0</v>
      </c>
      <c r="F7">
        <v>0</v>
      </c>
      <c r="G7">
        <v>0</v>
      </c>
      <c r="H7">
        <v>0</v>
      </c>
      <c r="I7">
        <v>0</v>
      </c>
      <c r="J7">
        <v>0</v>
      </c>
      <c r="K7">
        <v>0</v>
      </c>
      <c r="L7">
        <v>51</v>
      </c>
      <c r="M7">
        <v>51</v>
      </c>
    </row>
    <row r="8" spans="1:13">
      <c r="A8" s="41" t="s">
        <v>3252</v>
      </c>
      <c r="B8">
        <v>42</v>
      </c>
      <c r="C8">
        <v>8</v>
      </c>
      <c r="D8">
        <v>6</v>
      </c>
      <c r="E8">
        <v>46</v>
      </c>
      <c r="F8">
        <v>1</v>
      </c>
      <c r="G8">
        <v>15</v>
      </c>
      <c r="H8">
        <v>25</v>
      </c>
      <c r="I8">
        <v>18</v>
      </c>
      <c r="J8">
        <v>0</v>
      </c>
      <c r="K8">
        <v>37</v>
      </c>
      <c r="L8">
        <v>127</v>
      </c>
      <c r="M8">
        <v>325</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7">
    <pageSetUpPr fitToPage="1"/>
  </sheetPr>
  <dimension ref="A1:O10"/>
  <sheetViews>
    <sheetView workbookViewId="0">
      <selection sqref="A1:B1"/>
    </sheetView>
  </sheetViews>
  <sheetFormatPr defaultRowHeight="12.75"/>
  <cols>
    <col min="1" max="1" width="28.28515625" customWidth="1"/>
    <col min="2" max="2" width="17" customWidth="1"/>
    <col min="3" max="4" width="3" customWidth="1"/>
    <col min="5" max="5" width="4" customWidth="1"/>
    <col min="6" max="6" width="2.140625" customWidth="1"/>
    <col min="7" max="7" width="3" customWidth="1"/>
    <col min="8" max="8" width="4" customWidth="1"/>
    <col min="9" max="9" width="3" customWidth="1"/>
    <col min="10" max="10" width="2.140625" customWidth="1"/>
    <col min="11" max="11" width="2.140625" bestFit="1" customWidth="1"/>
    <col min="12" max="12" width="2.7109375" bestFit="1" customWidth="1"/>
    <col min="13" max="14" width="4" bestFit="1" customWidth="1"/>
    <col min="15" max="15" width="11.7109375" bestFit="1" customWidth="1"/>
    <col min="16" max="16" width="22.5703125" bestFit="1" customWidth="1"/>
    <col min="17" max="17" width="28.28515625" bestFit="1" customWidth="1"/>
    <col min="18" max="18" width="22.5703125" bestFit="1" customWidth="1"/>
    <col min="19" max="19" width="28.28515625" bestFit="1" customWidth="1"/>
    <col min="20" max="20" width="22.5703125" bestFit="1" customWidth="1"/>
    <col min="21" max="21" width="28.28515625" bestFit="1" customWidth="1"/>
    <col min="22" max="22" width="22.5703125" bestFit="1" customWidth="1"/>
    <col min="23" max="23" width="28.28515625" bestFit="1" customWidth="1"/>
    <col min="24" max="24" width="22.5703125" bestFit="1" customWidth="1"/>
    <col min="25" max="25" width="28.28515625" bestFit="1" customWidth="1"/>
    <col min="26" max="26" width="27.85546875" bestFit="1" customWidth="1"/>
    <col min="27" max="27" width="33.5703125" bestFit="1" customWidth="1"/>
  </cols>
  <sheetData>
    <row r="1" spans="1:15">
      <c r="A1" s="44" t="s">
        <v>74</v>
      </c>
      <c r="B1" t="s">
        <v>3255</v>
      </c>
    </row>
    <row r="3" spans="1:15">
      <c r="A3" s="44" t="s">
        <v>3256</v>
      </c>
      <c r="B3" s="44" t="s">
        <v>3254</v>
      </c>
    </row>
    <row r="4" spans="1:15">
      <c r="A4" s="44" t="s">
        <v>3250</v>
      </c>
      <c r="B4" t="s">
        <v>20</v>
      </c>
      <c r="C4" t="s">
        <v>22</v>
      </c>
      <c r="D4" t="s">
        <v>636</v>
      </c>
      <c r="E4" t="s">
        <v>321</v>
      </c>
      <c r="F4" t="s">
        <v>27</v>
      </c>
      <c r="G4" t="s">
        <v>30</v>
      </c>
      <c r="H4" t="s">
        <v>33</v>
      </c>
      <c r="I4" t="s">
        <v>36</v>
      </c>
      <c r="J4" t="s">
        <v>39</v>
      </c>
      <c r="K4" t="s">
        <v>2544</v>
      </c>
      <c r="L4" t="s">
        <v>1418</v>
      </c>
      <c r="M4" t="s">
        <v>340</v>
      </c>
      <c r="N4" t="s">
        <v>320</v>
      </c>
      <c r="O4" t="s">
        <v>3252</v>
      </c>
    </row>
    <row r="5" spans="1:15">
      <c r="A5" s="41" t="s">
        <v>379</v>
      </c>
      <c r="B5">
        <v>0</v>
      </c>
      <c r="C5">
        <v>0</v>
      </c>
      <c r="D5">
        <v>0</v>
      </c>
      <c r="E5">
        <v>0</v>
      </c>
      <c r="F5">
        <v>0</v>
      </c>
      <c r="G5">
        <v>0</v>
      </c>
      <c r="H5">
        <v>0</v>
      </c>
      <c r="I5">
        <v>0</v>
      </c>
      <c r="J5">
        <v>0</v>
      </c>
      <c r="K5">
        <v>0</v>
      </c>
      <c r="L5">
        <v>0</v>
      </c>
      <c r="M5">
        <v>0</v>
      </c>
      <c r="N5">
        <v>18</v>
      </c>
      <c r="O5">
        <v>18</v>
      </c>
    </row>
    <row r="6" spans="1:15">
      <c r="A6" s="41" t="s">
        <v>1671</v>
      </c>
      <c r="B6">
        <v>0</v>
      </c>
      <c r="C6">
        <v>0</v>
      </c>
      <c r="D6">
        <v>0</v>
      </c>
      <c r="E6">
        <v>0</v>
      </c>
      <c r="F6">
        <v>0</v>
      </c>
      <c r="G6">
        <v>0</v>
      </c>
      <c r="H6">
        <v>0</v>
      </c>
      <c r="I6">
        <v>0</v>
      </c>
      <c r="J6">
        <v>0</v>
      </c>
      <c r="K6">
        <v>0</v>
      </c>
      <c r="L6">
        <v>0</v>
      </c>
      <c r="M6">
        <v>0</v>
      </c>
      <c r="N6">
        <v>262</v>
      </c>
      <c r="O6">
        <v>262</v>
      </c>
    </row>
    <row r="7" spans="1:15">
      <c r="A7" s="41" t="s">
        <v>320</v>
      </c>
      <c r="B7">
        <v>115</v>
      </c>
      <c r="C7">
        <v>24</v>
      </c>
      <c r="D7">
        <v>34</v>
      </c>
      <c r="E7">
        <v>173</v>
      </c>
      <c r="F7">
        <v>5</v>
      </c>
      <c r="G7">
        <v>55</v>
      </c>
      <c r="H7">
        <v>178</v>
      </c>
      <c r="I7">
        <v>70</v>
      </c>
      <c r="J7">
        <v>0</v>
      </c>
      <c r="K7">
        <v>1</v>
      </c>
      <c r="L7">
        <v>3</v>
      </c>
      <c r="M7">
        <v>226</v>
      </c>
      <c r="N7">
        <v>0</v>
      </c>
      <c r="O7">
        <v>884</v>
      </c>
    </row>
    <row r="8" spans="1:15">
      <c r="A8" s="41" t="s">
        <v>444</v>
      </c>
      <c r="B8">
        <v>0</v>
      </c>
      <c r="C8">
        <v>0</v>
      </c>
      <c r="D8">
        <v>0</v>
      </c>
      <c r="E8">
        <v>0</v>
      </c>
      <c r="F8">
        <v>0</v>
      </c>
      <c r="G8">
        <v>0</v>
      </c>
      <c r="H8">
        <v>0</v>
      </c>
      <c r="I8">
        <v>0</v>
      </c>
      <c r="J8">
        <v>0</v>
      </c>
      <c r="K8">
        <v>0</v>
      </c>
      <c r="L8">
        <v>0</v>
      </c>
      <c r="M8">
        <v>0</v>
      </c>
      <c r="N8">
        <v>93</v>
      </c>
      <c r="O8">
        <v>93</v>
      </c>
    </row>
    <row r="9" spans="1:15">
      <c r="A9" s="41" t="s">
        <v>536</v>
      </c>
      <c r="B9">
        <v>0</v>
      </c>
      <c r="C9">
        <v>0</v>
      </c>
      <c r="D9">
        <v>0</v>
      </c>
      <c r="E9">
        <v>0</v>
      </c>
      <c r="F9">
        <v>0</v>
      </c>
      <c r="G9">
        <v>0</v>
      </c>
      <c r="H9">
        <v>0</v>
      </c>
      <c r="I9">
        <v>0</v>
      </c>
      <c r="J9">
        <v>0</v>
      </c>
      <c r="K9">
        <v>0</v>
      </c>
      <c r="L9">
        <v>0</v>
      </c>
      <c r="M9">
        <v>0</v>
      </c>
      <c r="N9">
        <v>287</v>
      </c>
      <c r="O9">
        <v>287</v>
      </c>
    </row>
    <row r="10" spans="1:15">
      <c r="A10" s="41" t="s">
        <v>3252</v>
      </c>
      <c r="B10">
        <v>115</v>
      </c>
      <c r="C10">
        <v>24</v>
      </c>
      <c r="D10">
        <v>34</v>
      </c>
      <c r="E10">
        <v>173</v>
      </c>
      <c r="F10">
        <v>5</v>
      </c>
      <c r="G10">
        <v>55</v>
      </c>
      <c r="H10">
        <v>178</v>
      </c>
      <c r="I10">
        <v>70</v>
      </c>
      <c r="J10">
        <v>0</v>
      </c>
      <c r="K10">
        <v>1</v>
      </c>
      <c r="L10">
        <v>3</v>
      </c>
      <c r="M10">
        <v>226</v>
      </c>
      <c r="N10">
        <v>660</v>
      </c>
      <c r="O10">
        <v>1544</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257F-6985-4C7D-8DAA-1FA7FC467287}">
  <sheetPr>
    <pageSetUpPr fitToPage="1"/>
  </sheetPr>
  <dimension ref="A1:BL38"/>
  <sheetViews>
    <sheetView workbookViewId="0">
      <selection activeCell="A2" sqref="A2"/>
    </sheetView>
  </sheetViews>
  <sheetFormatPr defaultRowHeight="12"/>
  <cols>
    <col min="1" max="1" width="5" style="43" customWidth="1"/>
    <col min="2" max="2" width="20" style="89" customWidth="1"/>
    <col min="3" max="3" width="10" style="43" customWidth="1"/>
    <col min="4" max="4" width="43" style="89" customWidth="1"/>
    <col min="5" max="5" width="7" style="43" customWidth="1"/>
    <col min="6" max="6" width="7.85546875" style="43" customWidth="1"/>
    <col min="7" max="7" width="26.140625" style="89" customWidth="1"/>
    <col min="8" max="8" width="11.42578125" style="125" customWidth="1"/>
    <col min="9" max="9" width="9.85546875" style="125" customWidth="1"/>
    <col min="10" max="10" width="7.42578125" style="141" customWidth="1"/>
    <col min="11" max="11" width="8.85546875" style="141" customWidth="1"/>
    <col min="12" max="12" width="6.7109375" style="141" customWidth="1"/>
    <col min="13" max="13" width="7.42578125" style="141" customWidth="1"/>
    <col min="14" max="14" width="8.85546875" style="141" customWidth="1"/>
    <col min="15" max="15" width="6.7109375" style="141" customWidth="1"/>
    <col min="16" max="16" width="7.42578125" style="141" customWidth="1"/>
    <col min="17" max="17" width="8.85546875" style="141" customWidth="1"/>
    <col min="18" max="18" width="7" style="141" customWidth="1"/>
    <col min="19" max="19" width="7.42578125" style="141" customWidth="1"/>
    <col min="20" max="20" width="8.85546875" style="141" customWidth="1"/>
    <col min="21" max="21" width="7.28515625" style="141" customWidth="1"/>
    <col min="22" max="22" width="13.140625" style="141" customWidth="1"/>
    <col min="23" max="23" width="14.5703125" style="141" customWidth="1"/>
    <col min="24" max="24" width="10" style="141" customWidth="1"/>
    <col min="25" max="27" width="9.140625" style="141" customWidth="1"/>
    <col min="28" max="28" width="25.7109375" style="89" customWidth="1"/>
    <col min="29" max="29" width="9.7109375" style="43" customWidth="1"/>
    <col min="30" max="31" width="9.85546875" style="125" customWidth="1"/>
    <col min="32" max="32" width="6.5703125" style="43" customWidth="1"/>
    <col min="33" max="33" width="9.85546875" style="125" customWidth="1"/>
    <col min="34" max="34" width="15" style="125" customWidth="1"/>
    <col min="35" max="35" width="14.28515625" style="125" customWidth="1"/>
    <col min="36" max="36" width="18.5703125" style="43" bestFit="1" customWidth="1"/>
    <col min="37" max="37" width="9.140625" style="43"/>
    <col min="38" max="38" width="11.140625" style="43" customWidth="1"/>
    <col min="39" max="39" width="9.140625" style="43"/>
    <col min="40" max="41" width="7" style="43" customWidth="1"/>
    <col min="42" max="42" width="11.28515625" style="43" customWidth="1"/>
    <col min="43" max="64" width="9.140625" style="90"/>
    <col min="65" max="16384" width="9.140625" style="89"/>
  </cols>
  <sheetData>
    <row r="1" spans="1:64" s="114" customFormat="1" ht="49.5" customHeight="1">
      <c r="A1" s="42" t="s">
        <v>239</v>
      </c>
      <c r="B1" s="114" t="s">
        <v>74</v>
      </c>
      <c r="C1" s="42" t="s">
        <v>240</v>
      </c>
      <c r="D1" s="114" t="s">
        <v>241</v>
      </c>
      <c r="E1" s="42" t="s">
        <v>243</v>
      </c>
      <c r="F1" s="42" t="s">
        <v>244</v>
      </c>
      <c r="G1" s="114" t="s">
        <v>165</v>
      </c>
      <c r="H1" s="124" t="s">
        <v>245</v>
      </c>
      <c r="I1" s="124" t="s">
        <v>246</v>
      </c>
      <c r="J1" s="167" t="s">
        <v>3037</v>
      </c>
      <c r="K1" s="167" t="s">
        <v>3038</v>
      </c>
      <c r="L1" s="167" t="s">
        <v>3039</v>
      </c>
      <c r="M1" s="167" t="s">
        <v>3040</v>
      </c>
      <c r="N1" s="167" t="s">
        <v>3041</v>
      </c>
      <c r="O1" s="167" t="s">
        <v>3042</v>
      </c>
      <c r="P1" s="167" t="s">
        <v>3043</v>
      </c>
      <c r="Q1" s="167" t="s">
        <v>3044</v>
      </c>
      <c r="R1" s="167" t="s">
        <v>3045</v>
      </c>
      <c r="S1" s="167" t="s">
        <v>3046</v>
      </c>
      <c r="T1" s="167" t="s">
        <v>3047</v>
      </c>
      <c r="U1" s="167" t="s">
        <v>3048</v>
      </c>
      <c r="V1" s="167" t="s">
        <v>3049</v>
      </c>
      <c r="W1" s="167" t="s">
        <v>3050</v>
      </c>
      <c r="X1" s="167" t="s">
        <v>3051</v>
      </c>
      <c r="Y1" s="167" t="s">
        <v>3052</v>
      </c>
      <c r="Z1" s="167" t="s">
        <v>3053</v>
      </c>
      <c r="AA1" s="167" t="s">
        <v>3054</v>
      </c>
      <c r="AB1" s="114" t="s">
        <v>253</v>
      </c>
      <c r="AC1" s="42" t="s">
        <v>254</v>
      </c>
      <c r="AD1" s="124" t="s">
        <v>255</v>
      </c>
      <c r="AE1" s="124" t="s">
        <v>256</v>
      </c>
      <c r="AF1" s="42" t="s">
        <v>258</v>
      </c>
      <c r="AG1" s="124" t="s">
        <v>259</v>
      </c>
      <c r="AH1" s="124" t="s">
        <v>3055</v>
      </c>
      <c r="AI1" s="124" t="s">
        <v>3056</v>
      </c>
      <c r="AJ1" s="42" t="s">
        <v>50</v>
      </c>
      <c r="AK1" s="42" t="s">
        <v>267</v>
      </c>
      <c r="AL1" s="42" t="s">
        <v>268</v>
      </c>
      <c r="AM1" s="42" t="s">
        <v>269</v>
      </c>
      <c r="AN1" s="42" t="s">
        <v>3057</v>
      </c>
      <c r="AO1" s="42" t="s">
        <v>3058</v>
      </c>
      <c r="AP1" s="42" t="s">
        <v>304</v>
      </c>
      <c r="AQ1" s="115" t="s">
        <v>14</v>
      </c>
      <c r="AR1" s="115" t="s">
        <v>215</v>
      </c>
      <c r="AS1" s="115" t="s">
        <v>216</v>
      </c>
      <c r="AT1" s="115" t="s">
        <v>217</v>
      </c>
      <c r="AU1" s="115" t="s">
        <v>218</v>
      </c>
      <c r="AV1" s="115" t="s">
        <v>219</v>
      </c>
      <c r="AW1" s="115" t="s">
        <v>220</v>
      </c>
      <c r="AX1" s="115" t="s">
        <v>221</v>
      </c>
      <c r="AY1" s="115" t="s">
        <v>222</v>
      </c>
      <c r="AZ1" s="115" t="s">
        <v>223</v>
      </c>
      <c r="BA1" s="115" t="s">
        <v>224</v>
      </c>
      <c r="BB1" s="115" t="s">
        <v>225</v>
      </c>
      <c r="BC1" s="115" t="s">
        <v>226</v>
      </c>
      <c r="BD1" s="115" t="s">
        <v>227</v>
      </c>
      <c r="BE1" s="115" t="s">
        <v>228</v>
      </c>
      <c r="BF1" s="115" t="s">
        <v>229</v>
      </c>
      <c r="BG1" s="115" t="s">
        <v>305</v>
      </c>
      <c r="BH1" s="115" t="s">
        <v>306</v>
      </c>
      <c r="BI1" s="115" t="s">
        <v>307</v>
      </c>
      <c r="BJ1" s="115" t="s">
        <v>308</v>
      </c>
      <c r="BK1" s="115" t="s">
        <v>310</v>
      </c>
      <c r="BL1" s="115" t="s">
        <v>311</v>
      </c>
    </row>
    <row r="2" spans="1:64">
      <c r="A2" s="43">
        <v>700</v>
      </c>
      <c r="B2" s="89" t="s">
        <v>312</v>
      </c>
      <c r="C2" s="43" t="s">
        <v>330</v>
      </c>
      <c r="D2" s="89" t="s">
        <v>331</v>
      </c>
      <c r="E2" s="43">
        <v>528024</v>
      </c>
      <c r="F2" s="43">
        <v>173250</v>
      </c>
      <c r="G2" s="89" t="s">
        <v>173</v>
      </c>
      <c r="H2" s="125">
        <v>43555</v>
      </c>
      <c r="I2" s="125">
        <v>43794</v>
      </c>
      <c r="J2" s="141">
        <v>0</v>
      </c>
      <c r="K2" s="141">
        <v>0</v>
      </c>
      <c r="L2" s="141">
        <v>0</v>
      </c>
      <c r="M2" s="141">
        <v>0</v>
      </c>
      <c r="N2" s="141">
        <v>0</v>
      </c>
      <c r="O2" s="141">
        <v>0</v>
      </c>
      <c r="P2" s="141">
        <v>0</v>
      </c>
      <c r="Q2" s="141">
        <v>0</v>
      </c>
      <c r="R2" s="141">
        <v>0</v>
      </c>
      <c r="S2" s="141">
        <v>0</v>
      </c>
      <c r="T2" s="141">
        <v>0</v>
      </c>
      <c r="U2" s="141">
        <v>0</v>
      </c>
      <c r="V2" s="141">
        <v>5</v>
      </c>
      <c r="W2" s="141">
        <v>0</v>
      </c>
      <c r="X2" s="141">
        <v>-5</v>
      </c>
      <c r="Y2" s="141">
        <v>5</v>
      </c>
      <c r="Z2" s="141">
        <v>0</v>
      </c>
      <c r="AA2" s="141">
        <v>-5</v>
      </c>
      <c r="AB2" s="89" t="s">
        <v>332</v>
      </c>
      <c r="AC2" s="43" t="s">
        <v>316</v>
      </c>
      <c r="AD2" s="125">
        <v>43180</v>
      </c>
      <c r="AE2" s="125">
        <v>43235</v>
      </c>
      <c r="AF2" s="43" t="s">
        <v>317</v>
      </c>
      <c r="AH2" s="125">
        <v>43555</v>
      </c>
      <c r="AI2" s="125">
        <v>43794</v>
      </c>
      <c r="AJ2" s="43" t="s">
        <v>75</v>
      </c>
      <c r="AK2" s="43" t="s">
        <v>322</v>
      </c>
      <c r="AP2" s="43">
        <v>1</v>
      </c>
      <c r="AQ2" s="90">
        <f t="shared" ref="AQ2:AQ12" si="0">AA2</f>
        <v>-5</v>
      </c>
      <c r="BK2" s="90">
        <f>SUM(AR2:AV2)</f>
        <v>0</v>
      </c>
      <c r="BL2" s="90">
        <f>SUM(AR2:BA2)</f>
        <v>0</v>
      </c>
    </row>
    <row r="3" spans="1:64">
      <c r="A3" s="43">
        <v>1917</v>
      </c>
      <c r="B3" s="89" t="s">
        <v>312</v>
      </c>
      <c r="C3" s="43" t="s">
        <v>3059</v>
      </c>
      <c r="D3" s="89" t="s">
        <v>3060</v>
      </c>
      <c r="E3" s="43">
        <v>521657</v>
      </c>
      <c r="F3" s="43">
        <v>175440</v>
      </c>
      <c r="G3" s="89" t="s">
        <v>149</v>
      </c>
      <c r="H3" s="125">
        <v>43486</v>
      </c>
      <c r="I3" s="125">
        <v>43781</v>
      </c>
      <c r="J3" s="141">
        <v>0</v>
      </c>
      <c r="K3" s="141">
        <v>0</v>
      </c>
      <c r="L3" s="141">
        <v>0</v>
      </c>
      <c r="M3" s="141">
        <v>0</v>
      </c>
      <c r="N3" s="141">
        <v>25</v>
      </c>
      <c r="O3" s="141">
        <v>25</v>
      </c>
      <c r="P3" s="141">
        <v>0</v>
      </c>
      <c r="Q3" s="141">
        <v>0</v>
      </c>
      <c r="R3" s="141">
        <v>0</v>
      </c>
      <c r="S3" s="141">
        <v>0</v>
      </c>
      <c r="T3" s="141">
        <v>0</v>
      </c>
      <c r="U3" s="141">
        <v>0</v>
      </c>
      <c r="V3" s="141">
        <v>0</v>
      </c>
      <c r="W3" s="141">
        <v>0</v>
      </c>
      <c r="X3" s="141">
        <v>0</v>
      </c>
      <c r="Y3" s="141">
        <v>0</v>
      </c>
      <c r="Z3" s="141">
        <v>25</v>
      </c>
      <c r="AA3" s="141">
        <v>25</v>
      </c>
      <c r="AB3" s="89" t="s">
        <v>3061</v>
      </c>
      <c r="AC3" s="43" t="s">
        <v>316</v>
      </c>
      <c r="AD3" s="125">
        <v>42536</v>
      </c>
      <c r="AE3" s="125">
        <v>42592</v>
      </c>
      <c r="AF3" s="43" t="s">
        <v>317</v>
      </c>
      <c r="AH3" s="125">
        <v>43486</v>
      </c>
      <c r="AI3" s="125">
        <v>43781</v>
      </c>
      <c r="AJ3" s="43" t="s">
        <v>75</v>
      </c>
      <c r="AK3" s="43" t="s">
        <v>322</v>
      </c>
      <c r="AN3" s="43" t="s">
        <v>329</v>
      </c>
      <c r="AO3" s="43" t="s">
        <v>3062</v>
      </c>
      <c r="AP3" s="43">
        <v>1</v>
      </c>
      <c r="AQ3" s="90">
        <f t="shared" si="0"/>
        <v>25</v>
      </c>
      <c r="BK3" s="90">
        <f t="shared" ref="BK3:BK38" si="1">SUM(AR3:AV3)</f>
        <v>0</v>
      </c>
      <c r="BL3" s="90">
        <f t="shared" ref="BL3:BL38" si="2">SUM(AR3:BA3)</f>
        <v>0</v>
      </c>
    </row>
    <row r="4" spans="1:64">
      <c r="A4" s="43">
        <v>3588</v>
      </c>
      <c r="B4" s="89" t="s">
        <v>312</v>
      </c>
      <c r="C4" s="43" t="s">
        <v>417</v>
      </c>
      <c r="D4" s="89" t="s">
        <v>418</v>
      </c>
      <c r="E4" s="43">
        <v>528283</v>
      </c>
      <c r="F4" s="43">
        <v>175682</v>
      </c>
      <c r="G4" s="89" t="s">
        <v>175</v>
      </c>
      <c r="H4" s="125">
        <v>43241</v>
      </c>
      <c r="I4" s="125">
        <v>43795</v>
      </c>
      <c r="J4" s="141">
        <v>0</v>
      </c>
      <c r="K4" s="141">
        <v>0</v>
      </c>
      <c r="L4" s="141">
        <v>0</v>
      </c>
      <c r="M4" s="141">
        <v>0</v>
      </c>
      <c r="N4" s="141">
        <v>0</v>
      </c>
      <c r="O4" s="141">
        <v>0</v>
      </c>
      <c r="P4" s="141">
        <v>0</v>
      </c>
      <c r="Q4" s="141">
        <v>0</v>
      </c>
      <c r="R4" s="141">
        <v>0</v>
      </c>
      <c r="S4" s="141">
        <v>0</v>
      </c>
      <c r="T4" s="141">
        <v>0</v>
      </c>
      <c r="U4" s="141">
        <v>0</v>
      </c>
      <c r="V4" s="141">
        <v>0</v>
      </c>
      <c r="W4" s="141">
        <v>8</v>
      </c>
      <c r="X4" s="141">
        <v>8</v>
      </c>
      <c r="Y4" s="141">
        <v>0</v>
      </c>
      <c r="Z4" s="141">
        <v>8</v>
      </c>
      <c r="AA4" s="141">
        <v>8</v>
      </c>
      <c r="AB4" s="89" t="s">
        <v>419</v>
      </c>
      <c r="AC4" s="43" t="s">
        <v>316</v>
      </c>
      <c r="AD4" s="125">
        <v>43070</v>
      </c>
      <c r="AE4" s="125">
        <v>43217</v>
      </c>
      <c r="AF4" s="43" t="s">
        <v>317</v>
      </c>
      <c r="AH4" s="125">
        <v>43241</v>
      </c>
      <c r="AI4" s="125">
        <v>43795</v>
      </c>
      <c r="AJ4" s="43" t="s">
        <v>75</v>
      </c>
      <c r="AK4" s="43" t="s">
        <v>322</v>
      </c>
      <c r="AP4" s="43">
        <v>1</v>
      </c>
      <c r="AQ4" s="90">
        <f t="shared" si="0"/>
        <v>8</v>
      </c>
      <c r="BK4" s="90">
        <f t="shared" si="1"/>
        <v>0</v>
      </c>
      <c r="BL4" s="90">
        <f t="shared" si="2"/>
        <v>0</v>
      </c>
    </row>
    <row r="5" spans="1:64">
      <c r="A5" s="43">
        <v>3978</v>
      </c>
      <c r="B5" s="89" t="s">
        <v>312</v>
      </c>
      <c r="C5" s="43" t="s">
        <v>3063</v>
      </c>
      <c r="D5" s="89" t="s">
        <v>3064</v>
      </c>
      <c r="E5" s="43">
        <v>526357</v>
      </c>
      <c r="F5" s="43">
        <v>174832</v>
      </c>
      <c r="G5" s="89" t="s">
        <v>170</v>
      </c>
      <c r="H5" s="125">
        <v>42936</v>
      </c>
      <c r="I5" s="125">
        <v>43880</v>
      </c>
      <c r="J5" s="141">
        <v>0</v>
      </c>
      <c r="K5" s="141">
        <v>0</v>
      </c>
      <c r="L5" s="141">
        <v>0</v>
      </c>
      <c r="M5" s="141">
        <v>0</v>
      </c>
      <c r="N5" s="141">
        <v>98</v>
      </c>
      <c r="O5" s="141">
        <v>98</v>
      </c>
      <c r="P5" s="141">
        <v>0</v>
      </c>
      <c r="Q5" s="141">
        <v>0</v>
      </c>
      <c r="R5" s="141">
        <v>0</v>
      </c>
      <c r="S5" s="141">
        <v>0</v>
      </c>
      <c r="T5" s="141">
        <v>0</v>
      </c>
      <c r="U5" s="141">
        <v>0</v>
      </c>
      <c r="V5" s="141">
        <v>0</v>
      </c>
      <c r="W5" s="141">
        <v>0</v>
      </c>
      <c r="X5" s="141">
        <v>0</v>
      </c>
      <c r="Y5" s="141">
        <v>0</v>
      </c>
      <c r="Z5" s="141">
        <v>98</v>
      </c>
      <c r="AA5" s="141">
        <v>98</v>
      </c>
      <c r="AB5" s="89" t="s">
        <v>3065</v>
      </c>
      <c r="AC5" s="43" t="s">
        <v>392</v>
      </c>
      <c r="AD5" s="125">
        <v>42681</v>
      </c>
      <c r="AE5" s="125">
        <v>42836</v>
      </c>
      <c r="AF5" s="43" t="s">
        <v>317</v>
      </c>
      <c r="AH5" s="125">
        <v>42936</v>
      </c>
      <c r="AI5" s="125">
        <v>43880</v>
      </c>
      <c r="AJ5" s="43" t="s">
        <v>75</v>
      </c>
      <c r="AK5" s="43" t="s">
        <v>322</v>
      </c>
      <c r="AL5" s="43" t="s">
        <v>3066</v>
      </c>
      <c r="AP5" s="43">
        <v>1</v>
      </c>
      <c r="AQ5" s="90">
        <f t="shared" si="0"/>
        <v>98</v>
      </c>
      <c r="BK5" s="90">
        <f t="shared" si="1"/>
        <v>0</v>
      </c>
      <c r="BL5" s="90">
        <f t="shared" si="2"/>
        <v>0</v>
      </c>
    </row>
    <row r="6" spans="1:64">
      <c r="A6" s="43">
        <v>6071</v>
      </c>
      <c r="B6" s="89" t="s">
        <v>312</v>
      </c>
      <c r="C6" s="43" t="s">
        <v>533</v>
      </c>
      <c r="D6" s="89" t="s">
        <v>534</v>
      </c>
      <c r="E6" s="43">
        <v>527421</v>
      </c>
      <c r="F6" s="43">
        <v>171301</v>
      </c>
      <c r="G6" s="89" t="s">
        <v>172</v>
      </c>
      <c r="H6" s="125">
        <v>42788</v>
      </c>
      <c r="I6" s="125">
        <v>43556</v>
      </c>
      <c r="J6" s="141">
        <v>0</v>
      </c>
      <c r="K6" s="141">
        <v>0</v>
      </c>
      <c r="L6" s="141">
        <v>0</v>
      </c>
      <c r="M6" s="141">
        <v>87</v>
      </c>
      <c r="N6" s="141">
        <v>0</v>
      </c>
      <c r="O6" s="141">
        <v>-87</v>
      </c>
      <c r="P6" s="141">
        <v>0</v>
      </c>
      <c r="Q6" s="141">
        <v>0</v>
      </c>
      <c r="R6" s="141">
        <v>0</v>
      </c>
      <c r="S6" s="141">
        <v>0</v>
      </c>
      <c r="T6" s="141">
        <v>0</v>
      </c>
      <c r="U6" s="141">
        <v>0</v>
      </c>
      <c r="V6" s="141">
        <v>0</v>
      </c>
      <c r="W6" s="141">
        <v>0</v>
      </c>
      <c r="X6" s="141">
        <v>0</v>
      </c>
      <c r="Y6" s="141">
        <v>87</v>
      </c>
      <c r="Z6" s="141">
        <v>0</v>
      </c>
      <c r="AA6" s="141">
        <v>-87</v>
      </c>
      <c r="AB6" s="89" t="s">
        <v>535</v>
      </c>
      <c r="AC6" s="43" t="s">
        <v>360</v>
      </c>
      <c r="AD6" s="125">
        <v>43397</v>
      </c>
      <c r="AE6" s="125">
        <v>43487</v>
      </c>
      <c r="AF6" s="43" t="s">
        <v>317</v>
      </c>
      <c r="AH6" s="125">
        <v>42788</v>
      </c>
      <c r="AI6" s="125">
        <v>43556</v>
      </c>
      <c r="AJ6" s="43" t="s">
        <v>55</v>
      </c>
      <c r="AK6" s="43" t="s">
        <v>438</v>
      </c>
      <c r="AL6" s="43" t="s">
        <v>537</v>
      </c>
      <c r="AO6" s="43" t="s">
        <v>3067</v>
      </c>
      <c r="AP6" s="43">
        <v>1</v>
      </c>
      <c r="AQ6" s="90">
        <f t="shared" si="0"/>
        <v>-87</v>
      </c>
      <c r="BK6" s="90">
        <f t="shared" si="1"/>
        <v>0</v>
      </c>
      <c r="BL6" s="90">
        <f t="shared" si="2"/>
        <v>0</v>
      </c>
    </row>
    <row r="7" spans="1:64">
      <c r="A7" s="43">
        <v>6531</v>
      </c>
      <c r="B7" s="89" t="s">
        <v>312</v>
      </c>
      <c r="C7" s="43" t="s">
        <v>3068</v>
      </c>
      <c r="D7" s="89" t="s">
        <v>3069</v>
      </c>
      <c r="E7" s="43">
        <v>528465</v>
      </c>
      <c r="F7" s="43">
        <v>174118</v>
      </c>
      <c r="G7" s="89" t="s">
        <v>138</v>
      </c>
      <c r="H7" s="125">
        <v>42919</v>
      </c>
      <c r="I7" s="125">
        <v>43556</v>
      </c>
      <c r="J7" s="141">
        <v>0</v>
      </c>
      <c r="K7" s="141">
        <v>0</v>
      </c>
      <c r="L7" s="141">
        <v>0</v>
      </c>
      <c r="M7" s="141">
        <v>0</v>
      </c>
      <c r="N7" s="141">
        <v>0</v>
      </c>
      <c r="O7" s="141">
        <v>0</v>
      </c>
      <c r="P7" s="141">
        <v>0</v>
      </c>
      <c r="Q7" s="141">
        <v>0</v>
      </c>
      <c r="R7" s="141">
        <v>0</v>
      </c>
      <c r="S7" s="141">
        <v>0</v>
      </c>
      <c r="T7" s="141">
        <v>0</v>
      </c>
      <c r="U7" s="141">
        <v>0</v>
      </c>
      <c r="V7" s="141">
        <v>6</v>
      </c>
      <c r="W7" s="141">
        <v>7</v>
      </c>
      <c r="X7" s="141">
        <v>1</v>
      </c>
      <c r="Y7" s="141">
        <v>6</v>
      </c>
      <c r="Z7" s="141">
        <v>7</v>
      </c>
      <c r="AA7" s="141">
        <v>1</v>
      </c>
      <c r="AB7" s="89" t="s">
        <v>3070</v>
      </c>
      <c r="AC7" s="43" t="s">
        <v>316</v>
      </c>
      <c r="AD7" s="125">
        <v>42807</v>
      </c>
      <c r="AE7" s="125">
        <v>42919</v>
      </c>
      <c r="AF7" s="43" t="s">
        <v>317</v>
      </c>
      <c r="AH7" s="125">
        <v>42919</v>
      </c>
      <c r="AI7" s="125">
        <v>43556</v>
      </c>
      <c r="AJ7" s="43" t="s">
        <v>75</v>
      </c>
      <c r="AK7" s="43" t="s">
        <v>322</v>
      </c>
      <c r="AP7" s="43">
        <v>1</v>
      </c>
      <c r="AQ7" s="90">
        <f t="shared" si="0"/>
        <v>1</v>
      </c>
      <c r="BK7" s="90">
        <f t="shared" si="1"/>
        <v>0</v>
      </c>
      <c r="BL7" s="90">
        <f t="shared" si="2"/>
        <v>0</v>
      </c>
    </row>
    <row r="8" spans="1:64">
      <c r="A8" s="43">
        <v>6617</v>
      </c>
      <c r="B8" s="89" t="s">
        <v>312</v>
      </c>
      <c r="C8" s="43" t="s">
        <v>669</v>
      </c>
      <c r="D8" s="89" t="s">
        <v>670</v>
      </c>
      <c r="E8" s="43">
        <v>528284</v>
      </c>
      <c r="F8" s="43">
        <v>172328</v>
      </c>
      <c r="G8" s="89" t="s">
        <v>167</v>
      </c>
      <c r="H8" s="125">
        <v>43409</v>
      </c>
      <c r="I8" s="125">
        <v>43894</v>
      </c>
      <c r="J8" s="141">
        <v>0</v>
      </c>
      <c r="K8" s="141">
        <v>0</v>
      </c>
      <c r="L8" s="141">
        <v>0</v>
      </c>
      <c r="M8" s="141">
        <v>0</v>
      </c>
      <c r="N8" s="141">
        <v>0</v>
      </c>
      <c r="O8" s="141">
        <v>0</v>
      </c>
      <c r="P8" s="141">
        <v>0</v>
      </c>
      <c r="Q8" s="141">
        <v>0</v>
      </c>
      <c r="R8" s="141">
        <v>0</v>
      </c>
      <c r="S8" s="141">
        <v>0</v>
      </c>
      <c r="T8" s="141">
        <v>0</v>
      </c>
      <c r="U8" s="141">
        <v>0</v>
      </c>
      <c r="V8" s="141">
        <v>7</v>
      </c>
      <c r="W8" s="141">
        <v>0</v>
      </c>
      <c r="X8" s="141">
        <v>-7</v>
      </c>
      <c r="Y8" s="141">
        <v>7</v>
      </c>
      <c r="Z8" s="141">
        <v>0</v>
      </c>
      <c r="AA8" s="141">
        <v>-7</v>
      </c>
      <c r="AB8" s="89" t="s">
        <v>671</v>
      </c>
      <c r="AC8" s="43" t="s">
        <v>316</v>
      </c>
      <c r="AD8" s="125">
        <v>43011</v>
      </c>
      <c r="AE8" s="125">
        <v>43129</v>
      </c>
      <c r="AF8" s="43" t="s">
        <v>317</v>
      </c>
      <c r="AH8" s="125">
        <v>43409</v>
      </c>
      <c r="AI8" s="125">
        <v>43894</v>
      </c>
      <c r="AJ8" s="43" t="s">
        <v>75</v>
      </c>
      <c r="AK8" s="43" t="s">
        <v>322</v>
      </c>
      <c r="AP8" s="43">
        <v>1</v>
      </c>
      <c r="AQ8" s="90">
        <f t="shared" si="0"/>
        <v>-7</v>
      </c>
      <c r="BK8" s="90">
        <f t="shared" si="1"/>
        <v>0</v>
      </c>
      <c r="BL8" s="90">
        <f t="shared" si="2"/>
        <v>0</v>
      </c>
    </row>
    <row r="9" spans="1:64">
      <c r="A9" s="43">
        <v>6751</v>
      </c>
      <c r="B9" s="89" t="s">
        <v>312</v>
      </c>
      <c r="C9" s="43" t="s">
        <v>705</v>
      </c>
      <c r="D9" s="89" t="s">
        <v>706</v>
      </c>
      <c r="E9" s="43">
        <v>527935</v>
      </c>
      <c r="F9" s="43">
        <v>175416</v>
      </c>
      <c r="G9" s="89" t="s">
        <v>175</v>
      </c>
      <c r="H9" s="125">
        <v>43191</v>
      </c>
      <c r="I9" s="125">
        <v>43595</v>
      </c>
      <c r="J9" s="141">
        <v>7</v>
      </c>
      <c r="K9" s="141">
        <v>0</v>
      </c>
      <c r="L9" s="141">
        <v>-7</v>
      </c>
      <c r="M9" s="141">
        <v>0</v>
      </c>
      <c r="N9" s="141">
        <v>0</v>
      </c>
      <c r="O9" s="141">
        <v>0</v>
      </c>
      <c r="P9" s="141">
        <v>0</v>
      </c>
      <c r="Q9" s="141">
        <v>0</v>
      </c>
      <c r="R9" s="141">
        <v>0</v>
      </c>
      <c r="S9" s="141">
        <v>0</v>
      </c>
      <c r="T9" s="141">
        <v>0</v>
      </c>
      <c r="U9" s="141">
        <v>0</v>
      </c>
      <c r="V9" s="141">
        <v>0</v>
      </c>
      <c r="W9" s="141">
        <v>0</v>
      </c>
      <c r="X9" s="141">
        <v>0</v>
      </c>
      <c r="Y9" s="141">
        <v>7</v>
      </c>
      <c r="Z9" s="141">
        <v>0</v>
      </c>
      <c r="AA9" s="141">
        <v>-7</v>
      </c>
      <c r="AB9" s="89" t="s">
        <v>707</v>
      </c>
      <c r="AC9" s="43" t="s">
        <v>316</v>
      </c>
      <c r="AD9" s="125">
        <v>43060</v>
      </c>
      <c r="AE9" s="125">
        <v>43164</v>
      </c>
      <c r="AF9" s="43" t="s">
        <v>317</v>
      </c>
      <c r="AH9" s="125">
        <v>43191</v>
      </c>
      <c r="AI9" s="125">
        <v>43595</v>
      </c>
      <c r="AJ9" s="43" t="s">
        <v>77</v>
      </c>
      <c r="AK9" s="43" t="s">
        <v>3071</v>
      </c>
      <c r="AN9" s="43" t="s">
        <v>329</v>
      </c>
      <c r="AO9" s="43" t="s">
        <v>3072</v>
      </c>
      <c r="AP9" s="43">
        <v>1</v>
      </c>
      <c r="AQ9" s="90">
        <f t="shared" si="0"/>
        <v>-7</v>
      </c>
      <c r="BK9" s="90">
        <f t="shared" si="1"/>
        <v>0</v>
      </c>
      <c r="BL9" s="90">
        <f t="shared" si="2"/>
        <v>0</v>
      </c>
    </row>
    <row r="10" spans="1:64">
      <c r="A10" s="43">
        <v>6792</v>
      </c>
      <c r="B10" s="89" t="s">
        <v>312</v>
      </c>
      <c r="C10" s="43" t="s">
        <v>3073</v>
      </c>
      <c r="D10" s="89" t="s">
        <v>3074</v>
      </c>
      <c r="E10" s="43">
        <v>528718</v>
      </c>
      <c r="F10" s="43">
        <v>173146</v>
      </c>
      <c r="G10" s="89" t="s">
        <v>138</v>
      </c>
      <c r="H10" s="125">
        <v>43174</v>
      </c>
      <c r="I10" s="125">
        <v>43556</v>
      </c>
      <c r="J10" s="141">
        <v>0</v>
      </c>
      <c r="K10" s="141">
        <v>0</v>
      </c>
      <c r="L10" s="141">
        <v>0</v>
      </c>
      <c r="M10" s="141">
        <v>0</v>
      </c>
      <c r="N10" s="141">
        <v>0</v>
      </c>
      <c r="O10" s="141">
        <v>0</v>
      </c>
      <c r="P10" s="141">
        <v>10</v>
      </c>
      <c r="Q10" s="141">
        <v>0</v>
      </c>
      <c r="R10" s="141">
        <v>-10</v>
      </c>
      <c r="S10" s="141">
        <v>0</v>
      </c>
      <c r="T10" s="141">
        <v>0</v>
      </c>
      <c r="U10" s="141">
        <v>0</v>
      </c>
      <c r="V10" s="141">
        <v>0</v>
      </c>
      <c r="W10" s="141">
        <v>0</v>
      </c>
      <c r="X10" s="141">
        <v>0</v>
      </c>
      <c r="Y10" s="141">
        <v>10</v>
      </c>
      <c r="Z10" s="141">
        <v>0</v>
      </c>
      <c r="AA10" s="141">
        <v>-10</v>
      </c>
      <c r="AB10" s="89" t="s">
        <v>3075</v>
      </c>
      <c r="AC10" s="43" t="s">
        <v>316</v>
      </c>
      <c r="AD10" s="125">
        <v>43118</v>
      </c>
      <c r="AE10" s="125">
        <v>43174</v>
      </c>
      <c r="AF10" s="43" t="s">
        <v>317</v>
      </c>
      <c r="AH10" s="125">
        <v>43174</v>
      </c>
      <c r="AI10" s="125">
        <v>43556</v>
      </c>
      <c r="AJ10" s="43" t="s">
        <v>75</v>
      </c>
      <c r="AK10" s="43" t="s">
        <v>322</v>
      </c>
      <c r="AP10" s="43">
        <v>1</v>
      </c>
      <c r="AQ10" s="90">
        <f t="shared" si="0"/>
        <v>-10</v>
      </c>
      <c r="BK10" s="90">
        <f t="shared" si="1"/>
        <v>0</v>
      </c>
      <c r="BL10" s="90">
        <f t="shared" si="2"/>
        <v>0</v>
      </c>
    </row>
    <row r="11" spans="1:64">
      <c r="A11" s="43">
        <v>6997</v>
      </c>
      <c r="B11" s="89" t="s">
        <v>312</v>
      </c>
      <c r="C11" s="43" t="s">
        <v>766</v>
      </c>
      <c r="D11" s="89" t="s">
        <v>767</v>
      </c>
      <c r="E11" s="43">
        <v>527147</v>
      </c>
      <c r="F11" s="43">
        <v>171668</v>
      </c>
      <c r="G11" s="89" t="s">
        <v>141</v>
      </c>
      <c r="H11" s="125">
        <v>43518</v>
      </c>
      <c r="I11" s="125">
        <v>43556</v>
      </c>
      <c r="J11" s="141">
        <v>0</v>
      </c>
      <c r="K11" s="141">
        <v>0</v>
      </c>
      <c r="L11" s="141">
        <v>0</v>
      </c>
      <c r="M11" s="141">
        <v>0</v>
      </c>
      <c r="N11" s="141">
        <v>0</v>
      </c>
      <c r="O11" s="141">
        <v>0</v>
      </c>
      <c r="P11" s="141">
        <v>0</v>
      </c>
      <c r="Q11" s="141">
        <v>0</v>
      </c>
      <c r="R11" s="141">
        <v>0</v>
      </c>
      <c r="S11" s="141">
        <v>0</v>
      </c>
      <c r="T11" s="141">
        <v>0</v>
      </c>
      <c r="U11" s="141">
        <v>0</v>
      </c>
      <c r="V11" s="141">
        <v>0</v>
      </c>
      <c r="W11" s="141">
        <v>7</v>
      </c>
      <c r="X11" s="141">
        <v>7</v>
      </c>
      <c r="Y11" s="141">
        <v>0</v>
      </c>
      <c r="Z11" s="141">
        <v>7</v>
      </c>
      <c r="AA11" s="141">
        <v>7</v>
      </c>
      <c r="AB11" s="89" t="s">
        <v>768</v>
      </c>
      <c r="AC11" s="43" t="s">
        <v>316</v>
      </c>
      <c r="AD11" s="125">
        <v>43237</v>
      </c>
      <c r="AE11" s="125">
        <v>43348</v>
      </c>
      <c r="AF11" s="43" t="s">
        <v>317</v>
      </c>
      <c r="AH11" s="125">
        <v>43518</v>
      </c>
      <c r="AI11" s="125">
        <v>43556</v>
      </c>
      <c r="AJ11" s="43" t="s">
        <v>75</v>
      </c>
      <c r="AK11" s="43" t="s">
        <v>322</v>
      </c>
      <c r="AP11" s="43">
        <v>1</v>
      </c>
      <c r="AQ11" s="90">
        <f t="shared" si="0"/>
        <v>7</v>
      </c>
      <c r="BK11" s="90">
        <f t="shared" si="1"/>
        <v>0</v>
      </c>
      <c r="BL11" s="90">
        <f t="shared" si="2"/>
        <v>0</v>
      </c>
    </row>
    <row r="12" spans="1:64">
      <c r="A12" s="43">
        <v>7185</v>
      </c>
      <c r="B12" s="89" t="s">
        <v>312</v>
      </c>
      <c r="C12" s="43" t="s">
        <v>800</v>
      </c>
      <c r="D12" s="89" t="s">
        <v>801</v>
      </c>
      <c r="E12" s="43">
        <v>528265</v>
      </c>
      <c r="F12" s="43">
        <v>172556</v>
      </c>
      <c r="G12" s="89" t="s">
        <v>167</v>
      </c>
      <c r="H12" s="125">
        <v>43677</v>
      </c>
      <c r="I12" s="125">
        <v>43692</v>
      </c>
      <c r="J12" s="141">
        <v>0</v>
      </c>
      <c r="K12" s="141">
        <v>0</v>
      </c>
      <c r="L12" s="141">
        <v>0</v>
      </c>
      <c r="M12" s="141">
        <v>0</v>
      </c>
      <c r="N12" s="141">
        <v>0</v>
      </c>
      <c r="O12" s="141">
        <v>0</v>
      </c>
      <c r="P12" s="141">
        <v>0</v>
      </c>
      <c r="Q12" s="141">
        <v>0</v>
      </c>
      <c r="R12" s="141">
        <v>0</v>
      </c>
      <c r="S12" s="141">
        <v>0</v>
      </c>
      <c r="T12" s="141">
        <v>0</v>
      </c>
      <c r="U12" s="141">
        <v>0</v>
      </c>
      <c r="V12" s="141">
        <v>0</v>
      </c>
      <c r="W12" s="141">
        <v>6</v>
      </c>
      <c r="X12" s="141">
        <v>6</v>
      </c>
      <c r="Y12" s="141">
        <v>0</v>
      </c>
      <c r="Z12" s="141">
        <v>6</v>
      </c>
      <c r="AA12" s="141">
        <v>6</v>
      </c>
      <c r="AB12" s="89" t="s">
        <v>802</v>
      </c>
      <c r="AC12" s="43" t="s">
        <v>803</v>
      </c>
      <c r="AD12" s="125">
        <v>43621</v>
      </c>
      <c r="AE12" s="125">
        <v>43677</v>
      </c>
      <c r="AF12" s="43" t="s">
        <v>317</v>
      </c>
      <c r="AH12" s="125">
        <v>43677</v>
      </c>
      <c r="AI12" s="125">
        <v>43692</v>
      </c>
      <c r="AJ12" s="43" t="s">
        <v>75</v>
      </c>
      <c r="AK12" s="43" t="s">
        <v>322</v>
      </c>
      <c r="AP12" s="43">
        <v>1</v>
      </c>
      <c r="AQ12" s="90">
        <f t="shared" si="0"/>
        <v>6</v>
      </c>
      <c r="BK12" s="90">
        <f t="shared" si="1"/>
        <v>0</v>
      </c>
      <c r="BL12" s="90">
        <f t="shared" si="2"/>
        <v>0</v>
      </c>
    </row>
    <row r="13" spans="1:64">
      <c r="A13" s="43">
        <v>4817</v>
      </c>
      <c r="B13" s="89" t="s">
        <v>813</v>
      </c>
      <c r="C13" s="43" t="s">
        <v>3076</v>
      </c>
      <c r="D13" s="89" t="s">
        <v>3077</v>
      </c>
      <c r="E13" s="43">
        <v>528244</v>
      </c>
      <c r="F13" s="43">
        <v>176622</v>
      </c>
      <c r="G13" s="89" t="s">
        <v>148</v>
      </c>
      <c r="H13" s="125">
        <v>43190</v>
      </c>
      <c r="J13" s="141">
        <v>0</v>
      </c>
      <c r="K13" s="141">
        <v>0</v>
      </c>
      <c r="L13" s="141">
        <v>0</v>
      </c>
      <c r="M13" s="141">
        <v>59</v>
      </c>
      <c r="N13" s="141">
        <v>108</v>
      </c>
      <c r="O13" s="141">
        <v>49</v>
      </c>
      <c r="P13" s="141">
        <v>0</v>
      </c>
      <c r="Q13" s="141">
        <v>0</v>
      </c>
      <c r="R13" s="141">
        <v>0</v>
      </c>
      <c r="S13" s="141">
        <v>0</v>
      </c>
      <c r="T13" s="141">
        <v>0</v>
      </c>
      <c r="U13" s="141">
        <v>0</v>
      </c>
      <c r="V13" s="141">
        <v>0</v>
      </c>
      <c r="W13" s="141">
        <v>0</v>
      </c>
      <c r="X13" s="141">
        <v>0</v>
      </c>
      <c r="Y13" s="141">
        <v>59</v>
      </c>
      <c r="Z13" s="141">
        <v>108</v>
      </c>
      <c r="AA13" s="141">
        <v>49</v>
      </c>
      <c r="AB13" s="89" t="s">
        <v>3078</v>
      </c>
      <c r="AC13" s="43" t="s">
        <v>392</v>
      </c>
      <c r="AD13" s="125">
        <v>42656</v>
      </c>
      <c r="AE13" s="125">
        <v>42965</v>
      </c>
      <c r="AF13" s="43" t="s">
        <v>317</v>
      </c>
      <c r="AH13" s="125">
        <v>43190</v>
      </c>
      <c r="AJ13" s="43" t="s">
        <v>75</v>
      </c>
      <c r="AK13" s="43" t="s">
        <v>322</v>
      </c>
      <c r="AO13" s="43" t="s">
        <v>3062</v>
      </c>
      <c r="AP13" s="43">
        <v>5</v>
      </c>
      <c r="AS13" s="90">
        <f>$AA13/4</f>
        <v>12.25</v>
      </c>
      <c r="AT13" s="90">
        <f>$AA13/4</f>
        <v>12.25</v>
      </c>
      <c r="AU13" s="90">
        <f>$AA13/4</f>
        <v>12.25</v>
      </c>
      <c r="AV13" s="90">
        <f>$AA13/4</f>
        <v>12.25</v>
      </c>
      <c r="BK13" s="90">
        <f t="shared" si="1"/>
        <v>49</v>
      </c>
      <c r="BL13" s="90">
        <f t="shared" si="2"/>
        <v>49</v>
      </c>
    </row>
    <row r="14" spans="1:64">
      <c r="A14" s="43">
        <v>5348</v>
      </c>
      <c r="B14" s="89" t="s">
        <v>813</v>
      </c>
      <c r="C14" s="43" t="s">
        <v>1074</v>
      </c>
      <c r="D14" s="89" t="s">
        <v>1075</v>
      </c>
      <c r="E14" s="43">
        <v>527772</v>
      </c>
      <c r="F14" s="43">
        <v>173569</v>
      </c>
      <c r="G14" s="89" t="s">
        <v>173</v>
      </c>
      <c r="H14" s="125">
        <v>43190</v>
      </c>
      <c r="J14" s="141">
        <v>0</v>
      </c>
      <c r="K14" s="141">
        <v>0</v>
      </c>
      <c r="L14" s="141">
        <v>0</v>
      </c>
      <c r="M14" s="141">
        <v>26</v>
      </c>
      <c r="N14" s="141">
        <v>0</v>
      </c>
      <c r="O14" s="141">
        <v>-26</v>
      </c>
      <c r="P14" s="141">
        <v>0</v>
      </c>
      <c r="Q14" s="141">
        <v>0</v>
      </c>
      <c r="R14" s="141">
        <v>0</v>
      </c>
      <c r="S14" s="141">
        <v>0</v>
      </c>
      <c r="T14" s="141">
        <v>0</v>
      </c>
      <c r="U14" s="141">
        <v>0</v>
      </c>
      <c r="V14" s="141">
        <v>0</v>
      </c>
      <c r="W14" s="141">
        <v>0</v>
      </c>
      <c r="X14" s="141">
        <v>0</v>
      </c>
      <c r="Y14" s="141">
        <v>26</v>
      </c>
      <c r="Z14" s="141">
        <v>0</v>
      </c>
      <c r="AA14" s="141">
        <v>-26</v>
      </c>
      <c r="AB14" s="89" t="s">
        <v>1076</v>
      </c>
      <c r="AC14" s="43" t="s">
        <v>383</v>
      </c>
      <c r="AD14" s="125">
        <v>41457</v>
      </c>
      <c r="AE14" s="125">
        <v>41936</v>
      </c>
      <c r="AF14" s="43" t="s">
        <v>384</v>
      </c>
      <c r="AG14" s="125">
        <v>42269</v>
      </c>
      <c r="AH14" s="125">
        <v>43190</v>
      </c>
      <c r="AJ14" s="43" t="s">
        <v>75</v>
      </c>
      <c r="AK14" s="43" t="s">
        <v>322</v>
      </c>
      <c r="AP14" s="43">
        <v>2</v>
      </c>
      <c r="AR14" s="90">
        <f>AA14</f>
        <v>-26</v>
      </c>
      <c r="BK14" s="90">
        <f t="shared" si="1"/>
        <v>-26</v>
      </c>
      <c r="BL14" s="90">
        <f t="shared" si="2"/>
        <v>-26</v>
      </c>
    </row>
    <row r="15" spans="1:64">
      <c r="A15" s="43">
        <v>6165</v>
      </c>
      <c r="B15" s="89" t="s">
        <v>813</v>
      </c>
      <c r="C15" s="43" t="s">
        <v>3079</v>
      </c>
      <c r="D15" s="89" t="s">
        <v>3080</v>
      </c>
      <c r="E15" s="43">
        <v>528364</v>
      </c>
      <c r="F15" s="43">
        <v>172774</v>
      </c>
      <c r="G15" s="89" t="s">
        <v>167</v>
      </c>
      <c r="H15" s="125">
        <v>43555</v>
      </c>
      <c r="J15" s="141">
        <v>0</v>
      </c>
      <c r="K15" s="141">
        <v>0</v>
      </c>
      <c r="L15" s="141">
        <v>0</v>
      </c>
      <c r="M15" s="141">
        <v>0</v>
      </c>
      <c r="N15" s="141">
        <v>13</v>
      </c>
      <c r="O15" s="141">
        <v>13</v>
      </c>
      <c r="P15" s="141">
        <v>0</v>
      </c>
      <c r="Q15" s="141">
        <v>0</v>
      </c>
      <c r="R15" s="141">
        <v>0</v>
      </c>
      <c r="S15" s="141">
        <v>0</v>
      </c>
      <c r="T15" s="141">
        <v>0</v>
      </c>
      <c r="U15" s="141">
        <v>0</v>
      </c>
      <c r="V15" s="141">
        <v>0</v>
      </c>
      <c r="W15" s="141">
        <v>0</v>
      </c>
      <c r="X15" s="141">
        <v>0</v>
      </c>
      <c r="Y15" s="141">
        <v>0</v>
      </c>
      <c r="Z15" s="141">
        <v>13</v>
      </c>
      <c r="AA15" s="141">
        <v>13</v>
      </c>
      <c r="AB15" s="89" t="s">
        <v>3081</v>
      </c>
      <c r="AC15" s="43" t="s">
        <v>316</v>
      </c>
      <c r="AD15" s="125">
        <v>42380</v>
      </c>
      <c r="AE15" s="125">
        <v>42663</v>
      </c>
      <c r="AF15" s="43" t="s">
        <v>317</v>
      </c>
      <c r="AH15" s="125">
        <v>43555</v>
      </c>
      <c r="AJ15" s="43" t="s">
        <v>77</v>
      </c>
      <c r="AK15" s="43" t="s">
        <v>3071</v>
      </c>
      <c r="AP15" s="43">
        <v>2</v>
      </c>
      <c r="AR15" s="90">
        <f>AA15</f>
        <v>13</v>
      </c>
      <c r="BK15" s="90">
        <f t="shared" si="1"/>
        <v>13</v>
      </c>
      <c r="BL15" s="90">
        <f t="shared" si="2"/>
        <v>13</v>
      </c>
    </row>
    <row r="16" spans="1:64">
      <c r="A16" s="43">
        <v>6827</v>
      </c>
      <c r="B16" s="89" t="s">
        <v>813</v>
      </c>
      <c r="C16" s="43" t="s">
        <v>3082</v>
      </c>
      <c r="D16" s="89" t="s">
        <v>3083</v>
      </c>
      <c r="E16" s="43">
        <v>528519</v>
      </c>
      <c r="F16" s="43">
        <v>170963</v>
      </c>
      <c r="G16" s="89" t="s">
        <v>171</v>
      </c>
      <c r="H16" s="125">
        <v>43555</v>
      </c>
      <c r="J16" s="141">
        <v>0</v>
      </c>
      <c r="K16" s="141">
        <v>0</v>
      </c>
      <c r="L16" s="141">
        <v>0</v>
      </c>
      <c r="M16" s="141">
        <v>0</v>
      </c>
      <c r="N16" s="141">
        <v>0</v>
      </c>
      <c r="O16" s="141">
        <v>0</v>
      </c>
      <c r="P16" s="141">
        <v>0</v>
      </c>
      <c r="Q16" s="141">
        <v>0</v>
      </c>
      <c r="R16" s="141">
        <v>0</v>
      </c>
      <c r="S16" s="141">
        <v>0</v>
      </c>
      <c r="T16" s="141">
        <v>34</v>
      </c>
      <c r="U16" s="141">
        <v>34</v>
      </c>
      <c r="V16" s="141">
        <v>0</v>
      </c>
      <c r="W16" s="141">
        <v>0</v>
      </c>
      <c r="X16" s="141">
        <v>0</v>
      </c>
      <c r="Y16" s="141">
        <v>0</v>
      </c>
      <c r="Z16" s="141">
        <v>34</v>
      </c>
      <c r="AA16" s="141">
        <v>34</v>
      </c>
      <c r="AB16" s="89" t="s">
        <v>3084</v>
      </c>
      <c r="AC16" s="43" t="s">
        <v>316</v>
      </c>
      <c r="AD16" s="125">
        <v>43159</v>
      </c>
      <c r="AE16" s="125">
        <v>43206</v>
      </c>
      <c r="AF16" s="43" t="s">
        <v>317</v>
      </c>
      <c r="AH16" s="125">
        <v>43555</v>
      </c>
      <c r="AJ16" s="43" t="s">
        <v>75</v>
      </c>
      <c r="AK16" s="43" t="s">
        <v>322</v>
      </c>
      <c r="AP16" s="43">
        <v>2</v>
      </c>
      <c r="AR16" s="90">
        <f>AA16</f>
        <v>34</v>
      </c>
      <c r="BK16" s="90">
        <f t="shared" si="1"/>
        <v>34</v>
      </c>
      <c r="BL16" s="90">
        <f t="shared" si="2"/>
        <v>34</v>
      </c>
    </row>
    <row r="17" spans="1:64">
      <c r="A17" s="43">
        <v>7114</v>
      </c>
      <c r="B17" s="89" t="s">
        <v>813</v>
      </c>
      <c r="C17" s="43" t="s">
        <v>1431</v>
      </c>
      <c r="D17" s="89" t="s">
        <v>1432</v>
      </c>
      <c r="E17" s="43">
        <v>527807</v>
      </c>
      <c r="F17" s="43">
        <v>173671</v>
      </c>
      <c r="G17" s="89" t="s">
        <v>173</v>
      </c>
      <c r="H17" s="125">
        <v>43775</v>
      </c>
      <c r="J17" s="141">
        <v>0</v>
      </c>
      <c r="K17" s="141">
        <v>0</v>
      </c>
      <c r="L17" s="141">
        <v>0</v>
      </c>
      <c r="M17" s="141">
        <v>0</v>
      </c>
      <c r="N17" s="141">
        <v>0</v>
      </c>
      <c r="O17" s="141">
        <v>0</v>
      </c>
      <c r="P17" s="141">
        <v>0</v>
      </c>
      <c r="Q17" s="141">
        <v>0</v>
      </c>
      <c r="R17" s="141">
        <v>0</v>
      </c>
      <c r="S17" s="141">
        <v>0</v>
      </c>
      <c r="T17" s="141">
        <v>0</v>
      </c>
      <c r="U17" s="141">
        <v>0</v>
      </c>
      <c r="V17" s="141">
        <v>8</v>
      </c>
      <c r="W17" s="141">
        <v>0</v>
      </c>
      <c r="X17" s="141">
        <v>-8</v>
      </c>
      <c r="Y17" s="141">
        <v>8</v>
      </c>
      <c r="Z17" s="141">
        <v>0</v>
      </c>
      <c r="AA17" s="141">
        <v>-8</v>
      </c>
      <c r="AB17" s="89" t="s">
        <v>1433</v>
      </c>
      <c r="AC17" s="43" t="s">
        <v>803</v>
      </c>
      <c r="AD17" s="125">
        <v>43501</v>
      </c>
      <c r="AE17" s="125">
        <v>43556</v>
      </c>
      <c r="AF17" s="43" t="s">
        <v>317</v>
      </c>
      <c r="AH17" s="125">
        <v>43775</v>
      </c>
      <c r="AJ17" s="43" t="s">
        <v>75</v>
      </c>
      <c r="AK17" s="43" t="s">
        <v>322</v>
      </c>
      <c r="AP17" s="43">
        <v>3</v>
      </c>
      <c r="AS17" s="90">
        <f>$AA16/2</f>
        <v>17</v>
      </c>
      <c r="AT17" s="90">
        <f>$AA16/2</f>
        <v>17</v>
      </c>
      <c r="BK17" s="90">
        <f t="shared" si="1"/>
        <v>34</v>
      </c>
      <c r="BL17" s="90">
        <f t="shared" si="2"/>
        <v>34</v>
      </c>
    </row>
    <row r="18" spans="1:64">
      <c r="A18" s="43">
        <v>7204</v>
      </c>
      <c r="B18" s="89" t="s">
        <v>813</v>
      </c>
      <c r="C18" s="43" t="s">
        <v>1479</v>
      </c>
      <c r="D18" s="89" t="s">
        <v>1480</v>
      </c>
      <c r="E18" s="43">
        <v>528657</v>
      </c>
      <c r="F18" s="43">
        <v>172323</v>
      </c>
      <c r="G18" s="89" t="s">
        <v>167</v>
      </c>
      <c r="H18" s="125">
        <v>43921</v>
      </c>
      <c r="J18" s="141">
        <v>0</v>
      </c>
      <c r="K18" s="141">
        <v>0</v>
      </c>
      <c r="L18" s="141">
        <v>0</v>
      </c>
      <c r="M18" s="141">
        <v>0</v>
      </c>
      <c r="N18" s="141">
        <v>0</v>
      </c>
      <c r="O18" s="141">
        <v>0</v>
      </c>
      <c r="P18" s="141">
        <v>0</v>
      </c>
      <c r="Q18" s="141">
        <v>0</v>
      </c>
      <c r="R18" s="141">
        <v>0</v>
      </c>
      <c r="S18" s="141">
        <v>0</v>
      </c>
      <c r="T18" s="141">
        <v>0</v>
      </c>
      <c r="U18" s="141">
        <v>0</v>
      </c>
      <c r="V18" s="141">
        <v>12</v>
      </c>
      <c r="W18" s="141">
        <v>0</v>
      </c>
      <c r="X18" s="141">
        <v>-12</v>
      </c>
      <c r="Y18" s="141">
        <v>12</v>
      </c>
      <c r="Z18" s="141">
        <v>0</v>
      </c>
      <c r="AA18" s="141">
        <v>-12</v>
      </c>
      <c r="AB18" s="89" t="s">
        <v>1481</v>
      </c>
      <c r="AC18" s="43" t="s">
        <v>316</v>
      </c>
      <c r="AD18" s="125">
        <v>43665</v>
      </c>
      <c r="AE18" s="125">
        <v>43726</v>
      </c>
      <c r="AF18" s="43" t="s">
        <v>317</v>
      </c>
      <c r="AH18" s="125">
        <v>43921</v>
      </c>
      <c r="AJ18" s="43" t="s">
        <v>75</v>
      </c>
      <c r="AK18" s="43" t="s">
        <v>322</v>
      </c>
      <c r="AP18" s="43">
        <v>3</v>
      </c>
      <c r="AS18" s="90">
        <f>$AA17/2</f>
        <v>-4</v>
      </c>
      <c r="AT18" s="90">
        <f>$AA17/2</f>
        <v>-4</v>
      </c>
      <c r="BK18" s="90">
        <f t="shared" si="1"/>
        <v>-8</v>
      </c>
      <c r="BL18" s="90">
        <f t="shared" si="2"/>
        <v>-8</v>
      </c>
    </row>
    <row r="19" spans="1:64">
      <c r="A19" s="43">
        <v>13</v>
      </c>
      <c r="B19" s="89" t="s">
        <v>1515</v>
      </c>
      <c r="C19" s="43" t="s">
        <v>3085</v>
      </c>
      <c r="D19" s="89" t="s">
        <v>3086</v>
      </c>
      <c r="E19" s="43">
        <v>527592</v>
      </c>
      <c r="F19" s="43">
        <v>172887</v>
      </c>
      <c r="G19" s="89" t="s">
        <v>173</v>
      </c>
      <c r="J19" s="141">
        <v>0</v>
      </c>
      <c r="K19" s="141">
        <v>0</v>
      </c>
      <c r="L19" s="141">
        <v>0</v>
      </c>
      <c r="M19" s="141">
        <v>0</v>
      </c>
      <c r="N19" s="141">
        <v>8</v>
      </c>
      <c r="O19" s="141">
        <v>8</v>
      </c>
      <c r="P19" s="141">
        <v>0</v>
      </c>
      <c r="Q19" s="141">
        <v>0</v>
      </c>
      <c r="R19" s="141">
        <v>0</v>
      </c>
      <c r="S19" s="141">
        <v>0</v>
      </c>
      <c r="T19" s="141">
        <v>0</v>
      </c>
      <c r="U19" s="141">
        <v>0</v>
      </c>
      <c r="V19" s="141">
        <v>0</v>
      </c>
      <c r="W19" s="141">
        <v>0</v>
      </c>
      <c r="X19" s="141">
        <v>0</v>
      </c>
      <c r="Y19" s="141">
        <v>0</v>
      </c>
      <c r="Z19" s="141">
        <v>8</v>
      </c>
      <c r="AA19" s="141">
        <v>8</v>
      </c>
      <c r="AB19" s="89" t="s">
        <v>3087</v>
      </c>
      <c r="AC19" s="43" t="s">
        <v>316</v>
      </c>
      <c r="AD19" s="125">
        <v>43167</v>
      </c>
      <c r="AE19" s="125">
        <v>43348</v>
      </c>
      <c r="AF19" s="43" t="s">
        <v>317</v>
      </c>
      <c r="AJ19" s="43" t="s">
        <v>75</v>
      </c>
      <c r="AK19" s="43" t="s">
        <v>322</v>
      </c>
      <c r="AO19" s="43" t="s">
        <v>3072</v>
      </c>
      <c r="AP19" s="43">
        <v>6</v>
      </c>
      <c r="AS19" s="90">
        <f>$AA19/4</f>
        <v>2</v>
      </c>
      <c r="AT19" s="90">
        <f>$AA19/4</f>
        <v>2</v>
      </c>
      <c r="AU19" s="90">
        <f>$AA19/4</f>
        <v>2</v>
      </c>
      <c r="AV19" s="90">
        <f>$AA19/4</f>
        <v>2</v>
      </c>
      <c r="BK19" s="90">
        <f t="shared" si="1"/>
        <v>8</v>
      </c>
      <c r="BL19" s="90">
        <f t="shared" si="2"/>
        <v>8</v>
      </c>
    </row>
    <row r="20" spans="1:64">
      <c r="A20" s="43">
        <v>2502</v>
      </c>
      <c r="B20" s="89" t="s">
        <v>1515</v>
      </c>
      <c r="C20" s="43" t="s">
        <v>1665</v>
      </c>
      <c r="D20" s="89" t="s">
        <v>1666</v>
      </c>
      <c r="E20" s="43">
        <v>527221</v>
      </c>
      <c r="F20" s="43">
        <v>172443</v>
      </c>
      <c r="G20" s="89" t="s">
        <v>179</v>
      </c>
      <c r="H20" s="125">
        <v>42244</v>
      </c>
      <c r="J20" s="141">
        <v>0</v>
      </c>
      <c r="K20" s="141">
        <v>0</v>
      </c>
      <c r="L20" s="141">
        <v>0</v>
      </c>
      <c r="M20" s="141">
        <v>46</v>
      </c>
      <c r="N20" s="141">
        <v>50</v>
      </c>
      <c r="O20" s="141">
        <v>4</v>
      </c>
      <c r="P20" s="141">
        <v>0</v>
      </c>
      <c r="Q20" s="141">
        <v>0</v>
      </c>
      <c r="R20" s="141">
        <v>0</v>
      </c>
      <c r="S20" s="141">
        <v>0</v>
      </c>
      <c r="T20" s="141">
        <v>0</v>
      </c>
      <c r="U20" s="141">
        <v>0</v>
      </c>
      <c r="V20" s="141">
        <v>0</v>
      </c>
      <c r="W20" s="141">
        <v>0</v>
      </c>
      <c r="X20" s="141">
        <v>0</v>
      </c>
      <c r="Y20" s="141">
        <v>46</v>
      </c>
      <c r="Z20" s="141">
        <v>50</v>
      </c>
      <c r="AA20" s="141">
        <v>4</v>
      </c>
      <c r="AB20" s="89" t="s">
        <v>1668</v>
      </c>
      <c r="AC20" s="43" t="s">
        <v>383</v>
      </c>
      <c r="AD20" s="125">
        <v>40431</v>
      </c>
      <c r="AE20" s="125">
        <v>40587</v>
      </c>
      <c r="AF20" s="43" t="s">
        <v>384</v>
      </c>
      <c r="AG20" s="125">
        <v>41082</v>
      </c>
      <c r="AJ20" s="43" t="s">
        <v>77</v>
      </c>
      <c r="AK20" s="43" t="s">
        <v>3071</v>
      </c>
      <c r="AL20" s="43" t="s">
        <v>1669</v>
      </c>
      <c r="AN20" s="43" t="s">
        <v>329</v>
      </c>
      <c r="AO20" s="43" t="s">
        <v>3062</v>
      </c>
      <c r="AP20" s="43">
        <v>7</v>
      </c>
      <c r="AR20" s="90">
        <f>AA20</f>
        <v>4</v>
      </c>
      <c r="BK20" s="90">
        <f t="shared" si="1"/>
        <v>4</v>
      </c>
      <c r="BL20" s="90">
        <f t="shared" si="2"/>
        <v>4</v>
      </c>
    </row>
    <row r="21" spans="1:64">
      <c r="A21" s="43">
        <v>2589</v>
      </c>
      <c r="B21" s="89" t="s">
        <v>1515</v>
      </c>
      <c r="C21" s="43" t="s">
        <v>1684</v>
      </c>
      <c r="D21" s="89" t="s">
        <v>1685</v>
      </c>
      <c r="E21" s="43">
        <v>528730</v>
      </c>
      <c r="F21" s="43">
        <v>176714</v>
      </c>
      <c r="G21" s="89" t="s">
        <v>148</v>
      </c>
      <c r="J21" s="141">
        <v>0</v>
      </c>
      <c r="K21" s="141">
        <v>0</v>
      </c>
      <c r="L21" s="141">
        <v>0</v>
      </c>
      <c r="M21" s="141">
        <v>0</v>
      </c>
      <c r="N21" s="141">
        <v>0</v>
      </c>
      <c r="O21" s="141">
        <v>0</v>
      </c>
      <c r="P21" s="141">
        <v>0</v>
      </c>
      <c r="Q21" s="141">
        <v>0</v>
      </c>
      <c r="R21" s="141">
        <v>0</v>
      </c>
      <c r="S21" s="141">
        <v>0</v>
      </c>
      <c r="T21" s="141">
        <v>0</v>
      </c>
      <c r="U21" s="141">
        <v>0</v>
      </c>
      <c r="V21" s="141">
        <v>6</v>
      </c>
      <c r="W21" s="141">
        <v>0</v>
      </c>
      <c r="X21" s="141">
        <v>-6</v>
      </c>
      <c r="Y21" s="141">
        <v>6</v>
      </c>
      <c r="Z21" s="141">
        <v>0</v>
      </c>
      <c r="AA21" s="141">
        <v>-6</v>
      </c>
      <c r="AB21" s="89" t="s">
        <v>1686</v>
      </c>
      <c r="AC21" s="43" t="s">
        <v>316</v>
      </c>
      <c r="AD21" s="125">
        <v>43123</v>
      </c>
      <c r="AE21" s="125">
        <v>43236</v>
      </c>
      <c r="AF21" s="43" t="s">
        <v>317</v>
      </c>
      <c r="AJ21" s="43" t="s">
        <v>75</v>
      </c>
      <c r="AK21" s="43" t="s">
        <v>322</v>
      </c>
      <c r="AP21" s="43">
        <v>6</v>
      </c>
      <c r="AS21" s="90">
        <f>$AA21/4</f>
        <v>-1.5</v>
      </c>
      <c r="AT21" s="90">
        <f>$AA21/4</f>
        <v>-1.5</v>
      </c>
      <c r="AU21" s="90">
        <f>$AA21/4</f>
        <v>-1.5</v>
      </c>
      <c r="AV21" s="90">
        <f>$AA21/4</f>
        <v>-1.5</v>
      </c>
      <c r="BK21" s="90">
        <f t="shared" si="1"/>
        <v>-6</v>
      </c>
      <c r="BL21" s="90">
        <f t="shared" si="2"/>
        <v>-6</v>
      </c>
    </row>
    <row r="22" spans="1:64">
      <c r="A22" s="43">
        <v>4486</v>
      </c>
      <c r="B22" s="89" t="s">
        <v>1515</v>
      </c>
      <c r="C22" s="43" t="s">
        <v>3088</v>
      </c>
      <c r="D22" s="89" t="s">
        <v>3089</v>
      </c>
      <c r="E22" s="43">
        <v>525900</v>
      </c>
      <c r="F22" s="43">
        <v>172713</v>
      </c>
      <c r="G22" s="89" t="s">
        <v>168</v>
      </c>
      <c r="J22" s="141">
        <v>0</v>
      </c>
      <c r="K22" s="141">
        <v>292</v>
      </c>
      <c r="L22" s="141">
        <v>292</v>
      </c>
      <c r="M22" s="141">
        <v>0</v>
      </c>
      <c r="N22" s="141">
        <v>0</v>
      </c>
      <c r="O22" s="141">
        <v>0</v>
      </c>
      <c r="P22" s="141">
        <v>0</v>
      </c>
      <c r="Q22" s="141">
        <v>0</v>
      </c>
      <c r="R22" s="141">
        <v>0</v>
      </c>
      <c r="S22" s="141">
        <v>0</v>
      </c>
      <c r="T22" s="141">
        <v>0</v>
      </c>
      <c r="U22" s="141">
        <v>0</v>
      </c>
      <c r="V22" s="141">
        <v>0</v>
      </c>
      <c r="W22" s="141">
        <v>0</v>
      </c>
      <c r="X22" s="141">
        <v>0</v>
      </c>
      <c r="Y22" s="141">
        <v>0</v>
      </c>
      <c r="Z22" s="141">
        <v>292</v>
      </c>
      <c r="AA22" s="141">
        <v>292</v>
      </c>
      <c r="AB22" s="89" t="s">
        <v>3090</v>
      </c>
      <c r="AC22" s="43" t="s">
        <v>392</v>
      </c>
      <c r="AD22" s="125">
        <v>43538</v>
      </c>
      <c r="AE22" s="125">
        <v>43893</v>
      </c>
      <c r="AF22" s="43" t="s">
        <v>317</v>
      </c>
      <c r="AJ22" s="43" t="s">
        <v>75</v>
      </c>
      <c r="AK22" s="43" t="s">
        <v>322</v>
      </c>
      <c r="AP22" s="43">
        <v>9</v>
      </c>
      <c r="AU22" s="90">
        <f>$AA22/3</f>
        <v>97.333333333333329</v>
      </c>
      <c r="AV22" s="90">
        <f>$AA22/3</f>
        <v>97.333333333333329</v>
      </c>
      <c r="AW22" s="90">
        <f>$AA22/3</f>
        <v>97.333333333333329</v>
      </c>
      <c r="BK22" s="90">
        <f t="shared" si="1"/>
        <v>194.66666666666666</v>
      </c>
      <c r="BL22" s="90">
        <f t="shared" si="2"/>
        <v>292</v>
      </c>
    </row>
    <row r="23" spans="1:64">
      <c r="A23" s="43">
        <v>6497</v>
      </c>
      <c r="B23" s="89" t="s">
        <v>1515</v>
      </c>
      <c r="C23" s="43" t="s">
        <v>2154</v>
      </c>
      <c r="D23" s="89" t="s">
        <v>2155</v>
      </c>
      <c r="E23" s="43">
        <v>527487</v>
      </c>
      <c r="F23" s="43">
        <v>175150</v>
      </c>
      <c r="G23" s="89" t="s">
        <v>174</v>
      </c>
      <c r="J23" s="141">
        <v>0</v>
      </c>
      <c r="K23" s="141">
        <v>0</v>
      </c>
      <c r="L23" s="141">
        <v>0</v>
      </c>
      <c r="M23" s="141">
        <v>0</v>
      </c>
      <c r="N23" s="141">
        <v>0</v>
      </c>
      <c r="O23" s="141">
        <v>0</v>
      </c>
      <c r="P23" s="141">
        <v>0</v>
      </c>
      <c r="Q23" s="141">
        <v>0</v>
      </c>
      <c r="R23" s="141">
        <v>0</v>
      </c>
      <c r="S23" s="141">
        <v>0</v>
      </c>
      <c r="T23" s="141">
        <v>0</v>
      </c>
      <c r="U23" s="141">
        <v>0</v>
      </c>
      <c r="V23" s="141">
        <v>0</v>
      </c>
      <c r="W23" s="141">
        <v>13</v>
      </c>
      <c r="X23" s="141">
        <v>13</v>
      </c>
      <c r="Y23" s="141">
        <v>0</v>
      </c>
      <c r="Z23" s="141">
        <v>13</v>
      </c>
      <c r="AA23" s="141">
        <v>13</v>
      </c>
      <c r="AB23" s="89" t="s">
        <v>2156</v>
      </c>
      <c r="AC23" s="43" t="s">
        <v>316</v>
      </c>
      <c r="AD23" s="125">
        <v>42752</v>
      </c>
      <c r="AE23" s="125">
        <v>42857</v>
      </c>
      <c r="AF23" s="43" t="s">
        <v>317</v>
      </c>
      <c r="AJ23" s="43" t="s">
        <v>75</v>
      </c>
      <c r="AK23" s="43" t="s">
        <v>322</v>
      </c>
      <c r="AP23" s="43">
        <v>6</v>
      </c>
      <c r="AS23" s="90">
        <f t="shared" ref="AS23:AV33" si="3">$AA23/4</f>
        <v>3.25</v>
      </c>
      <c r="AT23" s="90">
        <f t="shared" si="3"/>
        <v>3.25</v>
      </c>
      <c r="AU23" s="90">
        <f t="shared" si="3"/>
        <v>3.25</v>
      </c>
      <c r="AV23" s="90">
        <f t="shared" si="3"/>
        <v>3.25</v>
      </c>
      <c r="BK23" s="90">
        <f t="shared" si="1"/>
        <v>13</v>
      </c>
      <c r="BL23" s="90">
        <f t="shared" si="2"/>
        <v>13</v>
      </c>
    </row>
    <row r="24" spans="1:64">
      <c r="A24" s="43">
        <v>6535</v>
      </c>
      <c r="B24" s="89" t="s">
        <v>1515</v>
      </c>
      <c r="C24" s="43" t="s">
        <v>2185</v>
      </c>
      <c r="D24" s="89" t="s">
        <v>2186</v>
      </c>
      <c r="E24" s="43">
        <v>523949</v>
      </c>
      <c r="F24" s="43">
        <v>175565</v>
      </c>
      <c r="G24" s="89" t="s">
        <v>178</v>
      </c>
      <c r="J24" s="141">
        <v>0</v>
      </c>
      <c r="K24" s="141">
        <v>0</v>
      </c>
      <c r="L24" s="141">
        <v>0</v>
      </c>
      <c r="M24" s="141">
        <v>0</v>
      </c>
      <c r="N24" s="141">
        <v>10</v>
      </c>
      <c r="O24" s="141">
        <v>10</v>
      </c>
      <c r="P24" s="141">
        <v>0</v>
      </c>
      <c r="Q24" s="141">
        <v>0</v>
      </c>
      <c r="R24" s="141">
        <v>0</v>
      </c>
      <c r="S24" s="141">
        <v>0</v>
      </c>
      <c r="T24" s="141">
        <v>0</v>
      </c>
      <c r="U24" s="141">
        <v>0</v>
      </c>
      <c r="V24" s="141">
        <v>0</v>
      </c>
      <c r="W24" s="141">
        <v>0</v>
      </c>
      <c r="X24" s="141">
        <v>0</v>
      </c>
      <c r="Y24" s="141">
        <v>0</v>
      </c>
      <c r="Z24" s="141">
        <v>10</v>
      </c>
      <c r="AA24" s="141">
        <v>10</v>
      </c>
      <c r="AB24" s="89" t="s">
        <v>2187</v>
      </c>
      <c r="AC24" s="43" t="s">
        <v>316</v>
      </c>
      <c r="AD24" s="125">
        <v>42720</v>
      </c>
      <c r="AE24" s="125">
        <v>42909</v>
      </c>
      <c r="AF24" s="43" t="s">
        <v>317</v>
      </c>
      <c r="AJ24" s="43" t="s">
        <v>75</v>
      </c>
      <c r="AK24" s="43" t="s">
        <v>322</v>
      </c>
      <c r="AO24" s="43" t="s">
        <v>3062</v>
      </c>
      <c r="AP24" s="43">
        <v>6</v>
      </c>
      <c r="AS24" s="90">
        <f t="shared" si="3"/>
        <v>2.5</v>
      </c>
      <c r="AT24" s="90">
        <f t="shared" si="3"/>
        <v>2.5</v>
      </c>
      <c r="AU24" s="90">
        <f t="shared" si="3"/>
        <v>2.5</v>
      </c>
      <c r="AV24" s="90">
        <f t="shared" si="3"/>
        <v>2.5</v>
      </c>
      <c r="BK24" s="90">
        <f t="shared" si="1"/>
        <v>10</v>
      </c>
      <c r="BL24" s="90">
        <f t="shared" si="2"/>
        <v>10</v>
      </c>
    </row>
    <row r="25" spans="1:64">
      <c r="A25" s="43">
        <v>6672</v>
      </c>
      <c r="B25" s="89" t="s">
        <v>1515</v>
      </c>
      <c r="C25" s="43" t="s">
        <v>2254</v>
      </c>
      <c r="D25" s="89" t="s">
        <v>2255</v>
      </c>
      <c r="E25" s="43">
        <v>528523</v>
      </c>
      <c r="F25" s="43">
        <v>172269</v>
      </c>
      <c r="G25" s="89" t="s">
        <v>167</v>
      </c>
      <c r="J25" s="141">
        <v>0</v>
      </c>
      <c r="K25" s="141">
        <v>0</v>
      </c>
      <c r="L25" s="141">
        <v>0</v>
      </c>
      <c r="M25" s="141">
        <v>0</v>
      </c>
      <c r="N25" s="141">
        <v>0</v>
      </c>
      <c r="O25" s="141">
        <v>0</v>
      </c>
      <c r="P25" s="141">
        <v>0</v>
      </c>
      <c r="Q25" s="141">
        <v>0</v>
      </c>
      <c r="R25" s="141">
        <v>0</v>
      </c>
      <c r="S25" s="141">
        <v>0</v>
      </c>
      <c r="T25" s="141">
        <v>0</v>
      </c>
      <c r="U25" s="141">
        <v>0</v>
      </c>
      <c r="V25" s="141">
        <v>5</v>
      </c>
      <c r="W25" s="141">
        <v>0</v>
      </c>
      <c r="X25" s="141">
        <v>-5</v>
      </c>
      <c r="Y25" s="141">
        <v>5</v>
      </c>
      <c r="Z25" s="141">
        <v>0</v>
      </c>
      <c r="AA25" s="141">
        <v>-5</v>
      </c>
      <c r="AB25" s="89" t="s">
        <v>2256</v>
      </c>
      <c r="AC25" s="43" t="s">
        <v>316</v>
      </c>
      <c r="AD25" s="125">
        <v>42954</v>
      </c>
      <c r="AE25" s="125">
        <v>43032</v>
      </c>
      <c r="AF25" s="43" t="s">
        <v>317</v>
      </c>
      <c r="AJ25" s="43" t="s">
        <v>75</v>
      </c>
      <c r="AK25" s="43" t="s">
        <v>322</v>
      </c>
      <c r="AP25" s="43">
        <v>6</v>
      </c>
      <c r="AS25" s="90">
        <f t="shared" si="3"/>
        <v>-1.25</v>
      </c>
      <c r="AT25" s="90">
        <f t="shared" si="3"/>
        <v>-1.25</v>
      </c>
      <c r="AU25" s="90">
        <f t="shared" si="3"/>
        <v>-1.25</v>
      </c>
      <c r="AV25" s="90">
        <f t="shared" si="3"/>
        <v>-1.25</v>
      </c>
      <c r="BK25" s="90">
        <f t="shared" si="1"/>
        <v>-5</v>
      </c>
      <c r="BL25" s="90">
        <f t="shared" si="2"/>
        <v>-5</v>
      </c>
    </row>
    <row r="26" spans="1:64">
      <c r="A26" s="43">
        <v>6750</v>
      </c>
      <c r="B26" s="89" t="s">
        <v>1515</v>
      </c>
      <c r="C26" s="43" t="s">
        <v>2292</v>
      </c>
      <c r="D26" s="89" t="s">
        <v>2293</v>
      </c>
      <c r="E26" s="43">
        <v>524932</v>
      </c>
      <c r="F26" s="43">
        <v>174725</v>
      </c>
      <c r="G26" s="89" t="s">
        <v>170</v>
      </c>
      <c r="J26" s="141">
        <v>0</v>
      </c>
      <c r="K26" s="141">
        <v>0</v>
      </c>
      <c r="L26" s="141">
        <v>0</v>
      </c>
      <c r="M26" s="141">
        <v>0</v>
      </c>
      <c r="N26" s="141">
        <v>0</v>
      </c>
      <c r="O26" s="141">
        <v>0</v>
      </c>
      <c r="P26" s="141">
        <v>0</v>
      </c>
      <c r="Q26" s="141">
        <v>0</v>
      </c>
      <c r="R26" s="141">
        <v>0</v>
      </c>
      <c r="S26" s="141">
        <v>0</v>
      </c>
      <c r="T26" s="141">
        <v>0</v>
      </c>
      <c r="U26" s="141">
        <v>0</v>
      </c>
      <c r="V26" s="141">
        <v>7</v>
      </c>
      <c r="W26" s="141">
        <v>0</v>
      </c>
      <c r="X26" s="141">
        <v>-7</v>
      </c>
      <c r="Y26" s="141">
        <v>7</v>
      </c>
      <c r="Z26" s="141">
        <v>0</v>
      </c>
      <c r="AA26" s="141">
        <v>-7</v>
      </c>
      <c r="AB26" s="89" t="s">
        <v>2294</v>
      </c>
      <c r="AC26" s="43" t="s">
        <v>316</v>
      </c>
      <c r="AD26" s="125">
        <v>43462</v>
      </c>
      <c r="AE26" s="125">
        <v>43797</v>
      </c>
      <c r="AF26" s="43" t="s">
        <v>317</v>
      </c>
      <c r="AJ26" s="43" t="s">
        <v>75</v>
      </c>
      <c r="AK26" s="43" t="s">
        <v>322</v>
      </c>
      <c r="AP26" s="43">
        <v>6</v>
      </c>
      <c r="AS26" s="90">
        <f t="shared" si="3"/>
        <v>-1.75</v>
      </c>
      <c r="AT26" s="90">
        <f t="shared" si="3"/>
        <v>-1.75</v>
      </c>
      <c r="AU26" s="90">
        <f t="shared" si="3"/>
        <v>-1.75</v>
      </c>
      <c r="AV26" s="90">
        <f t="shared" si="3"/>
        <v>-1.75</v>
      </c>
      <c r="BK26" s="90">
        <f t="shared" si="1"/>
        <v>-7</v>
      </c>
      <c r="BL26" s="90">
        <f t="shared" si="2"/>
        <v>-7</v>
      </c>
    </row>
    <row r="27" spans="1:64">
      <c r="A27" s="43">
        <v>6827</v>
      </c>
      <c r="B27" s="89" t="s">
        <v>1515</v>
      </c>
      <c r="C27" s="43" t="s">
        <v>3091</v>
      </c>
      <c r="D27" s="89" t="s">
        <v>3083</v>
      </c>
      <c r="E27" s="43">
        <v>528519</v>
      </c>
      <c r="F27" s="43">
        <v>170963</v>
      </c>
      <c r="G27" s="89" t="s">
        <v>171</v>
      </c>
      <c r="J27" s="141">
        <v>0</v>
      </c>
      <c r="K27" s="141">
        <v>0</v>
      </c>
      <c r="L27" s="141">
        <v>0</v>
      </c>
      <c r="M27" s="141">
        <v>0</v>
      </c>
      <c r="N27" s="141">
        <v>0</v>
      </c>
      <c r="O27" s="141">
        <v>0</v>
      </c>
      <c r="P27" s="141">
        <v>0</v>
      </c>
      <c r="Q27" s="141">
        <v>0</v>
      </c>
      <c r="R27" s="141">
        <v>0</v>
      </c>
      <c r="S27" s="141">
        <v>0</v>
      </c>
      <c r="T27" s="141">
        <v>40</v>
      </c>
      <c r="U27" s="141">
        <v>40</v>
      </c>
      <c r="V27" s="141">
        <v>0</v>
      </c>
      <c r="W27" s="141">
        <v>0</v>
      </c>
      <c r="X27" s="141">
        <v>0</v>
      </c>
      <c r="Y27" s="141">
        <v>0</v>
      </c>
      <c r="Z27" s="141">
        <v>40</v>
      </c>
      <c r="AA27" s="141">
        <v>40</v>
      </c>
      <c r="AB27" s="89" t="s">
        <v>3092</v>
      </c>
      <c r="AC27" s="43" t="s">
        <v>316</v>
      </c>
      <c r="AD27" s="125">
        <v>43627</v>
      </c>
      <c r="AE27" s="125">
        <v>43766</v>
      </c>
      <c r="AF27" s="43" t="s">
        <v>317</v>
      </c>
      <c r="AJ27" s="43" t="s">
        <v>75</v>
      </c>
      <c r="AK27" s="43" t="s">
        <v>322</v>
      </c>
      <c r="AP27" s="43">
        <v>6</v>
      </c>
      <c r="AS27" s="90">
        <f t="shared" si="3"/>
        <v>10</v>
      </c>
      <c r="AT27" s="90">
        <f t="shared" si="3"/>
        <v>10</v>
      </c>
      <c r="AU27" s="90">
        <f t="shared" si="3"/>
        <v>10</v>
      </c>
      <c r="AV27" s="90">
        <f t="shared" si="3"/>
        <v>10</v>
      </c>
      <c r="BK27" s="90">
        <f t="shared" si="1"/>
        <v>40</v>
      </c>
      <c r="BL27" s="90">
        <f t="shared" si="2"/>
        <v>40</v>
      </c>
    </row>
    <row r="28" spans="1:64">
      <c r="A28" s="43">
        <v>6884</v>
      </c>
      <c r="B28" s="89" t="s">
        <v>1515</v>
      </c>
      <c r="C28" s="43" t="s">
        <v>2381</v>
      </c>
      <c r="D28" s="89" t="s">
        <v>2382</v>
      </c>
      <c r="E28" s="43">
        <v>524096</v>
      </c>
      <c r="F28" s="43">
        <v>175530</v>
      </c>
      <c r="G28" s="89" t="s">
        <v>178</v>
      </c>
      <c r="J28" s="141">
        <v>0</v>
      </c>
      <c r="K28" s="141">
        <v>0</v>
      </c>
      <c r="L28" s="141">
        <v>0</v>
      </c>
      <c r="M28" s="141">
        <v>0</v>
      </c>
      <c r="N28" s="141">
        <v>0</v>
      </c>
      <c r="O28" s="141">
        <v>0</v>
      </c>
      <c r="P28" s="141">
        <v>0</v>
      </c>
      <c r="Q28" s="141">
        <v>0</v>
      </c>
      <c r="R28" s="141">
        <v>0</v>
      </c>
      <c r="S28" s="141">
        <v>0</v>
      </c>
      <c r="T28" s="141">
        <v>0</v>
      </c>
      <c r="U28" s="141">
        <v>0</v>
      </c>
      <c r="V28" s="141">
        <v>0</v>
      </c>
      <c r="W28" s="141">
        <v>6</v>
      </c>
      <c r="X28" s="141">
        <v>6</v>
      </c>
      <c r="Y28" s="141">
        <v>0</v>
      </c>
      <c r="Z28" s="141">
        <v>6</v>
      </c>
      <c r="AA28" s="141">
        <v>6</v>
      </c>
      <c r="AB28" s="89" t="s">
        <v>2383</v>
      </c>
      <c r="AC28" s="43" t="s">
        <v>316</v>
      </c>
      <c r="AD28" s="125">
        <v>43809</v>
      </c>
      <c r="AE28" s="125">
        <v>43907</v>
      </c>
      <c r="AF28" s="43" t="s">
        <v>317</v>
      </c>
      <c r="AJ28" s="43" t="s">
        <v>75</v>
      </c>
      <c r="AK28" s="43" t="s">
        <v>322</v>
      </c>
      <c r="AP28" s="43">
        <v>6</v>
      </c>
      <c r="AS28" s="90">
        <f t="shared" si="3"/>
        <v>1.5</v>
      </c>
      <c r="AT28" s="90">
        <f t="shared" si="3"/>
        <v>1.5</v>
      </c>
      <c r="AU28" s="90">
        <f t="shared" si="3"/>
        <v>1.5</v>
      </c>
      <c r="AV28" s="90">
        <f t="shared" si="3"/>
        <v>1.5</v>
      </c>
      <c r="BK28" s="90">
        <f t="shared" si="1"/>
        <v>6</v>
      </c>
      <c r="BL28" s="90">
        <f t="shared" si="2"/>
        <v>6</v>
      </c>
    </row>
    <row r="29" spans="1:64">
      <c r="A29" s="43">
        <v>7034</v>
      </c>
      <c r="B29" s="89" t="s">
        <v>1515</v>
      </c>
      <c r="C29" s="43" t="s">
        <v>2467</v>
      </c>
      <c r="D29" s="89" t="s">
        <v>2468</v>
      </c>
      <c r="E29" s="43">
        <v>527877</v>
      </c>
      <c r="F29" s="43">
        <v>175239</v>
      </c>
      <c r="G29" s="89" t="s">
        <v>175</v>
      </c>
      <c r="J29" s="141">
        <v>0</v>
      </c>
      <c r="K29" s="141">
        <v>0</v>
      </c>
      <c r="L29" s="141">
        <v>0</v>
      </c>
      <c r="M29" s="141">
        <v>0</v>
      </c>
      <c r="N29" s="141">
        <v>0</v>
      </c>
      <c r="O29" s="141">
        <v>0</v>
      </c>
      <c r="P29" s="141">
        <v>0</v>
      </c>
      <c r="Q29" s="141">
        <v>0</v>
      </c>
      <c r="R29" s="141">
        <v>0</v>
      </c>
      <c r="S29" s="141">
        <v>0</v>
      </c>
      <c r="T29" s="141">
        <v>0</v>
      </c>
      <c r="U29" s="141">
        <v>0</v>
      </c>
      <c r="V29" s="141">
        <v>0</v>
      </c>
      <c r="W29" s="141">
        <v>6</v>
      </c>
      <c r="X29" s="141">
        <v>6</v>
      </c>
      <c r="Y29" s="141">
        <v>0</v>
      </c>
      <c r="Z29" s="141">
        <v>6</v>
      </c>
      <c r="AA29" s="141">
        <v>6</v>
      </c>
      <c r="AB29" s="89" t="s">
        <v>2469</v>
      </c>
      <c r="AC29" s="43" t="s">
        <v>316</v>
      </c>
      <c r="AD29" s="125">
        <v>43396</v>
      </c>
      <c r="AE29" s="125">
        <v>43452</v>
      </c>
      <c r="AF29" s="43" t="s">
        <v>317</v>
      </c>
      <c r="AJ29" s="43" t="s">
        <v>75</v>
      </c>
      <c r="AK29" s="43" t="s">
        <v>322</v>
      </c>
      <c r="AP29" s="43">
        <v>6</v>
      </c>
      <c r="AS29" s="90">
        <f t="shared" si="3"/>
        <v>1.5</v>
      </c>
      <c r="AT29" s="90">
        <f t="shared" si="3"/>
        <v>1.5</v>
      </c>
      <c r="AU29" s="90">
        <f t="shared" si="3"/>
        <v>1.5</v>
      </c>
      <c r="AV29" s="90">
        <f t="shared" si="3"/>
        <v>1.5</v>
      </c>
      <c r="BK29" s="90">
        <f t="shared" si="1"/>
        <v>6</v>
      </c>
      <c r="BL29" s="90">
        <f t="shared" si="2"/>
        <v>6</v>
      </c>
    </row>
    <row r="30" spans="1:64">
      <c r="A30" s="43">
        <v>7177</v>
      </c>
      <c r="B30" s="89" t="s">
        <v>1515</v>
      </c>
      <c r="C30" s="43" t="s">
        <v>3093</v>
      </c>
      <c r="D30" s="89" t="s">
        <v>3094</v>
      </c>
      <c r="E30" s="43">
        <v>526531</v>
      </c>
      <c r="F30" s="43">
        <v>175045</v>
      </c>
      <c r="G30" s="89" t="s">
        <v>170</v>
      </c>
      <c r="J30" s="141">
        <v>23</v>
      </c>
      <c r="K30" s="141">
        <v>25</v>
      </c>
      <c r="L30" s="141">
        <v>2</v>
      </c>
      <c r="M30" s="141">
        <v>0</v>
      </c>
      <c r="N30" s="141">
        <v>0</v>
      </c>
      <c r="O30" s="141">
        <v>0</v>
      </c>
      <c r="P30" s="141">
        <v>0</v>
      </c>
      <c r="Q30" s="141">
        <v>0</v>
      </c>
      <c r="R30" s="141">
        <v>0</v>
      </c>
      <c r="S30" s="141">
        <v>0</v>
      </c>
      <c r="T30" s="141">
        <v>0</v>
      </c>
      <c r="U30" s="141">
        <v>0</v>
      </c>
      <c r="V30" s="141">
        <v>0</v>
      </c>
      <c r="W30" s="141">
        <v>0</v>
      </c>
      <c r="X30" s="141">
        <v>0</v>
      </c>
      <c r="Y30" s="141">
        <v>23</v>
      </c>
      <c r="Z30" s="141">
        <v>25</v>
      </c>
      <c r="AA30" s="141">
        <v>2</v>
      </c>
      <c r="AB30" s="89" t="s">
        <v>3095</v>
      </c>
      <c r="AC30" s="43" t="s">
        <v>316</v>
      </c>
      <c r="AD30" s="125">
        <v>43605</v>
      </c>
      <c r="AE30" s="125">
        <v>43705</v>
      </c>
      <c r="AF30" s="43" t="s">
        <v>317</v>
      </c>
      <c r="AJ30" s="43" t="s">
        <v>77</v>
      </c>
      <c r="AK30" s="43" t="s">
        <v>3071</v>
      </c>
      <c r="AN30" s="43" t="s">
        <v>329</v>
      </c>
      <c r="AO30" s="43" t="s">
        <v>3072</v>
      </c>
      <c r="AP30" s="43">
        <v>6</v>
      </c>
      <c r="AS30" s="90">
        <f t="shared" si="3"/>
        <v>0.5</v>
      </c>
      <c r="AT30" s="90">
        <f t="shared" si="3"/>
        <v>0.5</v>
      </c>
      <c r="AU30" s="90">
        <f t="shared" si="3"/>
        <v>0.5</v>
      </c>
      <c r="AV30" s="90">
        <f t="shared" si="3"/>
        <v>0.5</v>
      </c>
      <c r="BK30" s="90">
        <f t="shared" si="1"/>
        <v>2</v>
      </c>
      <c r="BL30" s="90">
        <f t="shared" si="2"/>
        <v>2</v>
      </c>
    </row>
    <row r="31" spans="1:64">
      <c r="A31" s="43">
        <v>7235</v>
      </c>
      <c r="B31" s="89" t="s">
        <v>1515</v>
      </c>
      <c r="C31" s="43" t="s">
        <v>2632</v>
      </c>
      <c r="D31" s="89" t="s">
        <v>2633</v>
      </c>
      <c r="E31" s="43">
        <v>524049</v>
      </c>
      <c r="F31" s="43">
        <v>175301</v>
      </c>
      <c r="G31" s="89" t="s">
        <v>178</v>
      </c>
      <c r="J31" s="141">
        <v>0</v>
      </c>
      <c r="K31" s="141">
        <v>0</v>
      </c>
      <c r="L31" s="141">
        <v>0</v>
      </c>
      <c r="M31" s="141">
        <v>0</v>
      </c>
      <c r="N31" s="141">
        <v>0</v>
      </c>
      <c r="O31" s="141">
        <v>0</v>
      </c>
      <c r="P31" s="141">
        <v>0</v>
      </c>
      <c r="Q31" s="141">
        <v>0</v>
      </c>
      <c r="R31" s="141">
        <v>0</v>
      </c>
      <c r="S31" s="141">
        <v>0</v>
      </c>
      <c r="T31" s="141">
        <v>0</v>
      </c>
      <c r="U31" s="141">
        <v>0</v>
      </c>
      <c r="V31" s="141">
        <v>0</v>
      </c>
      <c r="W31" s="141">
        <v>16</v>
      </c>
      <c r="X31" s="141">
        <v>16</v>
      </c>
      <c r="Y31" s="141">
        <v>0</v>
      </c>
      <c r="Z31" s="141">
        <v>16</v>
      </c>
      <c r="AA31" s="141">
        <v>16</v>
      </c>
      <c r="AB31" s="89" t="s">
        <v>2634</v>
      </c>
      <c r="AC31" s="43" t="s">
        <v>316</v>
      </c>
      <c r="AD31" s="125">
        <v>43698</v>
      </c>
      <c r="AE31" s="125">
        <v>43754</v>
      </c>
      <c r="AF31" s="43" t="s">
        <v>317</v>
      </c>
      <c r="AJ31" s="43" t="s">
        <v>75</v>
      </c>
      <c r="AK31" s="43" t="s">
        <v>322</v>
      </c>
      <c r="AP31" s="43">
        <v>6</v>
      </c>
      <c r="AS31" s="90">
        <f t="shared" si="3"/>
        <v>4</v>
      </c>
      <c r="AT31" s="90">
        <f t="shared" si="3"/>
        <v>4</v>
      </c>
      <c r="AU31" s="90">
        <f t="shared" si="3"/>
        <v>4</v>
      </c>
      <c r="AV31" s="90">
        <f t="shared" si="3"/>
        <v>4</v>
      </c>
      <c r="BK31" s="90">
        <f t="shared" si="1"/>
        <v>16</v>
      </c>
      <c r="BL31" s="90">
        <f t="shared" si="2"/>
        <v>16</v>
      </c>
    </row>
    <row r="32" spans="1:64">
      <c r="A32" s="43">
        <v>7317</v>
      </c>
      <c r="B32" s="89" t="s">
        <v>1515</v>
      </c>
      <c r="C32" s="43" t="s">
        <v>3096</v>
      </c>
      <c r="D32" s="89" t="s">
        <v>3097</v>
      </c>
      <c r="E32" s="43">
        <v>527570</v>
      </c>
      <c r="F32" s="43">
        <v>171707</v>
      </c>
      <c r="G32" s="89" t="s">
        <v>141</v>
      </c>
      <c r="J32" s="141">
        <v>0</v>
      </c>
      <c r="K32" s="141">
        <v>0</v>
      </c>
      <c r="L32" s="141">
        <v>0</v>
      </c>
      <c r="M32" s="141">
        <v>0</v>
      </c>
      <c r="N32" s="141">
        <v>0</v>
      </c>
      <c r="O32" s="141">
        <v>0</v>
      </c>
      <c r="P32" s="141">
        <v>0</v>
      </c>
      <c r="Q32" s="141">
        <v>0</v>
      </c>
      <c r="R32" s="141">
        <v>0</v>
      </c>
      <c r="S32" s="141">
        <v>0</v>
      </c>
      <c r="T32" s="141">
        <v>0</v>
      </c>
      <c r="U32" s="141">
        <v>0</v>
      </c>
      <c r="V32" s="141">
        <v>6</v>
      </c>
      <c r="W32" s="141">
        <v>18</v>
      </c>
      <c r="X32" s="141">
        <v>12</v>
      </c>
      <c r="Y32" s="141">
        <v>6</v>
      </c>
      <c r="Z32" s="141">
        <v>18</v>
      </c>
      <c r="AA32" s="141">
        <v>12</v>
      </c>
      <c r="AB32" s="89" t="s">
        <v>3098</v>
      </c>
      <c r="AC32" s="43" t="s">
        <v>316</v>
      </c>
      <c r="AD32" s="125">
        <v>43804</v>
      </c>
      <c r="AE32" s="125">
        <v>43879</v>
      </c>
      <c r="AF32" s="43" t="s">
        <v>317</v>
      </c>
      <c r="AJ32" s="43" t="s">
        <v>75</v>
      </c>
      <c r="AK32" s="43" t="s">
        <v>322</v>
      </c>
      <c r="AP32" s="43">
        <v>6</v>
      </c>
      <c r="AS32" s="90">
        <f t="shared" si="3"/>
        <v>3</v>
      </c>
      <c r="AT32" s="90">
        <f t="shared" si="3"/>
        <v>3</v>
      </c>
      <c r="AU32" s="90">
        <f t="shared" si="3"/>
        <v>3</v>
      </c>
      <c r="AV32" s="90">
        <f t="shared" si="3"/>
        <v>3</v>
      </c>
      <c r="BK32" s="90">
        <f t="shared" si="1"/>
        <v>12</v>
      </c>
      <c r="BL32" s="90">
        <f t="shared" si="2"/>
        <v>12</v>
      </c>
    </row>
    <row r="33" spans="1:64">
      <c r="A33" s="43">
        <v>6657</v>
      </c>
      <c r="B33" s="89" t="s">
        <v>2726</v>
      </c>
      <c r="C33" s="43" t="s">
        <v>2731</v>
      </c>
      <c r="D33" s="89" t="s">
        <v>2732</v>
      </c>
      <c r="E33" s="43">
        <v>525999</v>
      </c>
      <c r="F33" s="43">
        <v>173647</v>
      </c>
      <c r="G33" s="89" t="s">
        <v>168</v>
      </c>
      <c r="J33" s="141">
        <v>0</v>
      </c>
      <c r="K33" s="141">
        <v>0</v>
      </c>
      <c r="L33" s="141">
        <v>0</v>
      </c>
      <c r="M33" s="141">
        <v>37</v>
      </c>
      <c r="N33" s="141">
        <v>0</v>
      </c>
      <c r="O33" s="141">
        <v>-37</v>
      </c>
      <c r="P33" s="141">
        <v>0</v>
      </c>
      <c r="Q33" s="141">
        <v>0</v>
      </c>
      <c r="R33" s="141">
        <v>0</v>
      </c>
      <c r="S33" s="141">
        <v>0</v>
      </c>
      <c r="T33" s="141">
        <v>0</v>
      </c>
      <c r="U33" s="141">
        <v>0</v>
      </c>
      <c r="V33" s="141">
        <v>0</v>
      </c>
      <c r="W33" s="141">
        <v>0</v>
      </c>
      <c r="X33" s="141">
        <v>0</v>
      </c>
      <c r="Y33" s="141">
        <v>37</v>
      </c>
      <c r="Z33" s="141">
        <v>0</v>
      </c>
      <c r="AA33" s="141">
        <v>-37</v>
      </c>
      <c r="AB33" s="89" t="s">
        <v>2734</v>
      </c>
      <c r="AC33" s="43" t="s">
        <v>2730</v>
      </c>
      <c r="AD33" s="125">
        <v>42943</v>
      </c>
      <c r="AF33" s="43" t="s">
        <v>317</v>
      </c>
      <c r="AJ33" s="43" t="s">
        <v>77</v>
      </c>
      <c r="AK33" s="43" t="s">
        <v>3071</v>
      </c>
      <c r="AP33" s="43">
        <v>6</v>
      </c>
      <c r="AS33" s="90">
        <f t="shared" si="3"/>
        <v>-9.25</v>
      </c>
      <c r="AT33" s="90">
        <f t="shared" si="3"/>
        <v>-9.25</v>
      </c>
      <c r="AU33" s="90">
        <f t="shared" si="3"/>
        <v>-9.25</v>
      </c>
      <c r="AV33" s="90">
        <f t="shared" si="3"/>
        <v>-9.25</v>
      </c>
      <c r="BK33" s="90">
        <f t="shared" si="1"/>
        <v>-37</v>
      </c>
      <c r="BL33" s="90">
        <f t="shared" si="2"/>
        <v>-37</v>
      </c>
    </row>
    <row r="34" spans="1:64">
      <c r="A34" s="43">
        <v>3123</v>
      </c>
      <c r="B34" s="89" t="s">
        <v>2753</v>
      </c>
      <c r="C34" s="43" t="s">
        <v>2779</v>
      </c>
      <c r="D34" s="89" t="s">
        <v>2780</v>
      </c>
      <c r="E34" s="43">
        <v>521692</v>
      </c>
      <c r="F34" s="43">
        <v>172512</v>
      </c>
      <c r="G34" s="89" t="s">
        <v>149</v>
      </c>
      <c r="J34" s="141">
        <v>0</v>
      </c>
      <c r="K34" s="141">
        <v>0</v>
      </c>
      <c r="L34" s="141">
        <v>0</v>
      </c>
      <c r="M34" s="141">
        <v>0</v>
      </c>
      <c r="N34" s="141">
        <v>0</v>
      </c>
      <c r="O34" s="141">
        <v>0</v>
      </c>
      <c r="P34" s="141">
        <v>0</v>
      </c>
      <c r="Q34" s="141">
        <v>0</v>
      </c>
      <c r="R34" s="141">
        <v>0</v>
      </c>
      <c r="S34" s="141">
        <v>0</v>
      </c>
      <c r="T34" s="141">
        <v>0</v>
      </c>
      <c r="U34" s="141">
        <v>0</v>
      </c>
      <c r="V34" s="141">
        <v>0</v>
      </c>
      <c r="W34" s="141">
        <v>7</v>
      </c>
      <c r="X34" s="141">
        <v>7</v>
      </c>
      <c r="Y34" s="141">
        <v>0</v>
      </c>
      <c r="Z34" s="141">
        <v>7</v>
      </c>
      <c r="AA34" s="141">
        <v>7</v>
      </c>
      <c r="AB34" s="89" t="s">
        <v>2781</v>
      </c>
      <c r="AC34" s="43" t="s">
        <v>2725</v>
      </c>
      <c r="AD34" s="125">
        <v>43893</v>
      </c>
      <c r="AF34" s="43" t="s">
        <v>317</v>
      </c>
      <c r="AJ34" s="43" t="s">
        <v>75</v>
      </c>
      <c r="AK34" s="43" t="s">
        <v>322</v>
      </c>
      <c r="AP34" s="43">
        <v>10</v>
      </c>
      <c r="AW34" s="90">
        <f t="shared" ref="AW34:AZ38" si="4">$AA34/4</f>
        <v>1.75</v>
      </c>
      <c r="AX34" s="90">
        <f t="shared" si="4"/>
        <v>1.75</v>
      </c>
      <c r="AY34" s="90">
        <f t="shared" si="4"/>
        <v>1.75</v>
      </c>
      <c r="AZ34" s="90">
        <f t="shared" si="4"/>
        <v>1.75</v>
      </c>
      <c r="BK34" s="90">
        <f t="shared" si="1"/>
        <v>0</v>
      </c>
      <c r="BL34" s="90">
        <f t="shared" si="2"/>
        <v>7</v>
      </c>
    </row>
    <row r="35" spans="1:64">
      <c r="A35" s="43">
        <v>6497</v>
      </c>
      <c r="B35" s="89" t="s">
        <v>2753</v>
      </c>
      <c r="C35" s="43" t="s">
        <v>3099</v>
      </c>
      <c r="D35" s="89" t="s">
        <v>2155</v>
      </c>
      <c r="E35" s="43">
        <v>527487</v>
      </c>
      <c r="F35" s="43">
        <v>175150</v>
      </c>
      <c r="G35" s="89" t="s">
        <v>174</v>
      </c>
      <c r="J35" s="141">
        <v>0</v>
      </c>
      <c r="K35" s="141">
        <v>0</v>
      </c>
      <c r="L35" s="141">
        <v>0</v>
      </c>
      <c r="M35" s="141">
        <v>0</v>
      </c>
      <c r="N35" s="141">
        <v>0</v>
      </c>
      <c r="O35" s="141">
        <v>0</v>
      </c>
      <c r="P35" s="141">
        <v>0</v>
      </c>
      <c r="Q35" s="141">
        <v>0</v>
      </c>
      <c r="R35" s="141">
        <v>0</v>
      </c>
      <c r="S35" s="141">
        <v>0</v>
      </c>
      <c r="T35" s="141">
        <v>0</v>
      </c>
      <c r="U35" s="141">
        <v>0</v>
      </c>
      <c r="V35" s="141">
        <v>0</v>
      </c>
      <c r="W35" s="141">
        <v>14</v>
      </c>
      <c r="X35" s="141">
        <v>14</v>
      </c>
      <c r="Y35" s="141">
        <v>0</v>
      </c>
      <c r="Z35" s="141">
        <v>14</v>
      </c>
      <c r="AA35" s="141">
        <v>14</v>
      </c>
      <c r="AB35" s="89" t="s">
        <v>3100</v>
      </c>
      <c r="AC35" s="43" t="s">
        <v>2725</v>
      </c>
      <c r="AD35" s="125">
        <v>43853</v>
      </c>
      <c r="AF35" s="43" t="s">
        <v>317</v>
      </c>
      <c r="AJ35" s="43" t="s">
        <v>75</v>
      </c>
      <c r="AK35" s="43" t="s">
        <v>322</v>
      </c>
      <c r="AP35" s="43">
        <v>10</v>
      </c>
      <c r="AW35" s="90">
        <f t="shared" si="4"/>
        <v>3.5</v>
      </c>
      <c r="AX35" s="90">
        <f t="shared" si="4"/>
        <v>3.5</v>
      </c>
      <c r="AY35" s="90">
        <f t="shared" si="4"/>
        <v>3.5</v>
      </c>
      <c r="AZ35" s="90">
        <f t="shared" si="4"/>
        <v>3.5</v>
      </c>
      <c r="BK35" s="90">
        <f t="shared" si="1"/>
        <v>0</v>
      </c>
      <c r="BL35" s="90">
        <f t="shared" si="2"/>
        <v>14</v>
      </c>
    </row>
    <row r="36" spans="1:64">
      <c r="A36" s="43">
        <v>6657</v>
      </c>
      <c r="B36" s="89" t="s">
        <v>2753</v>
      </c>
      <c r="C36" s="43" t="s">
        <v>2731</v>
      </c>
      <c r="D36" s="89" t="s">
        <v>2732</v>
      </c>
      <c r="E36" s="43">
        <v>525999</v>
      </c>
      <c r="F36" s="43">
        <v>173647</v>
      </c>
      <c r="G36" s="89" t="s">
        <v>168</v>
      </c>
      <c r="J36" s="141">
        <v>0</v>
      </c>
      <c r="K36" s="141">
        <v>0</v>
      </c>
      <c r="L36" s="141">
        <v>0</v>
      </c>
      <c r="M36" s="141">
        <v>37</v>
      </c>
      <c r="N36" s="141">
        <v>0</v>
      </c>
      <c r="O36" s="141">
        <v>-37</v>
      </c>
      <c r="P36" s="141">
        <v>0</v>
      </c>
      <c r="Q36" s="141">
        <v>0</v>
      </c>
      <c r="R36" s="141">
        <v>0</v>
      </c>
      <c r="S36" s="141">
        <v>0</v>
      </c>
      <c r="T36" s="141">
        <v>0</v>
      </c>
      <c r="U36" s="141">
        <v>0</v>
      </c>
      <c r="V36" s="141">
        <v>0</v>
      </c>
      <c r="W36" s="141">
        <v>0</v>
      </c>
      <c r="X36" s="141">
        <v>0</v>
      </c>
      <c r="Y36" s="141">
        <v>37</v>
      </c>
      <c r="Z36" s="141">
        <v>0</v>
      </c>
      <c r="AA36" s="141">
        <v>-37</v>
      </c>
      <c r="AB36" s="89" t="s">
        <v>2734</v>
      </c>
      <c r="AC36" s="43" t="s">
        <v>2730</v>
      </c>
      <c r="AD36" s="125">
        <v>42943</v>
      </c>
      <c r="AF36" s="43" t="s">
        <v>317</v>
      </c>
      <c r="AJ36" s="43" t="s">
        <v>77</v>
      </c>
      <c r="AK36" s="43" t="s">
        <v>3071</v>
      </c>
      <c r="AP36" s="43">
        <v>10</v>
      </c>
      <c r="AW36" s="90">
        <f t="shared" si="4"/>
        <v>-9.25</v>
      </c>
      <c r="AX36" s="90">
        <f t="shared" si="4"/>
        <v>-9.25</v>
      </c>
      <c r="AY36" s="90">
        <f t="shared" si="4"/>
        <v>-9.25</v>
      </c>
      <c r="AZ36" s="90">
        <f t="shared" si="4"/>
        <v>-9.25</v>
      </c>
      <c r="BK36" s="90">
        <f t="shared" si="1"/>
        <v>0</v>
      </c>
      <c r="BL36" s="90">
        <f t="shared" si="2"/>
        <v>-37</v>
      </c>
    </row>
    <row r="37" spans="1:64">
      <c r="A37" s="43">
        <v>6806</v>
      </c>
      <c r="B37" s="89" t="s">
        <v>2753</v>
      </c>
      <c r="C37" s="43" t="s">
        <v>3101</v>
      </c>
      <c r="D37" s="89" t="s">
        <v>2332</v>
      </c>
      <c r="E37" s="43">
        <v>527133</v>
      </c>
      <c r="F37" s="43">
        <v>171843</v>
      </c>
      <c r="G37" s="89" t="s">
        <v>141</v>
      </c>
      <c r="J37" s="141">
        <v>0</v>
      </c>
      <c r="K37" s="141">
        <v>0</v>
      </c>
      <c r="L37" s="141">
        <v>0</v>
      </c>
      <c r="M37" s="141">
        <v>0</v>
      </c>
      <c r="N37" s="141">
        <v>0</v>
      </c>
      <c r="O37" s="141">
        <v>0</v>
      </c>
      <c r="P37" s="141">
        <v>0</v>
      </c>
      <c r="Q37" s="141">
        <v>0</v>
      </c>
      <c r="R37" s="141">
        <v>0</v>
      </c>
      <c r="S37" s="141">
        <v>0</v>
      </c>
      <c r="T37" s="141">
        <v>0</v>
      </c>
      <c r="U37" s="141">
        <v>0</v>
      </c>
      <c r="V37" s="141">
        <v>0</v>
      </c>
      <c r="W37" s="141">
        <v>8</v>
      </c>
      <c r="X37" s="141">
        <v>8</v>
      </c>
      <c r="Y37" s="141">
        <v>0</v>
      </c>
      <c r="Z37" s="141">
        <v>8</v>
      </c>
      <c r="AA37" s="141">
        <v>8</v>
      </c>
      <c r="AB37" s="89" t="s">
        <v>3102</v>
      </c>
      <c r="AC37" s="43" t="s">
        <v>2725</v>
      </c>
      <c r="AD37" s="125">
        <v>43882</v>
      </c>
      <c r="AF37" s="43" t="s">
        <v>317</v>
      </c>
      <c r="AJ37" s="43" t="s">
        <v>75</v>
      </c>
      <c r="AK37" s="43" t="s">
        <v>322</v>
      </c>
      <c r="AP37" s="43">
        <v>10</v>
      </c>
      <c r="AW37" s="90">
        <f t="shared" si="4"/>
        <v>2</v>
      </c>
      <c r="AX37" s="90">
        <f t="shared" si="4"/>
        <v>2</v>
      </c>
      <c r="AY37" s="90">
        <f t="shared" si="4"/>
        <v>2</v>
      </c>
      <c r="AZ37" s="90">
        <f t="shared" si="4"/>
        <v>2</v>
      </c>
      <c r="BK37" s="90">
        <f t="shared" si="1"/>
        <v>0</v>
      </c>
      <c r="BL37" s="90">
        <f t="shared" si="2"/>
        <v>8</v>
      </c>
    </row>
    <row r="38" spans="1:64">
      <c r="A38" s="43">
        <v>7348</v>
      </c>
      <c r="B38" s="89" t="s">
        <v>2753</v>
      </c>
      <c r="C38" s="43" t="s">
        <v>3103</v>
      </c>
      <c r="D38" s="89" t="s">
        <v>3104</v>
      </c>
      <c r="E38" s="43">
        <v>527583</v>
      </c>
      <c r="F38" s="43">
        <v>174336</v>
      </c>
      <c r="G38" s="89" t="s">
        <v>174</v>
      </c>
      <c r="J38" s="141">
        <v>0</v>
      </c>
      <c r="K38" s="141">
        <v>0</v>
      </c>
      <c r="L38" s="141">
        <v>0</v>
      </c>
      <c r="M38" s="141">
        <v>0</v>
      </c>
      <c r="N38" s="141">
        <v>0</v>
      </c>
      <c r="O38" s="141">
        <v>0</v>
      </c>
      <c r="P38" s="141">
        <v>0</v>
      </c>
      <c r="Q38" s="141">
        <v>0</v>
      </c>
      <c r="R38" s="141">
        <v>0</v>
      </c>
      <c r="S38" s="141">
        <v>0</v>
      </c>
      <c r="T38" s="141">
        <v>0</v>
      </c>
      <c r="U38" s="141">
        <v>0</v>
      </c>
      <c r="V38" s="141">
        <v>7</v>
      </c>
      <c r="W38" s="141">
        <v>8</v>
      </c>
      <c r="X38" s="141">
        <v>1</v>
      </c>
      <c r="Y38" s="141">
        <v>7</v>
      </c>
      <c r="Z38" s="141">
        <v>8</v>
      </c>
      <c r="AA38" s="141">
        <v>1</v>
      </c>
      <c r="AB38" s="89" t="s">
        <v>3105</v>
      </c>
      <c r="AC38" s="43" t="s">
        <v>2725</v>
      </c>
      <c r="AD38" s="125">
        <v>43879</v>
      </c>
      <c r="AF38" s="43" t="s">
        <v>317</v>
      </c>
      <c r="AJ38" s="43" t="s">
        <v>75</v>
      </c>
      <c r="AK38" s="43" t="s">
        <v>322</v>
      </c>
      <c r="AP38" s="43">
        <v>10</v>
      </c>
      <c r="AW38" s="90">
        <f t="shared" si="4"/>
        <v>0.25</v>
      </c>
      <c r="AX38" s="90">
        <f t="shared" si="4"/>
        <v>0.25</v>
      </c>
      <c r="AY38" s="90">
        <f t="shared" si="4"/>
        <v>0.25</v>
      </c>
      <c r="AZ38" s="90">
        <f t="shared" si="4"/>
        <v>0.25</v>
      </c>
      <c r="BK38" s="90">
        <f t="shared" si="1"/>
        <v>0</v>
      </c>
      <c r="BL38" s="90">
        <f t="shared" si="2"/>
        <v>1</v>
      </c>
    </row>
  </sheetData>
  <autoFilter ref="A1:BL38" xr:uid="{00000000-0009-0000-0000-000005000000}"/>
  <printOptions horizontalCentered="1"/>
  <pageMargins left="0.39370078740157483" right="0.39370078740157483" top="0.39370078740157483" bottom="0.39370078740157483" header="0.19685039370078741" footer="0.19685039370078741"/>
  <pageSetup paperSize="9" scale="21" fitToHeight="0" orientation="landscape" r:id="rId1"/>
  <headerFooter alignWithMargins="0">
    <oddFooter>&amp;C&amp;8&amp;P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0089A-7AE0-41A6-8BAB-6E97ABFA7DFD}">
  <sheetPr>
    <pageSetUpPr autoPageBreaks="0" fitToPage="1"/>
  </sheetPr>
  <dimension ref="A1:C45"/>
  <sheetViews>
    <sheetView workbookViewId="0">
      <selection activeCell="B2" sqref="B2"/>
    </sheetView>
  </sheetViews>
  <sheetFormatPr defaultRowHeight="12.75"/>
  <cols>
    <col min="1" max="1" width="3" style="146" bestFit="1" customWidth="1"/>
    <col min="2" max="2" width="29.42578125" style="151" customWidth="1"/>
    <col min="3" max="3" width="69.85546875" style="151" customWidth="1"/>
    <col min="4" max="16384" width="9.140625" style="151"/>
  </cols>
  <sheetData>
    <row r="1" spans="1:3" s="146" customFormat="1" ht="15.75">
      <c r="A1" s="260" t="s">
        <v>3106</v>
      </c>
      <c r="B1" s="260"/>
      <c r="C1" s="260"/>
    </row>
    <row r="2" spans="1:3" s="149" customFormat="1" ht="12">
      <c r="A2" s="147"/>
      <c r="B2" s="148"/>
      <c r="C2" s="148"/>
    </row>
    <row r="3" spans="1:3" s="149" customFormat="1">
      <c r="A3" s="261" t="s">
        <v>3107</v>
      </c>
      <c r="B3" s="261"/>
      <c r="C3" s="261"/>
    </row>
    <row r="4" spans="1:3" s="149" customFormat="1" ht="12">
      <c r="A4" s="147"/>
      <c r="B4" s="148"/>
      <c r="C4" s="148"/>
    </row>
    <row r="5" spans="1:3">
      <c r="A5" s="247" t="s">
        <v>3108</v>
      </c>
      <c r="B5" s="248"/>
      <c r="C5" s="150" t="s">
        <v>304</v>
      </c>
    </row>
    <row r="6" spans="1:3" ht="24">
      <c r="A6" s="152">
        <v>1</v>
      </c>
      <c r="B6" s="153" t="s">
        <v>3109</v>
      </c>
      <c r="C6" s="153" t="s">
        <v>3110</v>
      </c>
    </row>
    <row r="7" spans="1:3" ht="24">
      <c r="A7" s="152">
        <v>2</v>
      </c>
      <c r="B7" s="251" t="s">
        <v>3111</v>
      </c>
      <c r="C7" s="153" t="s">
        <v>3112</v>
      </c>
    </row>
    <row r="8" spans="1:3" ht="24">
      <c r="A8" s="152">
        <v>3</v>
      </c>
      <c r="B8" s="252"/>
      <c r="C8" s="153" t="s">
        <v>3113</v>
      </c>
    </row>
    <row r="9" spans="1:3">
      <c r="A9" s="152">
        <v>4</v>
      </c>
      <c r="B9" s="257" t="s">
        <v>3114</v>
      </c>
      <c r="C9" s="153" t="s">
        <v>3115</v>
      </c>
    </row>
    <row r="10" spans="1:3" ht="36">
      <c r="A10" s="154">
        <v>5</v>
      </c>
      <c r="B10" s="259"/>
      <c r="C10" s="153" t="s">
        <v>3116</v>
      </c>
    </row>
    <row r="11" spans="1:3" ht="72">
      <c r="A11" s="152">
        <v>6</v>
      </c>
      <c r="B11" s="153" t="s">
        <v>3117</v>
      </c>
      <c r="C11" s="153" t="s">
        <v>3118</v>
      </c>
    </row>
    <row r="12" spans="1:3">
      <c r="A12" s="152">
        <v>7</v>
      </c>
      <c r="B12" s="257" t="s">
        <v>3119</v>
      </c>
      <c r="C12" s="153" t="s">
        <v>3115</v>
      </c>
    </row>
    <row r="13" spans="1:3" ht="48">
      <c r="A13" s="152">
        <v>8</v>
      </c>
      <c r="B13" s="258"/>
      <c r="C13" s="153" t="s">
        <v>3120</v>
      </c>
    </row>
    <row r="14" spans="1:3" ht="36">
      <c r="A14" s="152">
        <v>9</v>
      </c>
      <c r="B14" s="259"/>
      <c r="C14" s="153" t="s">
        <v>3121</v>
      </c>
    </row>
    <row r="15" spans="1:3" ht="48">
      <c r="A15" s="152">
        <v>10</v>
      </c>
      <c r="B15" s="153" t="s">
        <v>3122</v>
      </c>
      <c r="C15" s="153" t="s">
        <v>3123</v>
      </c>
    </row>
    <row r="16" spans="1:3" ht="48">
      <c r="A16" s="152">
        <v>11</v>
      </c>
      <c r="B16" s="153" t="s">
        <v>3124</v>
      </c>
      <c r="C16" s="153" t="s">
        <v>3125</v>
      </c>
    </row>
    <row r="17" spans="1:3">
      <c r="A17" s="155"/>
      <c r="B17" s="156"/>
      <c r="C17" s="156"/>
    </row>
    <row r="18" spans="1:3">
      <c r="A18" s="250" t="s">
        <v>3126</v>
      </c>
      <c r="B18" s="250"/>
      <c r="C18" s="250"/>
    </row>
    <row r="19" spans="1:3">
      <c r="A19" s="157"/>
      <c r="B19" s="158"/>
      <c r="C19" s="158"/>
    </row>
    <row r="20" spans="1:3">
      <c r="A20" s="247" t="s">
        <v>3108</v>
      </c>
      <c r="B20" s="248"/>
      <c r="C20" s="150" t="s">
        <v>304</v>
      </c>
    </row>
    <row r="21" spans="1:3" ht="36">
      <c r="A21" s="152">
        <v>12</v>
      </c>
      <c r="B21" s="153" t="s">
        <v>3127</v>
      </c>
      <c r="C21" s="153" t="s">
        <v>3110</v>
      </c>
    </row>
    <row r="22" spans="1:3" ht="24">
      <c r="A22" s="152">
        <v>13</v>
      </c>
      <c r="B22" s="251" t="s">
        <v>3128</v>
      </c>
      <c r="C22" s="153" t="s">
        <v>3129</v>
      </c>
    </row>
    <row r="23" spans="1:3" ht="24">
      <c r="A23" s="152">
        <v>14</v>
      </c>
      <c r="B23" s="252"/>
      <c r="C23" s="153" t="s">
        <v>3130</v>
      </c>
    </row>
    <row r="24" spans="1:3" ht="84">
      <c r="A24" s="152">
        <v>15</v>
      </c>
      <c r="B24" s="159" t="s">
        <v>3131</v>
      </c>
      <c r="C24" s="160" t="s">
        <v>3132</v>
      </c>
    </row>
    <row r="25" spans="1:3">
      <c r="A25" s="152">
        <v>16</v>
      </c>
      <c r="B25" s="253" t="s">
        <v>3133</v>
      </c>
      <c r="C25" s="160" t="s">
        <v>3134</v>
      </c>
    </row>
    <row r="26" spans="1:3" ht="48">
      <c r="A26" s="152">
        <v>17</v>
      </c>
      <c r="B26" s="254"/>
      <c r="C26" s="160" t="s">
        <v>3135</v>
      </c>
    </row>
    <row r="27" spans="1:3" ht="36">
      <c r="A27" s="152">
        <v>18</v>
      </c>
      <c r="B27" s="255"/>
      <c r="C27" s="160" t="s">
        <v>3136</v>
      </c>
    </row>
    <row r="28" spans="1:3" ht="60">
      <c r="A28" s="152">
        <v>19</v>
      </c>
      <c r="B28" s="159" t="s">
        <v>3137</v>
      </c>
      <c r="C28" s="159" t="s">
        <v>3138</v>
      </c>
    </row>
    <row r="29" spans="1:3">
      <c r="A29" s="161"/>
      <c r="B29" s="162"/>
      <c r="C29" s="162"/>
    </row>
    <row r="30" spans="1:3">
      <c r="A30" s="256" t="s">
        <v>67</v>
      </c>
      <c r="B30" s="256"/>
      <c r="C30" s="256"/>
    </row>
    <row r="31" spans="1:3">
      <c r="A31" s="163"/>
      <c r="B31" s="164"/>
      <c r="C31" s="164"/>
    </row>
    <row r="32" spans="1:3">
      <c r="A32" s="247" t="s">
        <v>3108</v>
      </c>
      <c r="B32" s="248"/>
      <c r="C32" s="150" t="s">
        <v>304</v>
      </c>
    </row>
    <row r="33" spans="1:3" ht="84">
      <c r="A33" s="152">
        <v>20</v>
      </c>
      <c r="B33" s="159" t="s">
        <v>3139</v>
      </c>
      <c r="C33" s="160" t="s">
        <v>3140</v>
      </c>
    </row>
    <row r="34" spans="1:3" ht="60">
      <c r="A34" s="152">
        <v>21</v>
      </c>
      <c r="B34" s="159" t="s">
        <v>3141</v>
      </c>
      <c r="C34" s="159" t="s">
        <v>3142</v>
      </c>
    </row>
    <row r="35" spans="1:3">
      <c r="A35" s="161"/>
      <c r="B35" s="162"/>
      <c r="C35" s="162"/>
    </row>
    <row r="36" spans="1:3">
      <c r="A36" s="246" t="s">
        <v>3143</v>
      </c>
      <c r="B36" s="246"/>
      <c r="C36" s="246"/>
    </row>
    <row r="37" spans="1:3">
      <c r="A37" s="165"/>
      <c r="B37" s="166"/>
      <c r="C37" s="166"/>
    </row>
    <row r="38" spans="1:3">
      <c r="A38" s="247" t="s">
        <v>3108</v>
      </c>
      <c r="B38" s="248"/>
      <c r="C38" s="150" t="s">
        <v>304</v>
      </c>
    </row>
    <row r="39" spans="1:3" ht="84">
      <c r="A39" s="152">
        <v>22</v>
      </c>
      <c r="B39" s="159" t="s">
        <v>3144</v>
      </c>
      <c r="C39" s="159" t="s">
        <v>3145</v>
      </c>
    </row>
    <row r="40" spans="1:3" ht="84">
      <c r="A40" s="152">
        <v>23</v>
      </c>
      <c r="B40" s="159" t="s">
        <v>3146</v>
      </c>
      <c r="C40" s="159" t="s">
        <v>3147</v>
      </c>
    </row>
    <row r="42" spans="1:3">
      <c r="A42" s="249" t="s">
        <v>3148</v>
      </c>
      <c r="B42" s="249"/>
      <c r="C42" s="249"/>
    </row>
    <row r="44" spans="1:3">
      <c r="A44" s="247" t="s">
        <v>3108</v>
      </c>
      <c r="B44" s="248"/>
      <c r="C44" s="150" t="s">
        <v>304</v>
      </c>
    </row>
    <row r="45" spans="1:3">
      <c r="A45" s="152">
        <v>24</v>
      </c>
      <c r="B45" s="159" t="s">
        <v>3149</v>
      </c>
      <c r="C45" s="159" t="s">
        <v>3150</v>
      </c>
    </row>
  </sheetData>
  <mergeCells count="16">
    <mergeCell ref="B12:B14"/>
    <mergeCell ref="A1:C1"/>
    <mergeCell ref="A3:C3"/>
    <mergeCell ref="A5:B5"/>
    <mergeCell ref="B7:B8"/>
    <mergeCell ref="B9:B10"/>
    <mergeCell ref="A36:C36"/>
    <mergeCell ref="A38:B38"/>
    <mergeCell ref="A42:C42"/>
    <mergeCell ref="A44:B44"/>
    <mergeCell ref="A18:C18"/>
    <mergeCell ref="A20:B20"/>
    <mergeCell ref="B22:B23"/>
    <mergeCell ref="B25:B27"/>
    <mergeCell ref="A30:C30"/>
    <mergeCell ref="A32:B32"/>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oddFooter>&amp;C&amp;8&amp;P of &amp;N</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3DCC4-6704-4F25-8BC8-B8D7CA74567C}">
  <sheetPr>
    <pageSetUpPr autoPageBreaks="0" fitToPage="1"/>
  </sheetPr>
  <dimension ref="A1:D13"/>
  <sheetViews>
    <sheetView workbookViewId="0">
      <selection sqref="A1:C1"/>
    </sheetView>
  </sheetViews>
  <sheetFormatPr defaultRowHeight="12.75"/>
  <cols>
    <col min="1" max="1" width="3" style="146" bestFit="1" customWidth="1"/>
    <col min="2" max="2" width="29.42578125" style="151" customWidth="1"/>
    <col min="3" max="3" width="69.85546875" style="151" customWidth="1"/>
    <col min="4" max="16384" width="9.140625" style="151"/>
  </cols>
  <sheetData>
    <row r="1" spans="1:4" s="146" customFormat="1" ht="18" customHeight="1">
      <c r="A1" s="260" t="s">
        <v>3151</v>
      </c>
      <c r="B1" s="260"/>
      <c r="C1" s="260"/>
    </row>
    <row r="2" spans="1:4" s="149" customFormat="1" ht="12">
      <c r="A2" s="147"/>
      <c r="B2" s="148"/>
      <c r="C2" s="148"/>
    </row>
    <row r="3" spans="1:4">
      <c r="A3" s="247" t="s">
        <v>3108</v>
      </c>
      <c r="B3" s="248"/>
      <c r="C3" s="150" t="s">
        <v>3152</v>
      </c>
    </row>
    <row r="4" spans="1:4" ht="24">
      <c r="A4" s="152">
        <v>1</v>
      </c>
      <c r="B4" s="153" t="s">
        <v>3153</v>
      </c>
      <c r="C4" s="153" t="s">
        <v>3110</v>
      </c>
      <c r="D4" s="151" t="s">
        <v>3154</v>
      </c>
    </row>
    <row r="5" spans="1:4" ht="24">
      <c r="A5" s="152">
        <v>2</v>
      </c>
      <c r="B5" s="251" t="s">
        <v>3155</v>
      </c>
      <c r="C5" s="153" t="s">
        <v>3112</v>
      </c>
      <c r="D5" s="151" t="s">
        <v>3154</v>
      </c>
    </row>
    <row r="6" spans="1:4" ht="24">
      <c r="A6" s="152">
        <v>3</v>
      </c>
      <c r="B6" s="252"/>
      <c r="C6" s="153" t="s">
        <v>3156</v>
      </c>
      <c r="D6" s="151" t="s">
        <v>3154</v>
      </c>
    </row>
    <row r="7" spans="1:4">
      <c r="A7" s="152">
        <v>4</v>
      </c>
      <c r="B7" s="257" t="s">
        <v>3157</v>
      </c>
      <c r="C7" s="153" t="s">
        <v>3115</v>
      </c>
      <c r="D7" s="151" t="s">
        <v>3154</v>
      </c>
    </row>
    <row r="8" spans="1:4" ht="36">
      <c r="A8" s="154">
        <v>5</v>
      </c>
      <c r="B8" s="259"/>
      <c r="C8" s="153" t="s">
        <v>3158</v>
      </c>
      <c r="D8" s="151" t="s">
        <v>3154</v>
      </c>
    </row>
    <row r="9" spans="1:4" ht="48">
      <c r="A9" s="152">
        <v>6</v>
      </c>
      <c r="B9" s="153" t="s">
        <v>3159</v>
      </c>
      <c r="C9" s="153" t="s">
        <v>3160</v>
      </c>
      <c r="D9" s="151" t="s">
        <v>3154</v>
      </c>
    </row>
    <row r="10" spans="1:4">
      <c r="A10" s="152">
        <v>7</v>
      </c>
      <c r="B10" s="257" t="s">
        <v>3161</v>
      </c>
      <c r="C10" s="153" t="s">
        <v>3115</v>
      </c>
      <c r="D10" s="151" t="s">
        <v>3154</v>
      </c>
    </row>
    <row r="11" spans="1:4" ht="48" customHeight="1">
      <c r="A11" s="152">
        <v>8</v>
      </c>
      <c r="B11" s="258"/>
      <c r="C11" s="153" t="s">
        <v>3162</v>
      </c>
      <c r="D11" s="151" t="s">
        <v>3154</v>
      </c>
    </row>
    <row r="12" spans="1:4" ht="36">
      <c r="A12" s="152">
        <v>9</v>
      </c>
      <c r="B12" s="259"/>
      <c r="C12" s="153" t="s">
        <v>3163</v>
      </c>
      <c r="D12" s="151" t="s">
        <v>3154</v>
      </c>
    </row>
    <row r="13" spans="1:4" ht="36">
      <c r="A13" s="152">
        <v>10</v>
      </c>
      <c r="B13" s="153" t="s">
        <v>3164</v>
      </c>
      <c r="C13" s="153" t="s">
        <v>3165</v>
      </c>
    </row>
  </sheetData>
  <mergeCells count="5">
    <mergeCell ref="A1:C1"/>
    <mergeCell ref="A3:B3"/>
    <mergeCell ref="B5:B6"/>
    <mergeCell ref="B7:B8"/>
    <mergeCell ref="B10:B12"/>
  </mergeCells>
  <printOptions horizontalCentered="1"/>
  <pageMargins left="0.39370078740157483" right="0.39370078740157483" top="0.39370078740157483" bottom="0.39370078740157483" header="0.19685039370078741" footer="0.19685039370078741"/>
  <pageSetup paperSize="9" fitToHeight="0" orientation="landscape" r:id="rId1"/>
  <headerFooter alignWithMargins="0">
    <oddFooter>&amp;C&amp;8&amp;P of &amp;N</oddFooter>
  </headerFooter>
  <rowBreaks count="1" manualBreakCount="1">
    <brk id="16"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autoPageBreaks="0" fitToPage="1"/>
  </sheetPr>
  <dimension ref="A1:C94"/>
  <sheetViews>
    <sheetView workbookViewId="0">
      <selection sqref="A1:B1"/>
    </sheetView>
  </sheetViews>
  <sheetFormatPr defaultRowHeight="12.75"/>
  <cols>
    <col min="1" max="1" width="8.7109375" style="2" bestFit="1" customWidth="1"/>
    <col min="2" max="2" width="49.140625" style="2" bestFit="1" customWidth="1"/>
    <col min="3" max="3" width="31" style="2" customWidth="1"/>
    <col min="4" max="16384" width="9.140625" style="2"/>
  </cols>
  <sheetData>
    <row r="1" spans="1:3" s="59" customFormat="1" ht="18" customHeight="1">
      <c r="A1" s="262" t="s">
        <v>3166</v>
      </c>
      <c r="B1" s="262"/>
      <c r="C1" s="83"/>
    </row>
    <row r="2" spans="1:3" s="86" customFormat="1" ht="12">
      <c r="A2" s="58"/>
      <c r="B2" s="58"/>
      <c r="C2" s="58"/>
    </row>
    <row r="3" spans="1:3">
      <c r="A3" s="305" t="s">
        <v>254</v>
      </c>
      <c r="B3" s="306"/>
    </row>
    <row r="4" spans="1:3">
      <c r="A4" s="87" t="s">
        <v>2725</v>
      </c>
      <c r="B4" s="87" t="s">
        <v>3167</v>
      </c>
    </row>
    <row r="5" spans="1:3">
      <c r="A5" s="87" t="s">
        <v>2865</v>
      </c>
      <c r="B5" s="87" t="s">
        <v>3168</v>
      </c>
    </row>
    <row r="6" spans="1:3">
      <c r="A6" s="87" t="s">
        <v>466</v>
      </c>
      <c r="B6" s="87" t="s">
        <v>3169</v>
      </c>
    </row>
    <row r="7" spans="1:3">
      <c r="A7" s="87" t="s">
        <v>3170</v>
      </c>
      <c r="B7" s="87" t="s">
        <v>3171</v>
      </c>
    </row>
    <row r="8" spans="1:3">
      <c r="A8" s="87" t="s">
        <v>793</v>
      </c>
      <c r="B8" s="87" t="s">
        <v>3172</v>
      </c>
    </row>
    <row r="9" spans="1:3">
      <c r="A9" s="87" t="s">
        <v>803</v>
      </c>
      <c r="B9" s="87" t="s">
        <v>3173</v>
      </c>
    </row>
    <row r="10" spans="1:3">
      <c r="A10" s="87" t="s">
        <v>2927</v>
      </c>
      <c r="B10" s="87" t="s">
        <v>3174</v>
      </c>
    </row>
    <row r="11" spans="1:3">
      <c r="A11" s="87" t="s">
        <v>2778</v>
      </c>
      <c r="B11" s="87" t="s">
        <v>3175</v>
      </c>
    </row>
    <row r="12" spans="1:3">
      <c r="A12" s="87" t="s">
        <v>443</v>
      </c>
      <c r="B12" s="87" t="s">
        <v>3176</v>
      </c>
    </row>
    <row r="13" spans="1:3">
      <c r="A13" s="87" t="s">
        <v>620</v>
      </c>
      <c r="B13" s="87" t="s">
        <v>3177</v>
      </c>
    </row>
    <row r="14" spans="1:3">
      <c r="A14" s="87" t="s">
        <v>3178</v>
      </c>
      <c r="B14" s="87" t="s">
        <v>3179</v>
      </c>
    </row>
    <row r="15" spans="1:3">
      <c r="A15" s="87" t="s">
        <v>316</v>
      </c>
      <c r="B15" s="87" t="s">
        <v>3180</v>
      </c>
    </row>
    <row r="16" spans="1:3">
      <c r="A16" s="87" t="s">
        <v>392</v>
      </c>
      <c r="B16" s="87" t="s">
        <v>3181</v>
      </c>
    </row>
    <row r="17" spans="1:2">
      <c r="A17" s="87" t="s">
        <v>3182</v>
      </c>
      <c r="B17" s="87" t="s">
        <v>3183</v>
      </c>
    </row>
    <row r="18" spans="1:2">
      <c r="A18" s="87" t="s">
        <v>3184</v>
      </c>
      <c r="B18" s="87" t="s">
        <v>3185</v>
      </c>
    </row>
    <row r="19" spans="1:2">
      <c r="A19" s="87" t="s">
        <v>1629</v>
      </c>
      <c r="B19" s="87" t="s">
        <v>3186</v>
      </c>
    </row>
    <row r="20" spans="1:2">
      <c r="A20" s="84" t="s">
        <v>1726</v>
      </c>
      <c r="B20" s="87" t="s">
        <v>3187</v>
      </c>
    </row>
    <row r="21" spans="1:2">
      <c r="A21" s="87" t="s">
        <v>383</v>
      </c>
      <c r="B21" s="87" t="s">
        <v>3188</v>
      </c>
    </row>
    <row r="22" spans="1:2">
      <c r="A22" s="87" t="s">
        <v>360</v>
      </c>
      <c r="B22" s="87" t="s">
        <v>3189</v>
      </c>
    </row>
    <row r="23" spans="1:2">
      <c r="A23" s="87" t="s">
        <v>406</v>
      </c>
      <c r="B23" s="87" t="s">
        <v>3190</v>
      </c>
    </row>
    <row r="24" spans="1:2">
      <c r="A24" s="87" t="s">
        <v>460</v>
      </c>
      <c r="B24" s="87" t="s">
        <v>3191</v>
      </c>
    </row>
    <row r="25" spans="1:2">
      <c r="A25" s="87" t="s">
        <v>2730</v>
      </c>
      <c r="B25" s="87" t="s">
        <v>3192</v>
      </c>
    </row>
    <row r="26" spans="1:2">
      <c r="A26" s="87" t="s">
        <v>3193</v>
      </c>
      <c r="B26" s="87" t="s">
        <v>3194</v>
      </c>
    </row>
    <row r="27" spans="1:2">
      <c r="A27" s="87" t="s">
        <v>2495</v>
      </c>
      <c r="B27" s="87" t="s">
        <v>3195</v>
      </c>
    </row>
    <row r="28" spans="1:2">
      <c r="A28" s="3"/>
      <c r="B28" s="3"/>
    </row>
    <row r="29" spans="1:2">
      <c r="A29" s="305" t="s">
        <v>258</v>
      </c>
      <c r="B29" s="306"/>
    </row>
    <row r="30" spans="1:2">
      <c r="A30" s="87" t="s">
        <v>3196</v>
      </c>
      <c r="B30" s="87" t="s">
        <v>3197</v>
      </c>
    </row>
    <row r="31" spans="1:2">
      <c r="A31" s="87" t="s">
        <v>384</v>
      </c>
      <c r="B31" s="87" t="s">
        <v>3198</v>
      </c>
    </row>
    <row r="32" spans="1:2">
      <c r="A32" s="87" t="s">
        <v>3199</v>
      </c>
      <c r="B32" s="87" t="s">
        <v>3200</v>
      </c>
    </row>
    <row r="33" spans="1:2">
      <c r="A33" s="87" t="s">
        <v>3201</v>
      </c>
      <c r="B33" s="87" t="s">
        <v>3202</v>
      </c>
    </row>
    <row r="34" spans="1:2">
      <c r="A34" s="87" t="s">
        <v>317</v>
      </c>
      <c r="B34" s="87" t="s">
        <v>3203</v>
      </c>
    </row>
    <row r="35" spans="1:2">
      <c r="A35" s="3"/>
      <c r="B35" s="3"/>
    </row>
    <row r="36" spans="1:2">
      <c r="A36" s="305" t="s">
        <v>260</v>
      </c>
      <c r="B36" s="306"/>
    </row>
    <row r="37" spans="1:2">
      <c r="A37" s="87" t="s">
        <v>318</v>
      </c>
      <c r="B37" s="87" t="s">
        <v>3204</v>
      </c>
    </row>
    <row r="38" spans="1:2">
      <c r="A38" s="87" t="s">
        <v>3205</v>
      </c>
      <c r="B38" s="87" t="s">
        <v>3206</v>
      </c>
    </row>
    <row r="39" spans="1:2">
      <c r="A39" s="87" t="s">
        <v>413</v>
      </c>
      <c r="B39" s="87" t="s">
        <v>3207</v>
      </c>
    </row>
    <row r="40" spans="1:2">
      <c r="A40" s="3"/>
      <c r="B40" s="3"/>
    </row>
    <row r="41" spans="1:2">
      <c r="A41" s="305" t="s">
        <v>102</v>
      </c>
      <c r="B41" s="306"/>
    </row>
    <row r="42" spans="1:2">
      <c r="A42" s="87" t="s">
        <v>348</v>
      </c>
      <c r="B42" s="87" t="s">
        <v>758</v>
      </c>
    </row>
    <row r="43" spans="1:2">
      <c r="A43" s="87" t="s">
        <v>336</v>
      </c>
      <c r="B43" s="87" t="s">
        <v>3208</v>
      </c>
    </row>
    <row r="44" spans="1:2">
      <c r="A44" s="87" t="s">
        <v>379</v>
      </c>
      <c r="B44" s="87" t="s">
        <v>661</v>
      </c>
    </row>
    <row r="45" spans="1:2">
      <c r="A45" s="87" t="s">
        <v>319</v>
      </c>
      <c r="B45" s="87" t="s">
        <v>3209</v>
      </c>
    </row>
    <row r="46" spans="1:2">
      <c r="A46" s="87" t="s">
        <v>361</v>
      </c>
      <c r="B46" s="87" t="s">
        <v>1523</v>
      </c>
    </row>
    <row r="47" spans="1:2">
      <c r="A47" s="87" t="s">
        <v>3036</v>
      </c>
      <c r="B47" s="87" t="s">
        <v>77</v>
      </c>
    </row>
    <row r="48" spans="1:2">
      <c r="A48" s="3"/>
      <c r="B48" s="3"/>
    </row>
    <row r="49" spans="1:2">
      <c r="A49" s="305" t="s">
        <v>261</v>
      </c>
      <c r="B49" s="306"/>
    </row>
    <row r="50" spans="1:2">
      <c r="A50" s="87" t="s">
        <v>379</v>
      </c>
      <c r="B50" s="87" t="s">
        <v>3210</v>
      </c>
    </row>
    <row r="51" spans="1:2">
      <c r="A51" s="87" t="s">
        <v>1671</v>
      </c>
      <c r="B51" s="87" t="s">
        <v>3211</v>
      </c>
    </row>
    <row r="52" spans="1:2">
      <c r="A52" s="87" t="s">
        <v>320</v>
      </c>
      <c r="B52" s="87" t="s">
        <v>3212</v>
      </c>
    </row>
    <row r="53" spans="1:2">
      <c r="A53" s="87" t="s">
        <v>361</v>
      </c>
      <c r="B53" s="87" t="s">
        <v>3213</v>
      </c>
    </row>
    <row r="54" spans="1:2">
      <c r="A54" s="87" t="s">
        <v>2893</v>
      </c>
      <c r="B54" s="87" t="s">
        <v>3148</v>
      </c>
    </row>
    <row r="55" spans="1:2">
      <c r="A55" s="87" t="s">
        <v>444</v>
      </c>
      <c r="B55" s="87" t="s">
        <v>3214</v>
      </c>
    </row>
    <row r="56" spans="1:2">
      <c r="A56" s="84" t="s">
        <v>536</v>
      </c>
      <c r="B56" s="87" t="s">
        <v>3215</v>
      </c>
    </row>
    <row r="57" spans="1:2">
      <c r="A57" s="3"/>
      <c r="B57" s="3"/>
    </row>
    <row r="58" spans="1:2">
      <c r="A58" s="305" t="s">
        <v>262</v>
      </c>
      <c r="B58" s="306"/>
    </row>
    <row r="59" spans="1:2">
      <c r="A59" s="84" t="s">
        <v>20</v>
      </c>
      <c r="B59" s="85" t="s">
        <v>3216</v>
      </c>
    </row>
    <row r="60" spans="1:2">
      <c r="A60" s="84" t="s">
        <v>22</v>
      </c>
      <c r="B60" s="85" t="s">
        <v>3217</v>
      </c>
    </row>
    <row r="61" spans="1:2">
      <c r="A61" s="84" t="s">
        <v>636</v>
      </c>
      <c r="B61" s="85" t="s">
        <v>3218</v>
      </c>
    </row>
    <row r="62" spans="1:2">
      <c r="A62" s="84" t="s">
        <v>321</v>
      </c>
      <c r="B62" s="85" t="s">
        <v>3219</v>
      </c>
    </row>
    <row r="63" spans="1:2">
      <c r="A63" s="84" t="s">
        <v>27</v>
      </c>
      <c r="B63" s="84" t="s">
        <v>3220</v>
      </c>
    </row>
    <row r="64" spans="1:2">
      <c r="A64" s="84" t="s">
        <v>30</v>
      </c>
      <c r="B64" s="84" t="s">
        <v>3221</v>
      </c>
    </row>
    <row r="65" spans="1:2">
      <c r="A65" s="84" t="s">
        <v>33</v>
      </c>
      <c r="B65" s="84" t="s">
        <v>3222</v>
      </c>
    </row>
    <row r="66" spans="1:2">
      <c r="A66" s="84" t="s">
        <v>36</v>
      </c>
      <c r="B66" s="84" t="s">
        <v>3223</v>
      </c>
    </row>
    <row r="67" spans="1:2">
      <c r="A67" s="84" t="s">
        <v>39</v>
      </c>
      <c r="B67" s="84" t="s">
        <v>3224</v>
      </c>
    </row>
    <row r="68" spans="1:2">
      <c r="A68" s="84" t="s">
        <v>41</v>
      </c>
      <c r="B68" s="84" t="s">
        <v>3225</v>
      </c>
    </row>
    <row r="69" spans="1:2">
      <c r="A69" s="84" t="s">
        <v>2544</v>
      </c>
      <c r="B69" s="84" t="s">
        <v>3226</v>
      </c>
    </row>
    <row r="70" spans="1:2">
      <c r="A70" s="84" t="s">
        <v>1418</v>
      </c>
      <c r="B70" s="84" t="s">
        <v>3227</v>
      </c>
    </row>
    <row r="71" spans="1:2">
      <c r="A71" s="84" t="s">
        <v>340</v>
      </c>
      <c r="B71" s="84" t="s">
        <v>3210</v>
      </c>
    </row>
    <row r="72" spans="1:2">
      <c r="A72" s="84" t="s">
        <v>353</v>
      </c>
      <c r="B72" s="85" t="s">
        <v>3228</v>
      </c>
    </row>
    <row r="73" spans="1:2">
      <c r="A73" s="84" t="s">
        <v>320</v>
      </c>
      <c r="B73" s="84" t="s">
        <v>3229</v>
      </c>
    </row>
    <row r="74" spans="1:2">
      <c r="A74" s="3"/>
      <c r="B74" s="3"/>
    </row>
    <row r="75" spans="1:2">
      <c r="A75" s="305" t="s">
        <v>267</v>
      </c>
      <c r="B75" s="306"/>
    </row>
    <row r="76" spans="1:2">
      <c r="A76" s="88" t="s">
        <v>1978</v>
      </c>
      <c r="B76" s="88" t="s">
        <v>3230</v>
      </c>
    </row>
    <row r="77" spans="1:2">
      <c r="A77" s="87" t="s">
        <v>457</v>
      </c>
      <c r="B77" s="87" t="s">
        <v>3231</v>
      </c>
    </row>
    <row r="78" spans="1:2">
      <c r="A78" s="87" t="s">
        <v>438</v>
      </c>
      <c r="B78" s="87" t="s">
        <v>3232</v>
      </c>
    </row>
    <row r="79" spans="1:2">
      <c r="A79" s="87" t="s">
        <v>1031</v>
      </c>
      <c r="B79" s="87" t="s">
        <v>3233</v>
      </c>
    </row>
    <row r="80" spans="1:2">
      <c r="A80" s="87" t="s">
        <v>526</v>
      </c>
      <c r="B80" s="87" t="s">
        <v>3234</v>
      </c>
    </row>
    <row r="81" spans="1:2">
      <c r="A81" s="84" t="s">
        <v>2603</v>
      </c>
      <c r="B81" s="87" t="s">
        <v>3235</v>
      </c>
    </row>
    <row r="82" spans="1:2">
      <c r="A82" s="87" t="s">
        <v>831</v>
      </c>
      <c r="B82" s="87" t="s">
        <v>3236</v>
      </c>
    </row>
    <row r="83" spans="1:2">
      <c r="A83" s="87" t="s">
        <v>1001</v>
      </c>
      <c r="B83" s="87" t="s">
        <v>3237</v>
      </c>
    </row>
    <row r="84" spans="1:2">
      <c r="A84" s="87" t="s">
        <v>3238</v>
      </c>
      <c r="B84" s="87" t="s">
        <v>3239</v>
      </c>
    </row>
    <row r="85" spans="1:2">
      <c r="A85" s="87" t="s">
        <v>3240</v>
      </c>
      <c r="B85" s="87" t="s">
        <v>3241</v>
      </c>
    </row>
    <row r="86" spans="1:2">
      <c r="A86" s="87" t="s">
        <v>2747</v>
      </c>
      <c r="B86" s="87" t="s">
        <v>3242</v>
      </c>
    </row>
    <row r="87" spans="1:2">
      <c r="A87" s="87" t="s">
        <v>3243</v>
      </c>
      <c r="B87" s="87" t="s">
        <v>3244</v>
      </c>
    </row>
    <row r="88" spans="1:2">
      <c r="A88" s="87" t="s">
        <v>399</v>
      </c>
      <c r="B88" s="87" t="s">
        <v>3245</v>
      </c>
    </row>
    <row r="89" spans="1:2">
      <c r="A89" s="87" t="s">
        <v>1659</v>
      </c>
      <c r="B89" s="87" t="s">
        <v>3246</v>
      </c>
    </row>
    <row r="90" spans="1:2">
      <c r="A90" s="87" t="s">
        <v>322</v>
      </c>
      <c r="B90" s="87" t="s">
        <v>75</v>
      </c>
    </row>
    <row r="91" spans="1:2">
      <c r="A91" s="87" t="s">
        <v>998</v>
      </c>
      <c r="B91" s="87" t="s">
        <v>3247</v>
      </c>
    </row>
    <row r="92" spans="1:2">
      <c r="A92" s="87" t="s">
        <v>2893</v>
      </c>
      <c r="B92" s="87" t="s">
        <v>3148</v>
      </c>
    </row>
    <row r="93" spans="1:2">
      <c r="A93" s="87" t="s">
        <v>3248</v>
      </c>
      <c r="B93" s="87" t="s">
        <v>3249</v>
      </c>
    </row>
    <row r="94" spans="1:2">
      <c r="A94" s="87" t="s">
        <v>3071</v>
      </c>
      <c r="B94" s="87" t="s">
        <v>77</v>
      </c>
    </row>
  </sheetData>
  <mergeCells count="8">
    <mergeCell ref="A75:B75"/>
    <mergeCell ref="A58:B58"/>
    <mergeCell ref="A1:B1"/>
    <mergeCell ref="A3:B3"/>
    <mergeCell ref="A49:B49"/>
    <mergeCell ref="A41:B41"/>
    <mergeCell ref="A36:B36"/>
    <mergeCell ref="A29:B29"/>
  </mergeCells>
  <printOptions horizontalCentered="1"/>
  <pageMargins left="0.39370078740157483" right="0.39370078740157483" top="0.39370078740157483" bottom="0.39370078740157483" header="0.19685039370078741" footer="0.19685039370078741"/>
  <pageSetup paperSize="9" fitToHeight="0" orientation="landscape" verticalDpi="1200" r:id="rId1"/>
  <headerFooter alignWithMargins="0">
    <oddFooter>&amp;C&amp;8&amp;P of &amp;N</oddFooter>
  </headerFooter>
  <rowBreaks count="2" manualBreakCount="2">
    <brk id="40" max="1" man="1"/>
    <brk id="74"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B3"/>
  <sheetViews>
    <sheetView workbookViewId="0">
      <selection sqref="A1:B1"/>
    </sheetView>
  </sheetViews>
  <sheetFormatPr defaultRowHeight="12.75"/>
  <cols>
    <col min="1" max="1" width="13.85546875" bestFit="1" customWidth="1"/>
    <col min="2" max="2" width="22.5703125" customWidth="1"/>
  </cols>
  <sheetData>
    <row r="1" spans="1:2">
      <c r="A1" s="44" t="s">
        <v>3250</v>
      </c>
      <c r="B1" t="s">
        <v>3251</v>
      </c>
    </row>
    <row r="2" spans="1:2">
      <c r="A2" s="41" t="s">
        <v>312</v>
      </c>
      <c r="B2">
        <v>1330</v>
      </c>
    </row>
    <row r="3" spans="1:2">
      <c r="A3" s="41" t="s">
        <v>3252</v>
      </c>
      <c r="B3">
        <v>1330</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B3"/>
  <sheetViews>
    <sheetView workbookViewId="0">
      <selection sqref="A1:B1"/>
    </sheetView>
  </sheetViews>
  <sheetFormatPr defaultRowHeight="12.75"/>
  <cols>
    <col min="1" max="1" width="13.85546875" customWidth="1"/>
    <col min="2" max="2" width="36.7109375" customWidth="1"/>
  </cols>
  <sheetData>
    <row r="1" spans="1:2">
      <c r="A1" s="44" t="s">
        <v>3250</v>
      </c>
      <c r="B1" t="s">
        <v>3253</v>
      </c>
    </row>
    <row r="2" spans="1:2">
      <c r="A2" s="41" t="s">
        <v>312</v>
      </c>
      <c r="B2">
        <v>29</v>
      </c>
    </row>
    <row r="3" spans="1:2">
      <c r="A3" s="41" t="s">
        <v>3252</v>
      </c>
      <c r="B3">
        <v>29</v>
      </c>
    </row>
  </sheetData>
  <printOptions horizontalCentered="1"/>
  <pageMargins left="0.39370078740157483" right="0.39370078740157483" top="0.39370078740157483" bottom="0.39370078740157483" header="0.19685039370078741" footer="0.19685039370078741"/>
  <pageSetup paperSize="9" fitToHeight="0" orientation="landscape" r:id="rId2"/>
  <headerFooter alignWithMargins="0">
    <oddFooter>&amp;C&amp;8&amp;P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ea095755-da17-44ef-a320-d01db3480f51" xsi:nil="true"/>
    <lcf76f155ced4ddcb4097134ff3c332f xmlns="ea095755-da17-44ef-a320-d01db3480f51">
      <Terms xmlns="http://schemas.microsoft.com/office/infopath/2007/PartnerControls"/>
    </lcf76f155ced4ddcb4097134ff3c332f>
    <TaxCatchAll xmlns="38a809ab-bf8d-4391-94ea-7f25297ee6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FC1A0B108CD54597290592311E8462" ma:contentTypeVersion="19" ma:contentTypeDescription="Create a new document." ma:contentTypeScope="" ma:versionID="0ff8821e5b71ccc8e7461b79d8e14286">
  <xsd:schema xmlns:xsd="http://www.w3.org/2001/XMLSchema" xmlns:xs="http://www.w3.org/2001/XMLSchema" xmlns:p="http://schemas.microsoft.com/office/2006/metadata/properties" xmlns:ns1="http://schemas.microsoft.com/sharepoint/v3" xmlns:ns2="ea095755-da17-44ef-a320-d01db3480f51" xmlns:ns3="38a809ab-bf8d-4391-94ea-7f25297ee6a0" targetNamespace="http://schemas.microsoft.com/office/2006/metadata/properties" ma:root="true" ma:fieldsID="bca30eb6aaf5a274439f56c03824235e" ns1:_="" ns2:_="" ns3:_="">
    <xsd:import namespace="http://schemas.microsoft.com/sharepoint/v3"/>
    <xsd:import namespace="ea095755-da17-44ef-a320-d01db3480f51"/>
    <xsd:import namespace="38a809ab-bf8d-4391-94ea-7f25297ee6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_Flow_SignoffStatu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095755-da17-44ef-a320-d01db3480f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a809ab-bf8d-4391-94ea-7f25297ee6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2260c01d-42e7-4b84-bc03-4968ce729ac0}" ma:internalName="TaxCatchAll" ma:showField="CatchAllData" ma:web="38a809ab-bf8d-4391-94ea-7f25297ee6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D5A266-F31C-415D-8AE0-F86F8AA0083F}"/>
</file>

<file path=customXml/itemProps2.xml><?xml version="1.0" encoding="utf-8"?>
<ds:datastoreItem xmlns:ds="http://schemas.openxmlformats.org/officeDocument/2006/customXml" ds:itemID="{50B4E707-8E11-487C-9A3C-1153652112CD}"/>
</file>

<file path=customXml/itemProps3.xml><?xml version="1.0" encoding="utf-8"?>
<ds:datastoreItem xmlns:ds="http://schemas.openxmlformats.org/officeDocument/2006/customXml" ds:itemID="{A376A74F-BDE4-4E4E-B3BB-5980F970857C}"/>
</file>

<file path=docMetadata/LabelInfo.xml><?xml version="1.0" encoding="utf-8"?>
<clbl:labelList xmlns:clbl="http://schemas.microsoft.com/office/2020/mipLabelMetadata">
  <clbl:label id="{763da656-5c75-4f6d-9461-4a3ce9a537cc}" enabled="1" method="Privileged" siteId="{d9d3f5ac-f803-49be-949f-14a7074d74a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McConville, Eoghan</cp:lastModifiedBy>
  <cp:revision/>
  <dcterms:created xsi:type="dcterms:W3CDTF">2017-11-01T14:41:40Z</dcterms:created>
  <dcterms:modified xsi:type="dcterms:W3CDTF">2022-10-27T17:26:06Z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iteId">
    <vt:lpwstr>d9d3f5ac-f803-49be-949f-14a7074d74a7</vt:lpwstr>
  </property>
  <property fmtid="{D5CDD505-2E9C-101B-9397-08002B2CF9AE}" pid="4" name="MSIP_Label_763da656-5c75-4f6d-9461-4a3ce9a537cc_Owner">
    <vt:lpwstr>Patrick.Clearwater@richmondandwandsworth.gov.uk</vt:lpwstr>
  </property>
  <property fmtid="{D5CDD505-2E9C-101B-9397-08002B2CF9AE}" pid="5" name="MSIP_Label_763da656-5c75-4f6d-9461-4a3ce9a537cc_SetDate">
    <vt:lpwstr>2019-07-30T15:36:03.1028970Z</vt:lpwstr>
  </property>
  <property fmtid="{D5CDD505-2E9C-101B-9397-08002B2CF9AE}" pid="6" name="MSIP_Label_763da656-5c75-4f6d-9461-4a3ce9a537cc_Name">
    <vt:lpwstr>Official</vt:lpwstr>
  </property>
  <property fmtid="{D5CDD505-2E9C-101B-9397-08002B2CF9AE}" pid="7" name="MSIP_Label_763da656-5c75-4f6d-9461-4a3ce9a537cc_Application">
    <vt:lpwstr>Microsoft Azure Information Protection</vt:lpwstr>
  </property>
  <property fmtid="{D5CDD505-2E9C-101B-9397-08002B2CF9AE}" pid="8" name="MSIP_Label_763da656-5c75-4f6d-9461-4a3ce9a537cc_ActionId">
    <vt:lpwstr>1d23b205-2225-4c54-8478-f671681813cd</vt:lpwstr>
  </property>
  <property fmtid="{D5CDD505-2E9C-101B-9397-08002B2CF9AE}" pid="9" name="MSIP_Label_763da656-5c75-4f6d-9461-4a3ce9a537cc_Extended_MSFT_Method">
    <vt:lpwstr>Automatic</vt:lpwstr>
  </property>
  <property fmtid="{D5CDD505-2E9C-101B-9397-08002B2CF9AE}" pid="10" name="Sensitivity">
    <vt:lpwstr>Official</vt:lpwstr>
  </property>
  <property fmtid="{D5CDD505-2E9C-101B-9397-08002B2CF9AE}" pid="11" name="ContentTypeId">
    <vt:lpwstr>0x010100EEFC1A0B108CD54597290592311E8462</vt:lpwstr>
  </property>
  <property fmtid="{D5CDD505-2E9C-101B-9397-08002B2CF9AE}" pid="12" name="Order">
    <vt:r8>100</vt:r8>
  </property>
  <property fmtid="{D5CDD505-2E9C-101B-9397-08002B2CF9AE}" pid="13" name="_dlc_DocIdItemGuid">
    <vt:lpwstr>b0cf4160-10f5-476d-97d5-5d2a91138549</vt:lpwstr>
  </property>
  <property fmtid="{D5CDD505-2E9C-101B-9397-08002B2CF9AE}" pid="14" name="MediaServiceImageTags">
    <vt:lpwstr/>
  </property>
</Properties>
</file>